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updateLinks="never" codeName="ThisWorkbook" defaultThemeVersion="124226"/>
  <mc:AlternateContent xmlns:mc="http://schemas.openxmlformats.org/markup-compatibility/2006">
    <mc:Choice Requires="x15">
      <x15ac:absPath xmlns:x15ac="http://schemas.microsoft.com/office/spreadsheetml/2010/11/ac" url="C:\Users\arija\Dropbox\YT ja FT OHJEITA, tekstit ja laskuesimerkit\Nettisivuesimerkit se\"/>
    </mc:Choice>
  </mc:AlternateContent>
  <xr:revisionPtr revIDLastSave="0" documentId="8_{5B8BB976-FB76-4D22-B2CC-DCAB2B584ED2}" xr6:coauthVersionLast="47" xr6:coauthVersionMax="47" xr10:uidLastSave="{00000000-0000-0000-0000-000000000000}"/>
  <workbookProtection workbookAlgorithmName="SHA-512" workbookHashValue="auk7+pIcZpQ2LxuchcgvRtYU7iywGCrdhmYXePU+yd8xfEzhA4p3OgHw9uNBADLBBvBW/9Xukaxio5bI9Qm2VQ==" workbookSaltValue="qfWed8MH+pbkzG6p2oSkrA==" workbookSpinCount="100000" lockStructure="1"/>
  <bookViews>
    <workbookView xWindow="-120" yWindow="-120" windowWidth="29040" windowHeight="15840" tabRatio="701" activeTab="1" xr2:uid="{00000000-000D-0000-FFFF-FFFF00000000}"/>
  </bookViews>
  <sheets>
    <sheet name="Startsidan" sheetId="5" r:id="rId1"/>
    <sheet name="K1 Kostnader" sheetId="1" r:id="rId2"/>
    <sheet name="K2 Försäljning" sheetId="2" r:id="rId3"/>
    <sheet name="Kauppa AT lainat ja avustukset" sheetId="14" state="hidden" r:id="rId4"/>
    <sheet name="K3 Resultat" sheetId="11" r:id="rId5"/>
    <sheet name="Lönekostnader" sheetId="17" r:id="rId6"/>
    <sheet name="AT3 Kassa" sheetId="22" state="hidden" r:id="rId7"/>
    <sheet name="Kassabudget" sheetId="18" r:id="rId8"/>
    <sheet name="FS1 Kostnader " sheetId="16" r:id="rId9"/>
    <sheet name="FS2 Försäljning " sheetId="4" r:id="rId10"/>
    <sheet name="FS3 Resultat" sheetId="12" r:id="rId11"/>
    <sheet name="AT1 Palkat, alv" sheetId="19" state="hidden" r:id="rId12"/>
    <sheet name="AT2 Myynnin alv" sheetId="8" state="hidden" r:id="rId13"/>
    <sheet name="YP Lainat ja avustukset" sheetId="15" state="hidden" r:id="rId14"/>
    <sheet name="Ekonomiska parametrar" sheetId="23" r:id="rId15"/>
    <sheet name="Päivitystapahtumat" sheetId="24" state="hidden" r:id="rId16"/>
    <sheet name="Kaaviot" sheetId="21" state="hidden" r:id="rId17"/>
  </sheets>
  <externalReferences>
    <externalReference r:id="rId18"/>
  </externalReferences>
  <definedNames>
    <definedName name="Rahapalkat__TyEL_työntekijät">'K1 Kostnader'!$D$28</definedName>
    <definedName name="Teksti37" localSheetId="1">'K1 Kostnader'!$G$10</definedName>
    <definedName name="Teksti38" localSheetId="8">'FS1 Kostnader '!$G$14</definedName>
    <definedName name="Teksti38" localSheetId="1">'K1 Kostnader'!$G$12</definedName>
    <definedName name="Teksti39" localSheetId="1">'K1 Kostnader'!$H$12</definedName>
    <definedName name="Teksti39">#REF!</definedName>
    <definedName name="_xlnm.Print_Area" localSheetId="14">'Ekonomiska parametrar'!$B$4:$Y$70</definedName>
    <definedName name="_xlnm.Print_Area" localSheetId="8">'FS1 Kostnader '!$C$4:$S$129</definedName>
    <definedName name="_xlnm.Print_Area" localSheetId="9">'FS2 Försäljning '!$B$4:$T$239</definedName>
    <definedName name="_xlnm.Print_Area" localSheetId="10">'FS3 Resultat'!$B$4:$X$130</definedName>
    <definedName name="_xlnm.Print_Area" localSheetId="1">'K1 Kostnader'!$C$4:$T$132</definedName>
    <definedName name="_xlnm.Print_Area" localSheetId="2">'K2 Försäljning'!$B$3:$T$209</definedName>
    <definedName name="_xlnm.Print_Area" localSheetId="4">'K3 Resultat'!$B$4:$X$129</definedName>
    <definedName name="_xlnm.Print_Area" localSheetId="7">Kassabudget!$B$3:$S$97</definedName>
    <definedName name="_xlnm.Print_Area" localSheetId="5">Lönekostnader!$B$8:$I$85</definedName>
    <definedName name="_xlnm.Print_Area" localSheetId="0">Startsidan!$A$1:$O$36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6" i="1" l="1"/>
  <c r="W19" i="18" l="1"/>
  <c r="C215" i="2" l="1"/>
  <c r="D48" i="19" l="1"/>
  <c r="H42" i="8"/>
  <c r="H41" i="8"/>
  <c r="H40" i="8"/>
  <c r="H39" i="8"/>
  <c r="H30" i="8"/>
  <c r="H29" i="8"/>
  <c r="H26" i="8"/>
  <c r="H25" i="8"/>
  <c r="H17" i="8"/>
  <c r="H16" i="8"/>
  <c r="H15" i="8"/>
  <c r="H13" i="8"/>
  <c r="B24" i="8"/>
  <c r="B22" i="8"/>
  <c r="B21" i="8"/>
  <c r="B18" i="8"/>
  <c r="B17" i="8"/>
  <c r="B16" i="8"/>
  <c r="W41" i="18"/>
  <c r="B38" i="8"/>
  <c r="B39" i="8" s="1"/>
  <c r="B26" i="8" s="1"/>
  <c r="B35" i="8"/>
  <c r="B36" i="8" s="1"/>
  <c r="B19" i="8" s="1"/>
  <c r="B32" i="8"/>
  <c r="B33" i="8" s="1"/>
  <c r="B12" i="8" s="1"/>
  <c r="B9" i="11"/>
  <c r="W7" i="18" s="1"/>
  <c r="H95" i="11" l="1"/>
  <c r="C21" i="21"/>
  <c r="B21" i="21"/>
  <c r="O74" i="23"/>
  <c r="O73" i="23"/>
  <c r="O72" i="23"/>
  <c r="O71" i="23"/>
  <c r="O70" i="23"/>
  <c r="O69" i="23"/>
  <c r="O68" i="23"/>
  <c r="O67" i="23"/>
  <c r="O66" i="23"/>
  <c r="O65" i="23"/>
  <c r="O64" i="23"/>
  <c r="O63" i="23"/>
  <c r="O62" i="23"/>
  <c r="O61" i="23"/>
  <c r="O60" i="23"/>
  <c r="O59" i="23"/>
  <c r="O58" i="23"/>
  <c r="O57" i="23"/>
  <c r="O55" i="23"/>
  <c r="O53" i="23"/>
  <c r="O52" i="23"/>
  <c r="O51" i="23"/>
  <c r="H74" i="23"/>
  <c r="H73" i="23"/>
  <c r="H72" i="23"/>
  <c r="H71" i="23"/>
  <c r="H70" i="23"/>
  <c r="H69" i="23"/>
  <c r="H68" i="23"/>
  <c r="H67" i="23"/>
  <c r="H66" i="23"/>
  <c r="H65" i="23"/>
  <c r="H64" i="23"/>
  <c r="H63" i="23"/>
  <c r="H62" i="23"/>
  <c r="H61" i="23"/>
  <c r="H60" i="23"/>
  <c r="H59" i="23"/>
  <c r="H58" i="23"/>
  <c r="H57" i="23"/>
  <c r="H56" i="23"/>
  <c r="H55" i="23"/>
  <c r="H53" i="23"/>
  <c r="H52" i="23"/>
  <c r="H51" i="23"/>
  <c r="V46" i="23"/>
  <c r="V45" i="23"/>
  <c r="V44" i="23"/>
  <c r="V43" i="23"/>
  <c r="V42" i="23"/>
  <c r="V41" i="23"/>
  <c r="V40" i="23"/>
  <c r="V39" i="23"/>
  <c r="V38" i="23"/>
  <c r="O46" i="23"/>
  <c r="O45" i="23"/>
  <c r="O44" i="23"/>
  <c r="O43" i="23"/>
  <c r="O42" i="23"/>
  <c r="O41" i="23"/>
  <c r="O40" i="23"/>
  <c r="O39" i="23"/>
  <c r="O38" i="23"/>
  <c r="H46" i="23"/>
  <c r="H45" i="23"/>
  <c r="H44" i="23"/>
  <c r="H43" i="23"/>
  <c r="H42" i="23"/>
  <c r="H41" i="23"/>
  <c r="H40" i="23"/>
  <c r="H39" i="23"/>
  <c r="H38" i="23"/>
  <c r="O33" i="23"/>
  <c r="O32" i="23"/>
  <c r="O31" i="23"/>
  <c r="O30" i="23"/>
  <c r="O29" i="23"/>
  <c r="O28" i="23"/>
  <c r="O27" i="23"/>
  <c r="H33" i="23"/>
  <c r="H32" i="23"/>
  <c r="H31" i="23"/>
  <c r="H30" i="23"/>
  <c r="H29" i="23"/>
  <c r="H28" i="23"/>
  <c r="H27" i="23"/>
  <c r="G24" i="23"/>
  <c r="O22" i="23"/>
  <c r="O21" i="23"/>
  <c r="O20" i="23"/>
  <c r="O19" i="23"/>
  <c r="O18" i="23"/>
  <c r="O17" i="23"/>
  <c r="O16" i="23"/>
  <c r="O15" i="23"/>
  <c r="O14" i="23"/>
  <c r="O13" i="23"/>
  <c r="O12" i="23"/>
  <c r="O11" i="23"/>
  <c r="O10" i="23"/>
  <c r="O9" i="23"/>
  <c r="O8" i="23"/>
  <c r="O7" i="23"/>
  <c r="H22" i="23"/>
  <c r="H21" i="23"/>
  <c r="H20" i="23"/>
  <c r="H19" i="23"/>
  <c r="H18" i="23"/>
  <c r="H17" i="23"/>
  <c r="H16" i="23"/>
  <c r="H15" i="23"/>
  <c r="H14" i="23"/>
  <c r="H13" i="23"/>
  <c r="H12" i="23"/>
  <c r="H11" i="23"/>
  <c r="H10" i="23"/>
  <c r="H9" i="23"/>
  <c r="H8" i="23"/>
  <c r="H7" i="23"/>
  <c r="F50" i="16" l="1"/>
  <c r="H95" i="12" l="1"/>
  <c r="V74" i="23"/>
  <c r="B74" i="23"/>
  <c r="C78" i="4" l="1"/>
  <c r="C159" i="4" s="1"/>
  <c r="D54" i="17" l="1"/>
  <c r="E54" i="17" s="1"/>
  <c r="C166" i="4" l="1"/>
  <c r="C171" i="4"/>
  <c r="C150" i="4"/>
  <c r="C143" i="4"/>
  <c r="C136" i="4"/>
  <c r="H28" i="8" s="1"/>
  <c r="C115" i="4"/>
  <c r="D59" i="2" l="1"/>
  <c r="E59" i="2" s="1"/>
  <c r="D129" i="2"/>
  <c r="E129" i="2" s="1"/>
  <c r="C202" i="2" l="1"/>
  <c r="C203" i="2" s="1"/>
  <c r="D199" i="2"/>
  <c r="E199" i="2" s="1"/>
  <c r="D198" i="2"/>
  <c r="D196" i="2"/>
  <c r="H198" i="2"/>
  <c r="H128" i="2"/>
  <c r="H58" i="2"/>
  <c r="C132" i="2"/>
  <c r="C133" i="2" s="1"/>
  <c r="C130" i="2" s="1"/>
  <c r="C131" i="2" s="1"/>
  <c r="D128" i="2"/>
  <c r="D126" i="2"/>
  <c r="D58" i="2"/>
  <c r="D56" i="2"/>
  <c r="C62" i="2"/>
  <c r="C63" i="2" s="1"/>
  <c r="C48" i="2"/>
  <c r="B11" i="8" s="1"/>
  <c r="G16" i="16"/>
  <c r="A29" i="21"/>
  <c r="A22" i="21"/>
  <c r="C60" i="2" l="1"/>
  <c r="C221" i="2"/>
  <c r="C61" i="2"/>
  <c r="E198" i="2"/>
  <c r="E202" i="2" s="1"/>
  <c r="E128" i="2"/>
  <c r="E132" i="2" s="1"/>
  <c r="C29" i="21"/>
  <c r="B29" i="21"/>
  <c r="B23" i="21"/>
  <c r="B22" i="21"/>
  <c r="C23" i="21"/>
  <c r="C22" i="21"/>
  <c r="D202" i="2"/>
  <c r="C200" i="2"/>
  <c r="D132" i="2"/>
  <c r="D62" i="2"/>
  <c r="G46" i="16"/>
  <c r="C216" i="2" l="1"/>
  <c r="C201" i="2"/>
  <c r="A39" i="21"/>
  <c r="C40" i="21" l="1"/>
  <c r="B40" i="21"/>
  <c r="B39" i="21"/>
  <c r="C39" i="21"/>
  <c r="F28" i="21"/>
  <c r="E28" i="21"/>
  <c r="D28" i="21"/>
  <c r="U24" i="23" l="1"/>
  <c r="U35" i="23" s="1"/>
  <c r="U48" i="23" s="1"/>
  <c r="N24" i="23"/>
  <c r="N35" i="23" s="1"/>
  <c r="N48" i="23" s="1"/>
  <c r="V52" i="23" l="1"/>
  <c r="V53" i="23"/>
  <c r="V55" i="23"/>
  <c r="V56" i="23"/>
  <c r="V57" i="23"/>
  <c r="V58" i="23"/>
  <c r="V59" i="23"/>
  <c r="V60" i="23"/>
  <c r="V61" i="23"/>
  <c r="V62" i="23"/>
  <c r="V63" i="23"/>
  <c r="V64" i="23"/>
  <c r="V65" i="23"/>
  <c r="V66" i="23"/>
  <c r="V67" i="23"/>
  <c r="V68" i="23"/>
  <c r="V69" i="23"/>
  <c r="V70" i="23"/>
  <c r="V71" i="23"/>
  <c r="V72" i="23"/>
  <c r="V73" i="23"/>
  <c r="V51" i="23"/>
  <c r="V28" i="23"/>
  <c r="V29" i="23"/>
  <c r="V30" i="23"/>
  <c r="V31" i="23"/>
  <c r="V32" i="23"/>
  <c r="V33" i="23"/>
  <c r="V27" i="23"/>
  <c r="V8" i="23"/>
  <c r="V9" i="23"/>
  <c r="V10" i="23"/>
  <c r="V11" i="23"/>
  <c r="V12" i="23"/>
  <c r="V13" i="23"/>
  <c r="V14" i="23"/>
  <c r="V15" i="23"/>
  <c r="V16" i="23"/>
  <c r="V17" i="23"/>
  <c r="V18" i="23"/>
  <c r="V19" i="23"/>
  <c r="V20" i="23"/>
  <c r="V21" i="23"/>
  <c r="V22" i="23"/>
  <c r="V7" i="23"/>
  <c r="G51" i="18" l="1"/>
  <c r="B9" i="12"/>
  <c r="B52" i="23" l="1"/>
  <c r="B53" i="23" s="1"/>
  <c r="B54" i="23" s="1"/>
  <c r="B55" i="23" l="1"/>
  <c r="B56" i="23" s="1"/>
  <c r="B57" i="23" s="1"/>
  <c r="B58" i="23" s="1"/>
  <c r="B59" i="23" s="1"/>
  <c r="B60" i="23" s="1"/>
  <c r="B61" i="23" s="1"/>
  <c r="B62" i="23" s="1"/>
  <c r="B63" i="23" s="1"/>
  <c r="B64" i="23" s="1"/>
  <c r="B65" i="23" s="1"/>
  <c r="B66" i="23" s="1"/>
  <c r="B67" i="23" s="1"/>
  <c r="B68" i="23" s="1"/>
  <c r="B69" i="23" s="1"/>
  <c r="B70" i="23" s="1"/>
  <c r="G62" i="16"/>
  <c r="H62" i="16" s="1"/>
  <c r="K62" i="16"/>
  <c r="H18" i="17"/>
  <c r="H15" i="17"/>
  <c r="H42" i="4"/>
  <c r="G83" i="1"/>
  <c r="E27" i="12" l="1"/>
  <c r="E27" i="11"/>
  <c r="E20" i="11"/>
  <c r="G117" i="16" l="1"/>
  <c r="G117" i="1"/>
  <c r="G116" i="1"/>
  <c r="K116" i="16"/>
  <c r="K117" i="16"/>
  <c r="G116" i="16"/>
  <c r="H116" i="16" s="1"/>
  <c r="H117" i="16" l="1"/>
  <c r="U87" i="19"/>
  <c r="C87" i="19"/>
  <c r="C79" i="19" l="1"/>
  <c r="K116" i="1"/>
  <c r="H116" i="1" s="1"/>
  <c r="K117" i="1"/>
  <c r="H117" i="1" s="1"/>
  <c r="B28" i="21" l="1"/>
  <c r="B38" i="21"/>
  <c r="C28" i="21"/>
  <c r="C38" i="21"/>
  <c r="B28" i="23"/>
  <c r="B29" i="23" l="1"/>
  <c r="B30" i="23" s="1"/>
  <c r="B31" i="23" s="1"/>
  <c r="B32" i="23" s="1"/>
  <c r="B33" i="23" s="1"/>
  <c r="K48" i="23"/>
  <c r="B9" i="23" l="1"/>
  <c r="B10" i="23" s="1"/>
  <c r="B11" i="23" s="1"/>
  <c r="B12" i="23" s="1"/>
  <c r="B13" i="23" s="1"/>
  <c r="B14" i="23" s="1"/>
  <c r="B15" i="23" s="1"/>
  <c r="B16" i="23" s="1"/>
  <c r="B17" i="23" s="1"/>
  <c r="B18" i="23" s="1"/>
  <c r="B19" i="23" s="1"/>
  <c r="B20" i="23" s="1"/>
  <c r="B21" i="23" s="1"/>
  <c r="B22" i="23" s="1"/>
  <c r="B39" i="23"/>
  <c r="B40" i="23" s="1"/>
  <c r="B41" i="23" l="1"/>
  <c r="B42" i="23" s="1"/>
  <c r="B43" i="21"/>
  <c r="C43" i="21"/>
  <c r="G83" i="16"/>
  <c r="B43" i="23" l="1"/>
  <c r="I58" i="12"/>
  <c r="I58" i="11"/>
  <c r="F18" i="1" l="1"/>
  <c r="W34" i="18" s="1"/>
  <c r="D230" i="4" l="1"/>
  <c r="E230" i="4" s="1"/>
  <c r="K39" i="12" l="1"/>
  <c r="B5" i="2" l="1"/>
  <c r="F32" i="16"/>
  <c r="F30" i="16" l="1"/>
  <c r="F32" i="1"/>
  <c r="K17" i="1"/>
  <c r="K16" i="1"/>
  <c r="F30" i="1" l="1"/>
  <c r="B74" i="15"/>
  <c r="B91" i="15" l="1"/>
  <c r="B110" i="15"/>
  <c r="D56" i="17" l="1"/>
  <c r="D57" i="17"/>
  <c r="E57" i="17" s="1"/>
  <c r="C11" i="16" l="1"/>
  <c r="K16" i="12" l="1"/>
  <c r="B82" i="4"/>
  <c r="B163" i="4" s="1"/>
  <c r="H18" i="16"/>
  <c r="G12" i="16"/>
  <c r="S60" i="18"/>
  <c r="H12" i="16" l="1"/>
  <c r="K61" i="16" s="1"/>
  <c r="J61" i="16"/>
  <c r="K71" i="11"/>
  <c r="F71" i="11"/>
  <c r="B71" i="11"/>
  <c r="D11" i="1" l="1"/>
  <c r="AK126" i="15" l="1"/>
  <c r="AJ126" i="15"/>
  <c r="AI126" i="15"/>
  <c r="AH126" i="15"/>
  <c r="AG126" i="15"/>
  <c r="AE126" i="15"/>
  <c r="AD126" i="15"/>
  <c r="AC126" i="15"/>
  <c r="AB126" i="15"/>
  <c r="AA126" i="15"/>
  <c r="Y126" i="15"/>
  <c r="X126" i="15"/>
  <c r="W126" i="15"/>
  <c r="V126" i="15"/>
  <c r="U126" i="15"/>
  <c r="S126" i="15"/>
  <c r="R126" i="15"/>
  <c r="Q126" i="15"/>
  <c r="P126" i="15"/>
  <c r="O126" i="15"/>
  <c r="M126" i="15"/>
  <c r="L126" i="15"/>
  <c r="K126" i="15"/>
  <c r="J126" i="15"/>
  <c r="I126" i="15"/>
  <c r="G126" i="15"/>
  <c r="F126" i="15"/>
  <c r="E126" i="15"/>
  <c r="D126" i="15"/>
  <c r="C126" i="15"/>
  <c r="F14" i="1"/>
  <c r="F15" i="1"/>
  <c r="C126" i="14"/>
  <c r="D126" i="14"/>
  <c r="E126" i="14"/>
  <c r="F126" i="14"/>
  <c r="G126" i="14"/>
  <c r="I126" i="14"/>
  <c r="J126" i="14"/>
  <c r="K126" i="14"/>
  <c r="L126" i="14"/>
  <c r="M126" i="14"/>
  <c r="O126" i="14"/>
  <c r="P126" i="14"/>
  <c r="Q126" i="14"/>
  <c r="R126" i="14"/>
  <c r="S126" i="14"/>
  <c r="U126" i="14"/>
  <c r="V126" i="14"/>
  <c r="W126" i="14"/>
  <c r="X126" i="14"/>
  <c r="Y126" i="14"/>
  <c r="AA126" i="14"/>
  <c r="AB126" i="14"/>
  <c r="AC126" i="14"/>
  <c r="AD126" i="14"/>
  <c r="AE126" i="14"/>
  <c r="AG126" i="14"/>
  <c r="AH126" i="14"/>
  <c r="AI126" i="14"/>
  <c r="AJ126" i="14"/>
  <c r="AK126" i="14"/>
  <c r="E10" i="17" l="1"/>
  <c r="D10" i="17"/>
  <c r="C10" i="17"/>
  <c r="C79" i="17" l="1"/>
  <c r="C29" i="17"/>
  <c r="C19" i="17"/>
  <c r="C59" i="17"/>
  <c r="C39" i="17"/>
  <c r="C49" i="17"/>
  <c r="F11" i="17"/>
  <c r="H39" i="12"/>
  <c r="F39" i="12"/>
  <c r="D46" i="15" l="1"/>
  <c r="D13" i="4"/>
  <c r="D82" i="4" s="1"/>
  <c r="E13" i="4"/>
  <c r="E82" i="4" s="1"/>
  <c r="C13" i="4"/>
  <c r="B11" i="4" s="1"/>
  <c r="H18" i="4"/>
  <c r="G115" i="16"/>
  <c r="G114" i="16"/>
  <c r="G113" i="16"/>
  <c r="G112" i="16"/>
  <c r="G111" i="16"/>
  <c r="G109" i="16"/>
  <c r="G108" i="16"/>
  <c r="G107" i="16"/>
  <c r="G106" i="16"/>
  <c r="G104" i="16"/>
  <c r="G103" i="16"/>
  <c r="G102" i="16"/>
  <c r="G100" i="16"/>
  <c r="G99" i="16"/>
  <c r="G98" i="16"/>
  <c r="G96" i="16"/>
  <c r="G95" i="16"/>
  <c r="G93" i="16"/>
  <c r="G92" i="16"/>
  <c r="G91" i="16"/>
  <c r="G90" i="16"/>
  <c r="G89" i="16"/>
  <c r="G87" i="16"/>
  <c r="G81" i="16"/>
  <c r="G80" i="16"/>
  <c r="G79" i="16"/>
  <c r="G77" i="16"/>
  <c r="G76" i="16"/>
  <c r="G75" i="16"/>
  <c r="G74" i="16"/>
  <c r="G72" i="16"/>
  <c r="G71" i="16"/>
  <c r="G70" i="16"/>
  <c r="G69" i="16"/>
  <c r="G67" i="16"/>
  <c r="G66" i="16"/>
  <c r="G65" i="16"/>
  <c r="G58" i="16"/>
  <c r="G57" i="16"/>
  <c r="G56" i="16"/>
  <c r="G55" i="16"/>
  <c r="G54" i="16"/>
  <c r="G53" i="16"/>
  <c r="G52" i="16"/>
  <c r="G51" i="16"/>
  <c r="W22" i="18" s="1"/>
  <c r="G45" i="16"/>
  <c r="G44" i="16"/>
  <c r="G43" i="16"/>
  <c r="G42" i="16"/>
  <c r="G40" i="16"/>
  <c r="G39" i="16"/>
  <c r="G35" i="16"/>
  <c r="G72" i="1"/>
  <c r="G71" i="1"/>
  <c r="G70" i="1"/>
  <c r="G69" i="1"/>
  <c r="G65" i="1"/>
  <c r="G115" i="1"/>
  <c r="G114" i="1"/>
  <c r="U76" i="19" s="1"/>
  <c r="G113" i="1"/>
  <c r="G112" i="1"/>
  <c r="G111" i="1"/>
  <c r="G109" i="1"/>
  <c r="G108" i="1"/>
  <c r="G107" i="1"/>
  <c r="G106" i="1"/>
  <c r="G104" i="1"/>
  <c r="U83" i="19" s="1"/>
  <c r="G103" i="1"/>
  <c r="G102" i="1"/>
  <c r="U81" i="19" l="1"/>
  <c r="U82" i="19"/>
  <c r="E163" i="4"/>
  <c r="D163" i="4"/>
  <c r="W47" i="18"/>
  <c r="U75" i="19"/>
  <c r="D107"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1" i="14"/>
  <c r="B24" i="14"/>
  <c r="D24" i="14" s="1"/>
  <c r="B25" i="14"/>
  <c r="D25" i="14" s="1"/>
  <c r="B26" i="14"/>
  <c r="D26" i="14" s="1"/>
  <c r="B10" i="17"/>
  <c r="C26" i="14" l="1"/>
  <c r="E26" i="14"/>
  <c r="C25" i="14"/>
  <c r="C24" i="14"/>
  <c r="E24" i="14"/>
  <c r="B28" i="14"/>
  <c r="D28" i="14"/>
  <c r="E25" i="14"/>
  <c r="K50" i="15"/>
  <c r="C28" i="14" l="1"/>
  <c r="E28" i="14"/>
  <c r="AG196" i="15"/>
  <c r="B89" i="15"/>
  <c r="B107" i="15"/>
  <c r="B71" i="15"/>
  <c r="C110" i="15"/>
  <c r="D110" i="15" s="1"/>
  <c r="E110" i="15" s="1"/>
  <c r="F110" i="15" s="1"/>
  <c r="G110" i="15" s="1"/>
  <c r="H110" i="15" s="1"/>
  <c r="I110" i="15" s="1"/>
  <c r="J110" i="15" s="1"/>
  <c r="K110" i="15" s="1"/>
  <c r="L110" i="15" s="1"/>
  <c r="M110" i="15" s="1"/>
  <c r="N110" i="15" s="1"/>
  <c r="O110" i="15" s="1"/>
  <c r="P110" i="15" s="1"/>
  <c r="Q110" i="15" s="1"/>
  <c r="R110" i="15" s="1"/>
  <c r="S110" i="15" s="1"/>
  <c r="T110" i="15" s="1"/>
  <c r="U110" i="15" s="1"/>
  <c r="V110" i="15" s="1"/>
  <c r="W110" i="15" s="1"/>
  <c r="X110" i="15" s="1"/>
  <c r="Y110" i="15" s="1"/>
  <c r="Z110" i="15" s="1"/>
  <c r="AA110" i="15" s="1"/>
  <c r="AB110" i="15" s="1"/>
  <c r="AC110" i="15" s="1"/>
  <c r="AD110" i="15" s="1"/>
  <c r="AE110" i="15" s="1"/>
  <c r="AF110" i="15" s="1"/>
  <c r="AG110" i="15" s="1"/>
  <c r="AH110" i="15" s="1"/>
  <c r="AI110" i="15" s="1"/>
  <c r="AJ110" i="15" s="1"/>
  <c r="AK110" i="15" s="1"/>
  <c r="AL110" i="15" s="1"/>
  <c r="C91" i="15"/>
  <c r="C74" i="15"/>
  <c r="D74" i="15" s="1"/>
  <c r="E74" i="15" s="1"/>
  <c r="F74" i="15" s="1"/>
  <c r="G74" i="15" s="1"/>
  <c r="H74" i="15" s="1"/>
  <c r="I74" i="15" s="1"/>
  <c r="J74" i="15" s="1"/>
  <c r="K74" i="15" s="1"/>
  <c r="L74" i="15" s="1"/>
  <c r="M74" i="15" s="1"/>
  <c r="N74" i="15" s="1"/>
  <c r="O74" i="15" s="1"/>
  <c r="P74" i="15" s="1"/>
  <c r="Q74" i="15" s="1"/>
  <c r="R74" i="15" s="1"/>
  <c r="S74" i="15" s="1"/>
  <c r="T74" i="15" s="1"/>
  <c r="U74" i="15" s="1"/>
  <c r="V74" i="15" s="1"/>
  <c r="W74" i="15" s="1"/>
  <c r="X74" i="15" s="1"/>
  <c r="Y74" i="15" s="1"/>
  <c r="Z74" i="15" s="1"/>
  <c r="AA74" i="15" s="1"/>
  <c r="AB74" i="15" s="1"/>
  <c r="AC74" i="15" s="1"/>
  <c r="AD74" i="15" s="1"/>
  <c r="AE74" i="15" s="1"/>
  <c r="AF74" i="15" s="1"/>
  <c r="AG74" i="15" s="1"/>
  <c r="AH74" i="15" s="1"/>
  <c r="AI74" i="15" s="1"/>
  <c r="AJ74" i="15" s="1"/>
  <c r="AK74" i="15" s="1"/>
  <c r="AL74" i="15" s="1"/>
  <c r="D19" i="2"/>
  <c r="B73" i="2"/>
  <c r="B143" i="2" s="1"/>
  <c r="E13" i="2"/>
  <c r="E73" i="2" s="1"/>
  <c r="E143" i="2" s="1"/>
  <c r="D13" i="2"/>
  <c r="D73" i="2" s="1"/>
  <c r="D143" i="2" s="1"/>
  <c r="C13" i="2"/>
  <c r="D197" i="2" s="1"/>
  <c r="C38" i="8" s="1"/>
  <c r="AG196" i="14"/>
  <c r="G18" i="1"/>
  <c r="D203" i="2" l="1"/>
  <c r="B11" i="2"/>
  <c r="D127" i="2"/>
  <c r="C35" i="8" s="1"/>
  <c r="D57" i="2"/>
  <c r="B173" i="15"/>
  <c r="B125" i="15"/>
  <c r="B90" i="15"/>
  <c r="B92" i="15" s="1"/>
  <c r="D91" i="15"/>
  <c r="B72" i="15"/>
  <c r="B73" i="15" s="1"/>
  <c r="B108" i="15"/>
  <c r="D157" i="2"/>
  <c r="I50" i="12"/>
  <c r="D47" i="2"/>
  <c r="B93" i="15"/>
  <c r="B111" i="15"/>
  <c r="B75" i="15"/>
  <c r="D87" i="2"/>
  <c r="D17" i="2"/>
  <c r="D97" i="2"/>
  <c r="D107" i="2"/>
  <c r="D147" i="2"/>
  <c r="D77" i="2"/>
  <c r="D167" i="2"/>
  <c r="D177" i="2"/>
  <c r="D27" i="2"/>
  <c r="D117" i="2"/>
  <c r="D37" i="2"/>
  <c r="C73" i="2"/>
  <c r="C143" i="2" s="1"/>
  <c r="B110" i="14"/>
  <c r="B107" i="14"/>
  <c r="B92" i="14"/>
  <c r="C92" i="14" s="1"/>
  <c r="D92" i="14" s="1"/>
  <c r="E92" i="14" s="1"/>
  <c r="F92" i="14" s="1"/>
  <c r="G92" i="14" s="1"/>
  <c r="H92" i="14" s="1"/>
  <c r="I92" i="14" s="1"/>
  <c r="J92" i="14" s="1"/>
  <c r="K92" i="14" s="1"/>
  <c r="L92" i="14" s="1"/>
  <c r="M92" i="14" s="1"/>
  <c r="N92" i="14" s="1"/>
  <c r="O92" i="14" s="1"/>
  <c r="P92" i="14" s="1"/>
  <c r="Q92" i="14" s="1"/>
  <c r="R92" i="14" s="1"/>
  <c r="S92" i="14" s="1"/>
  <c r="T92" i="14" s="1"/>
  <c r="U92" i="14" s="1"/>
  <c r="V92" i="14" s="1"/>
  <c r="W92" i="14" s="1"/>
  <c r="X92" i="14" s="1"/>
  <c r="Y92" i="14" s="1"/>
  <c r="Z92" i="14" s="1"/>
  <c r="AA92" i="14" s="1"/>
  <c r="AB92" i="14" s="1"/>
  <c r="AC92" i="14" s="1"/>
  <c r="AD92" i="14" s="1"/>
  <c r="AE92" i="14" s="1"/>
  <c r="AF92" i="14" s="1"/>
  <c r="AG92" i="14" s="1"/>
  <c r="AH92" i="14" s="1"/>
  <c r="AI92" i="14" s="1"/>
  <c r="AJ92" i="14" s="1"/>
  <c r="AK92" i="14" s="1"/>
  <c r="AL92" i="14" s="1"/>
  <c r="B89" i="14"/>
  <c r="K39" i="11"/>
  <c r="H39" i="11"/>
  <c r="F39" i="11"/>
  <c r="C32" i="8" l="1"/>
  <c r="D215" i="2"/>
  <c r="D63" i="2"/>
  <c r="D133" i="2"/>
  <c r="B109" i="15"/>
  <c r="B126" i="15"/>
  <c r="C107" i="15"/>
  <c r="C109" i="15" s="1"/>
  <c r="B127" i="15"/>
  <c r="E91" i="15"/>
  <c r="C71" i="15"/>
  <c r="C73" i="15" s="1"/>
  <c r="B108" i="14"/>
  <c r="B76" i="15"/>
  <c r="C89" i="15"/>
  <c r="C92" i="15" s="1"/>
  <c r="B94" i="15"/>
  <c r="B112" i="15"/>
  <c r="I50" i="11"/>
  <c r="B90" i="14"/>
  <c r="C89" i="14" s="1"/>
  <c r="B93" i="14"/>
  <c r="C110" i="14"/>
  <c r="B111" i="14"/>
  <c r="B74" i="14"/>
  <c r="C74" i="14" s="1"/>
  <c r="D74" i="14" s="1"/>
  <c r="E74" i="14" s="1"/>
  <c r="F74" i="14" s="1"/>
  <c r="G74" i="14" s="1"/>
  <c r="H74" i="14" s="1"/>
  <c r="I74" i="14" s="1"/>
  <c r="J74" i="14" s="1"/>
  <c r="K74" i="14" s="1"/>
  <c r="L74" i="14" s="1"/>
  <c r="M74" i="14" s="1"/>
  <c r="N74" i="14" s="1"/>
  <c r="B71" i="14"/>
  <c r="B173" i="14" s="1"/>
  <c r="G100" i="1"/>
  <c r="G99" i="1"/>
  <c r="G98" i="1"/>
  <c r="G96" i="1"/>
  <c r="G95" i="1"/>
  <c r="G90" i="1"/>
  <c r="G91" i="1"/>
  <c r="G92" i="1"/>
  <c r="G93" i="1"/>
  <c r="G89" i="1"/>
  <c r="G87" i="1"/>
  <c r="U86" i="19" s="1"/>
  <c r="G81" i="1"/>
  <c r="G80" i="1"/>
  <c r="G79" i="1"/>
  <c r="G77" i="1"/>
  <c r="G76" i="1"/>
  <c r="G75" i="1"/>
  <c r="G74" i="1"/>
  <c r="G67" i="1"/>
  <c r="G66" i="1"/>
  <c r="G62" i="1"/>
  <c r="G57" i="1"/>
  <c r="G58" i="1"/>
  <c r="G52" i="1"/>
  <c r="G53" i="1"/>
  <c r="G54" i="1"/>
  <c r="G55" i="1"/>
  <c r="G56" i="1"/>
  <c r="G51" i="1"/>
  <c r="G43" i="1"/>
  <c r="G44" i="1"/>
  <c r="G45" i="1"/>
  <c r="G46" i="1"/>
  <c r="G42" i="1"/>
  <c r="G40" i="1"/>
  <c r="G39" i="1"/>
  <c r="U84" i="19" s="1"/>
  <c r="G35" i="1"/>
  <c r="D221" i="2" l="1"/>
  <c r="B128" i="15"/>
  <c r="B142" i="15" s="1"/>
  <c r="C125" i="15"/>
  <c r="D107" i="15"/>
  <c r="D109" i="15" s="1"/>
  <c r="U74" i="19"/>
  <c r="U85" i="19"/>
  <c r="W27" i="18"/>
  <c r="D71" i="15"/>
  <c r="D73" i="15" s="1"/>
  <c r="C111" i="15"/>
  <c r="F91" i="15"/>
  <c r="C75" i="15"/>
  <c r="C173" i="15"/>
  <c r="C107" i="14"/>
  <c r="C109" i="14" s="1"/>
  <c r="B109" i="14"/>
  <c r="C93" i="14"/>
  <c r="C91" i="14"/>
  <c r="B91" i="14"/>
  <c r="D89" i="15"/>
  <c r="D92" i="15" s="1"/>
  <c r="C93" i="15"/>
  <c r="O74" i="14"/>
  <c r="P74" i="14" s="1"/>
  <c r="Q74" i="14" s="1"/>
  <c r="R74" i="14" s="1"/>
  <c r="S74" i="14" s="1"/>
  <c r="T74" i="14" s="1"/>
  <c r="U74" i="14" s="1"/>
  <c r="V74" i="14" s="1"/>
  <c r="W74" i="14" s="1"/>
  <c r="X74" i="14" s="1"/>
  <c r="Y74" i="14" s="1"/>
  <c r="Z74" i="14" s="1"/>
  <c r="B75" i="14"/>
  <c r="B127" i="14" s="1"/>
  <c r="D110" i="14"/>
  <c r="B72" i="14"/>
  <c r="B73" i="14" s="1"/>
  <c r="B112" i="14"/>
  <c r="D89" i="14"/>
  <c r="B94" i="14"/>
  <c r="G97" i="1"/>
  <c r="D125" i="15" l="1"/>
  <c r="C113" i="15"/>
  <c r="C95" i="14"/>
  <c r="C77" i="15"/>
  <c r="D111" i="15"/>
  <c r="D114" i="15" s="1"/>
  <c r="E107" i="15"/>
  <c r="E109" i="15" s="1"/>
  <c r="E71" i="15"/>
  <c r="E73" i="15" s="1"/>
  <c r="D75" i="15"/>
  <c r="C127" i="15"/>
  <c r="G91" i="15"/>
  <c r="D173" i="15"/>
  <c r="D107" i="14"/>
  <c r="D109" i="14" s="1"/>
  <c r="C111" i="14"/>
  <c r="C113" i="14" s="1"/>
  <c r="B126" i="14"/>
  <c r="B125" i="14"/>
  <c r="D93" i="14"/>
  <c r="D96" i="14" s="1"/>
  <c r="D91" i="14"/>
  <c r="D93" i="15"/>
  <c r="D96" i="15" s="1"/>
  <c r="E89" i="15"/>
  <c r="E92" i="15" s="1"/>
  <c r="C95" i="15"/>
  <c r="B76" i="14"/>
  <c r="B128" i="14" s="1"/>
  <c r="AA74" i="14"/>
  <c r="AB74" i="14" s="1"/>
  <c r="AC74" i="14" s="1"/>
  <c r="AD74" i="14" s="1"/>
  <c r="AE74" i="14" s="1"/>
  <c r="AF74" i="14" s="1"/>
  <c r="AG74" i="14" s="1"/>
  <c r="AH74" i="14" s="1"/>
  <c r="AI74" i="14" s="1"/>
  <c r="AJ74" i="14" s="1"/>
  <c r="AK74" i="14" s="1"/>
  <c r="AL74" i="14" s="1"/>
  <c r="E110" i="14"/>
  <c r="C71" i="14"/>
  <c r="C73" i="14" s="1"/>
  <c r="C125" i="14" s="1"/>
  <c r="E89" i="14"/>
  <c r="E91" i="14" s="1"/>
  <c r="C129" i="15" l="1"/>
  <c r="C143" i="15" s="1"/>
  <c r="F107" i="15"/>
  <c r="F109" i="15" s="1"/>
  <c r="E111" i="15"/>
  <c r="E125" i="15"/>
  <c r="D78" i="15"/>
  <c r="D130" i="15" s="1"/>
  <c r="D144" i="15" s="1"/>
  <c r="B142" i="14"/>
  <c r="F71" i="15"/>
  <c r="F73" i="15" s="1"/>
  <c r="E75" i="15"/>
  <c r="D127" i="15"/>
  <c r="H91" i="15"/>
  <c r="I91" i="15" s="1"/>
  <c r="E173" i="15"/>
  <c r="D111" i="14"/>
  <c r="D114" i="14" s="1"/>
  <c r="E107" i="14"/>
  <c r="E109" i="14" s="1"/>
  <c r="G107" i="15"/>
  <c r="G109" i="15" s="1"/>
  <c r="F111" i="15"/>
  <c r="E115" i="15"/>
  <c r="E93" i="15"/>
  <c r="F89" i="15"/>
  <c r="F92" i="15" s="1"/>
  <c r="C173" i="14"/>
  <c r="C75" i="14"/>
  <c r="C127" i="14" s="1"/>
  <c r="F110" i="14"/>
  <c r="F89" i="14"/>
  <c r="E93" i="14"/>
  <c r="D71" i="14"/>
  <c r="D73" i="14" s="1"/>
  <c r="D125" i="14" s="1"/>
  <c r="F15" i="16"/>
  <c r="F38" i="16" s="1"/>
  <c r="F125" i="15" l="1"/>
  <c r="E79" i="15"/>
  <c r="E127" i="15"/>
  <c r="F75" i="15"/>
  <c r="F80" i="15" s="1"/>
  <c r="G71" i="15"/>
  <c r="G73" i="15" s="1"/>
  <c r="F107" i="14"/>
  <c r="F109" i="14" s="1"/>
  <c r="E111" i="14"/>
  <c r="E115" i="14" s="1"/>
  <c r="J91" i="15"/>
  <c r="F173" i="15"/>
  <c r="F93" i="14"/>
  <c r="F98" i="14" s="1"/>
  <c r="F91" i="14"/>
  <c r="E97" i="15"/>
  <c r="F116" i="15"/>
  <c r="F93" i="15"/>
  <c r="F98" i="15" s="1"/>
  <c r="G89" i="15"/>
  <c r="G111" i="15"/>
  <c r="H107" i="15"/>
  <c r="C77" i="14"/>
  <c r="C129" i="14" s="1"/>
  <c r="C143" i="14" s="1"/>
  <c r="E97" i="14"/>
  <c r="D75" i="14"/>
  <c r="D78" i="14" s="1"/>
  <c r="D130" i="14" s="1"/>
  <c r="D144" i="14" s="1"/>
  <c r="D173" i="14"/>
  <c r="G110" i="14"/>
  <c r="G89" i="14"/>
  <c r="E71" i="14"/>
  <c r="E73" i="14" s="1"/>
  <c r="E125" i="14" s="1"/>
  <c r="H18" i="1"/>
  <c r="E131" i="15" l="1"/>
  <c r="E145" i="15" s="1"/>
  <c r="G125" i="15"/>
  <c r="G92" i="15"/>
  <c r="G75" i="15"/>
  <c r="H71" i="15"/>
  <c r="H72" i="15" s="1"/>
  <c r="I71" i="15" s="1"/>
  <c r="I73" i="15" s="1"/>
  <c r="F111" i="14"/>
  <c r="F116" i="14" s="1"/>
  <c r="G107" i="14"/>
  <c r="G109" i="14" s="1"/>
  <c r="F132" i="15"/>
  <c r="F146" i="15" s="1"/>
  <c r="F127" i="15"/>
  <c r="K91" i="15"/>
  <c r="G173" i="15"/>
  <c r="H108" i="15"/>
  <c r="I107" i="15" s="1"/>
  <c r="I109" i="15" s="1"/>
  <c r="G117" i="15"/>
  <c r="D127" i="14"/>
  <c r="G93" i="14"/>
  <c r="G99" i="14" s="1"/>
  <c r="G91" i="14"/>
  <c r="G93" i="15"/>
  <c r="G99" i="15" s="1"/>
  <c r="H89" i="15"/>
  <c r="H111" i="15"/>
  <c r="H89" i="14"/>
  <c r="E75" i="14"/>
  <c r="E127" i="14" s="1"/>
  <c r="E173" i="14"/>
  <c r="H110" i="14"/>
  <c r="F71" i="14"/>
  <c r="F73" i="14" s="1"/>
  <c r="F125" i="14" s="1"/>
  <c r="C81" i="17"/>
  <c r="C80" i="17"/>
  <c r="C71" i="17"/>
  <c r="C70" i="17"/>
  <c r="C61" i="17"/>
  <c r="C60" i="17"/>
  <c r="C51" i="17"/>
  <c r="C50" i="17"/>
  <c r="C41" i="17"/>
  <c r="C40" i="17"/>
  <c r="C31" i="17"/>
  <c r="C30" i="17"/>
  <c r="C21" i="17"/>
  <c r="C20" i="17"/>
  <c r="D77" i="17"/>
  <c r="E77" i="17" s="1"/>
  <c r="D67" i="17"/>
  <c r="E67" i="17" s="1"/>
  <c r="D47" i="17"/>
  <c r="E47" i="17" s="1"/>
  <c r="D37" i="17"/>
  <c r="E37" i="17" s="1"/>
  <c r="D27" i="17"/>
  <c r="E27" i="17" s="1"/>
  <c r="D17" i="17"/>
  <c r="E17" i="17" s="1"/>
  <c r="G86" i="19"/>
  <c r="B9" i="2"/>
  <c r="L12" i="2" s="1"/>
  <c r="J9" i="16"/>
  <c r="B9" i="4"/>
  <c r="L12" i="4" s="1"/>
  <c r="B72" i="12"/>
  <c r="F48" i="16"/>
  <c r="F14" i="16"/>
  <c r="W33" i="18" s="1"/>
  <c r="H50" i="1"/>
  <c r="F50" i="1"/>
  <c r="F48" i="1" s="1"/>
  <c r="C3" i="22"/>
  <c r="C9" i="22" s="1"/>
  <c r="C2" i="22"/>
  <c r="C17" i="22" s="1"/>
  <c r="K32" i="16"/>
  <c r="B5" i="4"/>
  <c r="B5" i="12" s="1"/>
  <c r="S57" i="18"/>
  <c r="B5" i="11"/>
  <c r="C5" i="16"/>
  <c r="K32" i="1"/>
  <c r="G37" i="1"/>
  <c r="B6" i="12"/>
  <c r="B6" i="4"/>
  <c r="C6" i="16"/>
  <c r="S58" i="18"/>
  <c r="B6" i="11"/>
  <c r="C6" i="1"/>
  <c r="B6" i="2" s="1"/>
  <c r="D189" i="2"/>
  <c r="D187" i="2"/>
  <c r="D186" i="2"/>
  <c r="D179" i="2"/>
  <c r="D182" i="2" s="1"/>
  <c r="D183" i="2" s="1"/>
  <c r="D176" i="2"/>
  <c r="D119" i="2"/>
  <c r="D116" i="2"/>
  <c r="D109" i="2"/>
  <c r="D106" i="2"/>
  <c r="D49" i="2"/>
  <c r="D46" i="2"/>
  <c r="D48" i="2" s="1"/>
  <c r="E58" i="2"/>
  <c r="E62" i="2" s="1"/>
  <c r="H57" i="2"/>
  <c r="E57" i="2" s="1"/>
  <c r="H56" i="2"/>
  <c r="E56" i="2" s="1"/>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D32" i="4"/>
  <c r="D58" i="4"/>
  <c r="D56" i="4"/>
  <c r="D65" i="4"/>
  <c r="D63" i="4"/>
  <c r="D72" i="4"/>
  <c r="D70" i="4"/>
  <c r="D139" i="4"/>
  <c r="D136" i="4" s="1"/>
  <c r="I28" i="8" s="1"/>
  <c r="D137" i="4"/>
  <c r="D146" i="4"/>
  <c r="D144" i="4"/>
  <c r="D153" i="4"/>
  <c r="D150" i="4" s="1"/>
  <c r="I30" i="8" s="1"/>
  <c r="D151" i="4"/>
  <c r="D182" i="4"/>
  <c r="D181" i="4" s="1"/>
  <c r="D234" i="4"/>
  <c r="D232" i="4"/>
  <c r="D227" i="4"/>
  <c r="D228" i="4" s="1"/>
  <c r="D225" i="4"/>
  <c r="D220" i="4"/>
  <c r="D217" i="4" s="1"/>
  <c r="I41" i="8" s="1"/>
  <c r="D218" i="4"/>
  <c r="H72" i="4"/>
  <c r="H71" i="4"/>
  <c r="E71" i="4" s="1"/>
  <c r="H70" i="4"/>
  <c r="H65" i="4"/>
  <c r="H64" i="4"/>
  <c r="H63" i="4"/>
  <c r="H234" i="4"/>
  <c r="H233" i="4"/>
  <c r="H232" i="4"/>
  <c r="H227" i="4"/>
  <c r="H226" i="4"/>
  <c r="E226" i="4" s="1"/>
  <c r="H225" i="4"/>
  <c r="H220" i="4"/>
  <c r="H219" i="4"/>
  <c r="H218" i="4"/>
  <c r="H153" i="4"/>
  <c r="E153" i="4" s="1"/>
  <c r="H152" i="4"/>
  <c r="H151" i="4"/>
  <c r="H146" i="4"/>
  <c r="H145" i="4"/>
  <c r="E145" i="4" s="1"/>
  <c r="H144" i="4"/>
  <c r="H139" i="4"/>
  <c r="H138" i="4"/>
  <c r="E138" i="4" s="1"/>
  <c r="H137" i="4"/>
  <c r="H38" i="4"/>
  <c r="H37" i="4"/>
  <c r="H33" i="4"/>
  <c r="E33" i="4" s="1"/>
  <c r="H32" i="4"/>
  <c r="H112" i="4"/>
  <c r="H111" i="4"/>
  <c r="H107" i="4"/>
  <c r="H106" i="4"/>
  <c r="H102" i="4"/>
  <c r="H101" i="4"/>
  <c r="H193" i="4"/>
  <c r="E193" i="4" s="1"/>
  <c r="H192" i="4"/>
  <c r="H188" i="4"/>
  <c r="H187" i="4"/>
  <c r="E187" i="4" s="1"/>
  <c r="H183" i="4"/>
  <c r="E183" i="4" s="1"/>
  <c r="H182" i="4"/>
  <c r="A44" i="21"/>
  <c r="E16" i="12"/>
  <c r="E20" i="12"/>
  <c r="G25" i="18" s="1"/>
  <c r="K28" i="12"/>
  <c r="F38" i="12"/>
  <c r="I44" i="12"/>
  <c r="I46" i="12"/>
  <c r="I47" i="12"/>
  <c r="I48" i="12"/>
  <c r="E65" i="12"/>
  <c r="F4" i="15"/>
  <c r="G4" i="15"/>
  <c r="H4" i="15"/>
  <c r="F8" i="15"/>
  <c r="G8" i="15"/>
  <c r="H8" i="15"/>
  <c r="L14" i="15"/>
  <c r="L15" i="15"/>
  <c r="L16" i="15"/>
  <c r="B155" i="15" s="1"/>
  <c r="B23" i="15"/>
  <c r="E23" i="15" s="1"/>
  <c r="B24" i="15"/>
  <c r="E24" i="15" s="1"/>
  <c r="B25" i="15"/>
  <c r="C25" i="15" s="1"/>
  <c r="C40" i="15"/>
  <c r="D40" i="15"/>
  <c r="C41" i="15"/>
  <c r="D41" i="15"/>
  <c r="C42" i="15"/>
  <c r="D42" i="15"/>
  <c r="C45" i="15"/>
  <c r="D45" i="15"/>
  <c r="C46" i="15"/>
  <c r="C47" i="15"/>
  <c r="D47" i="15"/>
  <c r="C51" i="15"/>
  <c r="D51" i="15"/>
  <c r="B57" i="15"/>
  <c r="D52" i="15" s="1"/>
  <c r="G52" i="15" s="1"/>
  <c r="C57" i="15"/>
  <c r="C58" i="15" s="1"/>
  <c r="D57" i="15"/>
  <c r="D58" i="15" s="1"/>
  <c r="E57" i="15"/>
  <c r="E58" i="15" s="1"/>
  <c r="L11" i="4"/>
  <c r="K12" i="4"/>
  <c r="C12" i="4"/>
  <c r="C81" i="4" s="1"/>
  <c r="D15" i="4"/>
  <c r="E15" i="4" s="1"/>
  <c r="C16" i="4"/>
  <c r="H8" i="8" s="1"/>
  <c r="D17" i="4"/>
  <c r="E17" i="4" s="1"/>
  <c r="H17" i="4"/>
  <c r="D20" i="4"/>
  <c r="E20" i="4" s="1"/>
  <c r="C21" i="4"/>
  <c r="H9" i="8" s="1"/>
  <c r="D22" i="4"/>
  <c r="H22" i="4"/>
  <c r="H23" i="4"/>
  <c r="E23" i="4" s="1"/>
  <c r="D25" i="4"/>
  <c r="E25" i="4" s="1"/>
  <c r="C26" i="4"/>
  <c r="H10" i="8" s="1"/>
  <c r="D27" i="4"/>
  <c r="E27" i="4" s="1"/>
  <c r="H27" i="4"/>
  <c r="H28" i="4"/>
  <c r="E28" i="4" s="1"/>
  <c r="D30" i="4"/>
  <c r="E30" i="4" s="1"/>
  <c r="C31" i="4"/>
  <c r="H11" i="8" s="1"/>
  <c r="D35" i="4"/>
  <c r="E35" i="4" s="1"/>
  <c r="C36" i="4"/>
  <c r="D40" i="4"/>
  <c r="E40" i="4" s="1"/>
  <c r="C41" i="4"/>
  <c r="D42" i="4"/>
  <c r="H43" i="4"/>
  <c r="D44" i="4"/>
  <c r="D41" i="4" s="1"/>
  <c r="I13" i="8" s="1"/>
  <c r="H44" i="4"/>
  <c r="C45" i="4"/>
  <c r="D47" i="4"/>
  <c r="E47" i="4" s="1"/>
  <c r="C48" i="4"/>
  <c r="H14" i="8" s="1"/>
  <c r="D49" i="4"/>
  <c r="H49" i="4"/>
  <c r="H50" i="4"/>
  <c r="E50" i="4" s="1"/>
  <c r="D51" i="4"/>
  <c r="H51" i="4"/>
  <c r="C52" i="4"/>
  <c r="D54" i="4"/>
  <c r="E54" i="4" s="1"/>
  <c r="C55" i="4"/>
  <c r="H56" i="4"/>
  <c r="H57" i="4"/>
  <c r="E57" i="4" s="1"/>
  <c r="H58" i="4"/>
  <c r="C59" i="4"/>
  <c r="D61" i="4"/>
  <c r="E61" i="4" s="1"/>
  <c r="C62" i="4"/>
  <c r="C66" i="4"/>
  <c r="D68" i="4"/>
  <c r="E68" i="4" s="1"/>
  <c r="C69" i="4"/>
  <c r="C73" i="4"/>
  <c r="C77" i="4"/>
  <c r="D84" i="4"/>
  <c r="E84" i="4" s="1"/>
  <c r="C85" i="4"/>
  <c r="D86" i="4"/>
  <c r="D85" i="4" s="1"/>
  <c r="H86" i="4"/>
  <c r="H87" i="4"/>
  <c r="E87" i="4" s="1"/>
  <c r="D89" i="4"/>
  <c r="E89" i="4" s="1"/>
  <c r="C90" i="4"/>
  <c r="H20" i="8" s="1"/>
  <c r="D91" i="4"/>
  <c r="D90" i="4" s="1"/>
  <c r="H91" i="4"/>
  <c r="H92" i="4"/>
  <c r="E92" i="4" s="1"/>
  <c r="D94" i="4"/>
  <c r="E94" i="4" s="1"/>
  <c r="C95" i="4"/>
  <c r="H21" i="8" s="1"/>
  <c r="D96" i="4"/>
  <c r="D95" i="4" s="1"/>
  <c r="H96" i="4"/>
  <c r="H97" i="4"/>
  <c r="D99" i="4"/>
  <c r="E99" i="4" s="1"/>
  <c r="C100" i="4"/>
  <c r="H22" i="8" s="1"/>
  <c r="D104" i="4"/>
  <c r="E104" i="4" s="1"/>
  <c r="C105" i="4"/>
  <c r="H23" i="8" s="1"/>
  <c r="D109" i="4"/>
  <c r="E109" i="4" s="1"/>
  <c r="C110" i="4"/>
  <c r="H24" i="8" s="1"/>
  <c r="D114" i="4"/>
  <c r="E114" i="4" s="1"/>
  <c r="D116" i="4"/>
  <c r="H116" i="4"/>
  <c r="H117" i="4"/>
  <c r="D118" i="4"/>
  <c r="H118" i="4"/>
  <c r="C119" i="4"/>
  <c r="D121" i="4"/>
  <c r="E121" i="4" s="1"/>
  <c r="C122" i="4"/>
  <c r="D123" i="4"/>
  <c r="H123" i="4"/>
  <c r="H124" i="4"/>
  <c r="D125" i="4"/>
  <c r="D122" i="4" s="1"/>
  <c r="I26" i="8" s="1"/>
  <c r="H125" i="4"/>
  <c r="C126" i="4"/>
  <c r="D128" i="4"/>
  <c r="E128" i="4" s="1"/>
  <c r="C129" i="4"/>
  <c r="H27" i="8" s="1"/>
  <c r="D130" i="4"/>
  <c r="H130" i="4"/>
  <c r="H131" i="4"/>
  <c r="E131" i="4" s="1"/>
  <c r="D132" i="4"/>
  <c r="H132" i="4"/>
  <c r="C133" i="4"/>
  <c r="D135" i="4"/>
  <c r="E135" i="4" s="1"/>
  <c r="C140" i="4"/>
  <c r="D142" i="4"/>
  <c r="E142" i="4" s="1"/>
  <c r="C147" i="4"/>
  <c r="D149" i="4"/>
  <c r="E149" i="4" s="1"/>
  <c r="C154" i="4"/>
  <c r="D165" i="4"/>
  <c r="E165" i="4" s="1"/>
  <c r="H32" i="8"/>
  <c r="D167" i="4"/>
  <c r="D166" i="4" s="1"/>
  <c r="H167" i="4"/>
  <c r="H168" i="4"/>
  <c r="D170" i="4"/>
  <c r="E170" i="4" s="1"/>
  <c r="H33" i="8"/>
  <c r="D172" i="4"/>
  <c r="D171" i="4" s="1"/>
  <c r="H172" i="4"/>
  <c r="H173" i="4"/>
  <c r="D175" i="4"/>
  <c r="E175" i="4" s="1"/>
  <c r="C176" i="4"/>
  <c r="H34" i="8" s="1"/>
  <c r="D177" i="4"/>
  <c r="D176" i="4" s="1"/>
  <c r="H177" i="4"/>
  <c r="H178" i="4"/>
  <c r="E178" i="4" s="1"/>
  <c r="D180" i="4"/>
  <c r="E180" i="4" s="1"/>
  <c r="C181" i="4"/>
  <c r="D185" i="4"/>
  <c r="E185" i="4" s="1"/>
  <c r="C186" i="4"/>
  <c r="D190" i="4"/>
  <c r="E190" i="4" s="1"/>
  <c r="C191" i="4"/>
  <c r="H37" i="8" s="1"/>
  <c r="D195" i="4"/>
  <c r="E195" i="4" s="1"/>
  <c r="C196" i="4"/>
  <c r="H38" i="8" s="1"/>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C228" i="4"/>
  <c r="C231" i="4"/>
  <c r="H43" i="8" s="1"/>
  <c r="C235" i="4"/>
  <c r="G14" i="16"/>
  <c r="K16" i="16"/>
  <c r="G17" i="16"/>
  <c r="K17" i="16"/>
  <c r="G19" i="16"/>
  <c r="H19" i="16" s="1"/>
  <c r="F27" i="16"/>
  <c r="F26" i="16" s="1"/>
  <c r="G31" i="16"/>
  <c r="H31" i="16" s="1"/>
  <c r="G34" i="16"/>
  <c r="H34" i="16" s="1"/>
  <c r="H35" i="16"/>
  <c r="G37" i="16"/>
  <c r="K39" i="16"/>
  <c r="H39" i="16" s="1"/>
  <c r="K40" i="16"/>
  <c r="F41" i="16"/>
  <c r="E64" i="12" s="1"/>
  <c r="K42" i="16"/>
  <c r="K43" i="16"/>
  <c r="K44" i="16"/>
  <c r="K45" i="16"/>
  <c r="K46" i="16"/>
  <c r="G49" i="16"/>
  <c r="K49" i="16"/>
  <c r="K51" i="16"/>
  <c r="K52" i="16"/>
  <c r="H52" i="16" s="1"/>
  <c r="K53" i="16"/>
  <c r="K54" i="16"/>
  <c r="K55" i="16"/>
  <c r="K56" i="16"/>
  <c r="K57" i="16"/>
  <c r="K58" i="16"/>
  <c r="F60" i="16"/>
  <c r="G60" i="16" s="1"/>
  <c r="F61" i="16"/>
  <c r="G63" i="16"/>
  <c r="H63" i="16" s="1"/>
  <c r="G64" i="16"/>
  <c r="K64" i="16"/>
  <c r="K65" i="16"/>
  <c r="K66" i="16"/>
  <c r="K67" i="16"/>
  <c r="F68" i="16"/>
  <c r="E66" i="12" s="1"/>
  <c r="K69" i="16"/>
  <c r="H69" i="16" s="1"/>
  <c r="K70" i="16"/>
  <c r="K71" i="16"/>
  <c r="K72" i="16"/>
  <c r="F73" i="16"/>
  <c r="E67" i="12" s="1"/>
  <c r="K74" i="16"/>
  <c r="K75" i="16"/>
  <c r="K76" i="16"/>
  <c r="K77" i="16"/>
  <c r="F78" i="16"/>
  <c r="K79" i="16"/>
  <c r="K80" i="16"/>
  <c r="K81" i="16"/>
  <c r="H81" i="16" s="1"/>
  <c r="F82" i="16"/>
  <c r="H83" i="16"/>
  <c r="G84" i="16"/>
  <c r="G85" i="16"/>
  <c r="H85" i="16" s="1"/>
  <c r="G86" i="16"/>
  <c r="H86" i="16" s="1"/>
  <c r="K87" i="16"/>
  <c r="F88" i="16"/>
  <c r="F47" i="12" s="1"/>
  <c r="K89" i="16"/>
  <c r="K90" i="16"/>
  <c r="K91" i="16"/>
  <c r="K92" i="16"/>
  <c r="K93" i="16"/>
  <c r="F94" i="16"/>
  <c r="K67" i="12" s="1"/>
  <c r="K95" i="16"/>
  <c r="H95" i="16" s="1"/>
  <c r="K96" i="16"/>
  <c r="F97" i="16"/>
  <c r="K98" i="16"/>
  <c r="K99" i="16"/>
  <c r="K100" i="16"/>
  <c r="H100" i="16" s="1"/>
  <c r="F101" i="16"/>
  <c r="K65" i="12" s="1"/>
  <c r="K102" i="16"/>
  <c r="K103" i="16"/>
  <c r="K104" i="16"/>
  <c r="H104" i="16" s="1"/>
  <c r="F105" i="16"/>
  <c r="K106" i="16"/>
  <c r="K107" i="16"/>
  <c r="K108" i="16"/>
  <c r="K109" i="16"/>
  <c r="F110" i="16"/>
  <c r="G110" i="16"/>
  <c r="K111" i="16"/>
  <c r="K112" i="16"/>
  <c r="K113" i="16"/>
  <c r="H113" i="16" s="1"/>
  <c r="K114" i="16"/>
  <c r="K115" i="16"/>
  <c r="D2" i="22"/>
  <c r="D17" i="22" s="1"/>
  <c r="U8" i="18"/>
  <c r="S9" i="18"/>
  <c r="T9" i="18" s="1"/>
  <c r="U9" i="18"/>
  <c r="U10" i="18"/>
  <c r="S11" i="18"/>
  <c r="T11" i="18" s="1"/>
  <c r="U11" i="18"/>
  <c r="U12" i="18"/>
  <c r="U13" i="18"/>
  <c r="U14" i="18"/>
  <c r="G17" i="18"/>
  <c r="S17" i="18"/>
  <c r="U18" i="18"/>
  <c r="B20" i="18"/>
  <c r="U20" i="18" s="1"/>
  <c r="V25" i="18"/>
  <c r="U33" i="18"/>
  <c r="U34" i="18"/>
  <c r="U35" i="18"/>
  <c r="U36" i="18"/>
  <c r="U37" i="18"/>
  <c r="S49" i="18"/>
  <c r="S51" i="18"/>
  <c r="S52" i="18"/>
  <c r="H65" i="18"/>
  <c r="N65" i="18"/>
  <c r="E2" i="19"/>
  <c r="E47" i="19" s="1"/>
  <c r="D6" i="19"/>
  <c r="D9" i="19" s="1"/>
  <c r="Q18" i="19"/>
  <c r="D22" i="19"/>
  <c r="D25" i="19" s="1"/>
  <c r="D23" i="19"/>
  <c r="C39" i="19"/>
  <c r="C41" i="19"/>
  <c r="C50" i="19"/>
  <c r="D50" i="19"/>
  <c r="C52" i="19"/>
  <c r="D52" i="19"/>
  <c r="C54" i="19"/>
  <c r="D54" i="19"/>
  <c r="C56" i="19"/>
  <c r="D56" i="19"/>
  <c r="C58" i="19"/>
  <c r="D58" i="19"/>
  <c r="C60" i="19"/>
  <c r="D60" i="19"/>
  <c r="F60" i="19"/>
  <c r="G60" i="19"/>
  <c r="H60" i="19"/>
  <c r="I60" i="19"/>
  <c r="J60" i="19"/>
  <c r="K60" i="19"/>
  <c r="L60" i="19"/>
  <c r="M60" i="19"/>
  <c r="N60" i="19"/>
  <c r="O60" i="19"/>
  <c r="P60" i="19"/>
  <c r="C62" i="19"/>
  <c r="D62" i="19"/>
  <c r="C64" i="19"/>
  <c r="D64" i="19"/>
  <c r="D66" i="19"/>
  <c r="D74" i="19"/>
  <c r="T74" i="19" s="1"/>
  <c r="D75" i="19"/>
  <c r="D76" i="19" s="1"/>
  <c r="D77" i="19" s="1"/>
  <c r="D78" i="19" s="1"/>
  <c r="D79"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E55" i="17" s="1"/>
  <c r="E56" i="17"/>
  <c r="D58" i="17"/>
  <c r="E58" i="17" s="1"/>
  <c r="E59" i="17"/>
  <c r="D64" i="17"/>
  <c r="E64" i="17" s="1"/>
  <c r="D65" i="17"/>
  <c r="E65" i="17" s="1"/>
  <c r="D66" i="17"/>
  <c r="E66" i="17" s="1"/>
  <c r="D68" i="17"/>
  <c r="E68" i="17" s="1"/>
  <c r="E69" i="17"/>
  <c r="D74" i="17"/>
  <c r="E74" i="17" s="1"/>
  <c r="D75" i="17"/>
  <c r="E75" i="17" s="1"/>
  <c r="D76" i="17"/>
  <c r="E76" i="17" s="1"/>
  <c r="D78" i="17"/>
  <c r="E78" i="17" s="1"/>
  <c r="D79" i="17"/>
  <c r="E79" i="17" s="1"/>
  <c r="C84" i="17"/>
  <c r="E16" i="11"/>
  <c r="K16" i="11"/>
  <c r="K28" i="11"/>
  <c r="F38" i="11"/>
  <c r="E84" i="11" s="1"/>
  <c r="E75" i="11" s="1"/>
  <c r="I49" i="11"/>
  <c r="H52" i="11"/>
  <c r="K52" i="11" s="1"/>
  <c r="F72" i="11"/>
  <c r="K72" i="11"/>
  <c r="F4" i="14"/>
  <c r="G4" i="14"/>
  <c r="H4" i="14"/>
  <c r="F8" i="14"/>
  <c r="G8" i="14"/>
  <c r="H8" i="14"/>
  <c r="L14" i="14"/>
  <c r="L15" i="14"/>
  <c r="L16" i="14"/>
  <c r="B155" i="14" s="1"/>
  <c r="C40" i="14"/>
  <c r="D40" i="14"/>
  <c r="C41" i="14"/>
  <c r="D41" i="14"/>
  <c r="C42" i="14"/>
  <c r="D42" i="14"/>
  <c r="C45" i="14"/>
  <c r="D45" i="14"/>
  <c r="C46" i="14"/>
  <c r="D46" i="14"/>
  <c r="C47" i="14"/>
  <c r="D47" i="14"/>
  <c r="C52" i="14"/>
  <c r="D52" i="14"/>
  <c r="B57" i="14"/>
  <c r="D51" i="14" s="1"/>
  <c r="G51" i="14" s="1"/>
  <c r="C57" i="14"/>
  <c r="C58" i="14" s="1"/>
  <c r="D57" i="14"/>
  <c r="D58" i="14" s="1"/>
  <c r="E57" i="14"/>
  <c r="C12" i="2"/>
  <c r="C142" i="2" s="1"/>
  <c r="D15" i="2"/>
  <c r="E15" i="2" s="1"/>
  <c r="H16" i="2"/>
  <c r="C18" i="2"/>
  <c r="B8" i="8" s="1"/>
  <c r="H19" i="2"/>
  <c r="E19" i="2" s="1"/>
  <c r="D20" i="2"/>
  <c r="E20" i="2" s="1"/>
  <c r="C22" i="2"/>
  <c r="C23" i="2" s="1"/>
  <c r="D25" i="2"/>
  <c r="E25" i="2" s="1"/>
  <c r="H26" i="2"/>
  <c r="H27" i="2"/>
  <c r="E27" i="2" s="1"/>
  <c r="C28" i="2"/>
  <c r="B9" i="8" s="1"/>
  <c r="H29" i="2"/>
  <c r="D30" i="2"/>
  <c r="E30" i="2" s="1"/>
  <c r="C31" i="2"/>
  <c r="C32" i="2"/>
  <c r="C33" i="2" s="1"/>
  <c r="D35" i="2"/>
  <c r="E35" i="2" s="1"/>
  <c r="H36" i="2"/>
  <c r="H37" i="2"/>
  <c r="C38" i="2"/>
  <c r="B10" i="8" s="1"/>
  <c r="H39" i="2"/>
  <c r="D40" i="2"/>
  <c r="E40" i="2" s="1"/>
  <c r="C41" i="2"/>
  <c r="C42" i="2"/>
  <c r="C43" i="2" s="1"/>
  <c r="D45" i="2"/>
  <c r="E45" i="2" s="1"/>
  <c r="D50" i="2"/>
  <c r="E50" i="2" s="1"/>
  <c r="C51" i="2"/>
  <c r="C52" i="2"/>
  <c r="C53" i="2" s="1"/>
  <c r="D55" i="2"/>
  <c r="C33" i="8" s="1"/>
  <c r="C12" i="8" s="1"/>
  <c r="C71" i="2"/>
  <c r="D71" i="2"/>
  <c r="E71" i="2"/>
  <c r="D75" i="2"/>
  <c r="E75" i="2" s="1"/>
  <c r="D76" i="2"/>
  <c r="H76" i="2"/>
  <c r="H77" i="2"/>
  <c r="C78" i="2"/>
  <c r="B14" i="8" s="1"/>
  <c r="D79" i="2"/>
  <c r="H79" i="2"/>
  <c r="D80" i="2"/>
  <c r="E80" i="2" s="1"/>
  <c r="C81" i="2"/>
  <c r="C82" i="2"/>
  <c r="C83" i="2" s="1"/>
  <c r="D85" i="2"/>
  <c r="E85" i="2" s="1"/>
  <c r="D86" i="2"/>
  <c r="D88" i="2" s="1"/>
  <c r="H86" i="2"/>
  <c r="H87" i="2"/>
  <c r="C88" i="2"/>
  <c r="B15" i="8" s="1"/>
  <c r="D89" i="2"/>
  <c r="H89" i="2"/>
  <c r="D90" i="2"/>
  <c r="E90" i="2" s="1"/>
  <c r="C91" i="2"/>
  <c r="C92" i="2"/>
  <c r="C93" i="2" s="1"/>
  <c r="D95" i="2"/>
  <c r="E95" i="2" s="1"/>
  <c r="D96" i="2"/>
  <c r="D98" i="2" s="1"/>
  <c r="C16" i="8" s="1"/>
  <c r="H96" i="2"/>
  <c r="H97" i="2"/>
  <c r="C98" i="2"/>
  <c r="D99" i="2"/>
  <c r="H99" i="2"/>
  <c r="D100" i="2"/>
  <c r="E100" i="2" s="1"/>
  <c r="C101" i="2"/>
  <c r="C102" i="2"/>
  <c r="C103" i="2" s="1"/>
  <c r="D105" i="2"/>
  <c r="E105" i="2" s="1"/>
  <c r="C108" i="2"/>
  <c r="D110" i="2"/>
  <c r="E110" i="2" s="1"/>
  <c r="C111" i="2"/>
  <c r="C112" i="2"/>
  <c r="C113" i="2" s="1"/>
  <c r="D115" i="2"/>
  <c r="E115" i="2" s="1"/>
  <c r="C118" i="2"/>
  <c r="D120" i="2"/>
  <c r="E120" i="2" s="1"/>
  <c r="C121" i="2"/>
  <c r="C122" i="2"/>
  <c r="C123" i="2" s="1"/>
  <c r="D125" i="2"/>
  <c r="C36" i="8" s="1"/>
  <c r="C19" i="8" s="1"/>
  <c r="C141" i="2"/>
  <c r="D141" i="2"/>
  <c r="E141" i="2"/>
  <c r="D145" i="2"/>
  <c r="E145" i="2" s="1"/>
  <c r="D146" i="2"/>
  <c r="D151" i="2" s="1"/>
  <c r="H146" i="2"/>
  <c r="H147" i="2"/>
  <c r="E147" i="2" s="1"/>
  <c r="C148" i="2"/>
  <c r="D149" i="2"/>
  <c r="D152" i="2" s="1"/>
  <c r="H149" i="2"/>
  <c r="D150" i="2"/>
  <c r="E150" i="2" s="1"/>
  <c r="C151" i="2"/>
  <c r="C152" i="2"/>
  <c r="C153" i="2" s="1"/>
  <c r="D155" i="2"/>
  <c r="E155" i="2" s="1"/>
  <c r="D156" i="2"/>
  <c r="D161" i="2" s="1"/>
  <c r="H156" i="2"/>
  <c r="H157" i="2"/>
  <c r="C158" i="2"/>
  <c r="D159" i="2"/>
  <c r="D162" i="2" s="1"/>
  <c r="D163" i="2" s="1"/>
  <c r="H159" i="2"/>
  <c r="D160" i="2"/>
  <c r="E160" i="2" s="1"/>
  <c r="C161" i="2"/>
  <c r="C162" i="2"/>
  <c r="C163" i="2" s="1"/>
  <c r="D165" i="2"/>
  <c r="E165" i="2" s="1"/>
  <c r="D166" i="2"/>
  <c r="H166" i="2"/>
  <c r="H167" i="2"/>
  <c r="C168" i="2"/>
  <c r="B23" i="8" s="1"/>
  <c r="D169" i="2"/>
  <c r="H169" i="2"/>
  <c r="D170" i="2"/>
  <c r="E170" i="2" s="1"/>
  <c r="C171" i="2"/>
  <c r="C172" i="2"/>
  <c r="C173" i="2" s="1"/>
  <c r="D175" i="2"/>
  <c r="E175" i="2" s="1"/>
  <c r="C178" i="2"/>
  <c r="D180" i="2"/>
  <c r="E180" i="2" s="1"/>
  <c r="C181" i="2"/>
  <c r="C182" i="2"/>
  <c r="C183" i="2" s="1"/>
  <c r="D185" i="2"/>
  <c r="E185" i="2" s="1"/>
  <c r="C188" i="2"/>
  <c r="B25" i="8" s="1"/>
  <c r="D190" i="2"/>
  <c r="E190" i="2" s="1"/>
  <c r="C191" i="2"/>
  <c r="C192" i="2"/>
  <c r="C193" i="2" s="1"/>
  <c r="D195" i="2"/>
  <c r="C39" i="8" s="1"/>
  <c r="C26" i="8" s="1"/>
  <c r="J9" i="1"/>
  <c r="G12" i="1"/>
  <c r="J94" i="1" s="1"/>
  <c r="E11" i="19"/>
  <c r="G14" i="1"/>
  <c r="G17" i="1"/>
  <c r="G19" i="1"/>
  <c r="H19" i="1" s="1"/>
  <c r="F27" i="1"/>
  <c r="F26" i="1" s="1"/>
  <c r="G31" i="1"/>
  <c r="H31" i="1" s="1"/>
  <c r="G34" i="1"/>
  <c r="H35" i="1"/>
  <c r="K39" i="1"/>
  <c r="K40" i="1"/>
  <c r="H40" i="1" s="1"/>
  <c r="F41" i="1"/>
  <c r="K42" i="1"/>
  <c r="H42" i="1" s="1"/>
  <c r="K43" i="1"/>
  <c r="H43" i="1" s="1"/>
  <c r="K44" i="1"/>
  <c r="H44" i="1" s="1"/>
  <c r="K45" i="1"/>
  <c r="H45" i="1" s="1"/>
  <c r="K46" i="1"/>
  <c r="H46" i="1" s="1"/>
  <c r="G49" i="1"/>
  <c r="K49" i="1"/>
  <c r="K51" i="1"/>
  <c r="H51" i="1" s="1"/>
  <c r="K52" i="1"/>
  <c r="H52" i="1" s="1"/>
  <c r="K53" i="1"/>
  <c r="H53" i="1" s="1"/>
  <c r="K54" i="1"/>
  <c r="H54" i="1" s="1"/>
  <c r="K55" i="1"/>
  <c r="H55" i="1" s="1"/>
  <c r="K56" i="1"/>
  <c r="H56" i="1" s="1"/>
  <c r="K57" i="1"/>
  <c r="H57" i="1" s="1"/>
  <c r="K58" i="1"/>
  <c r="H58" i="1" s="1"/>
  <c r="F60" i="1"/>
  <c r="G60" i="1"/>
  <c r="H60" i="1" s="1"/>
  <c r="F61" i="1"/>
  <c r="K62" i="1"/>
  <c r="H62" i="1" s="1"/>
  <c r="G63" i="1"/>
  <c r="G64" i="1"/>
  <c r="K64" i="1"/>
  <c r="K65" i="1"/>
  <c r="K66" i="1"/>
  <c r="K67" i="1"/>
  <c r="F68" i="1"/>
  <c r="E66" i="11" s="1"/>
  <c r="K69" i="1"/>
  <c r="K70" i="1"/>
  <c r="K71" i="1"/>
  <c r="K72" i="1"/>
  <c r="F73" i="1"/>
  <c r="E67" i="11" s="1"/>
  <c r="K74" i="1"/>
  <c r="K75" i="1"/>
  <c r="H75" i="1" s="1"/>
  <c r="K76" i="1"/>
  <c r="K77" i="1"/>
  <c r="F78" i="1"/>
  <c r="K79" i="1"/>
  <c r="H79" i="1" s="1"/>
  <c r="K80" i="1"/>
  <c r="G78" i="1"/>
  <c r="K81" i="1"/>
  <c r="F82" i="1"/>
  <c r="H83" i="1"/>
  <c r="G84" i="1"/>
  <c r="H84" i="1" s="1"/>
  <c r="G85" i="1"/>
  <c r="H85" i="1" s="1"/>
  <c r="G86" i="1"/>
  <c r="H86" i="1" s="1"/>
  <c r="K87" i="1"/>
  <c r="F88" i="1"/>
  <c r="F47" i="11" s="1"/>
  <c r="K89" i="1"/>
  <c r="K90" i="1"/>
  <c r="K91" i="1"/>
  <c r="K92" i="1"/>
  <c r="K93" i="1"/>
  <c r="F94" i="1"/>
  <c r="K67" i="11" s="1"/>
  <c r="K95" i="1"/>
  <c r="K96" i="1"/>
  <c r="F97" i="1"/>
  <c r="K98" i="1"/>
  <c r="K99" i="1"/>
  <c r="K100" i="1"/>
  <c r="F101" i="1"/>
  <c r="K65" i="11" s="1"/>
  <c r="K102" i="1"/>
  <c r="K103" i="1"/>
  <c r="K104" i="1"/>
  <c r="F105" i="1"/>
  <c r="K66" i="11" s="1"/>
  <c r="K106" i="1"/>
  <c r="K107" i="1"/>
  <c r="K108" i="1"/>
  <c r="K109" i="1"/>
  <c r="F110" i="1"/>
  <c r="K111" i="1"/>
  <c r="K112" i="1"/>
  <c r="K113" i="1"/>
  <c r="K114" i="1"/>
  <c r="K115" i="1"/>
  <c r="H115" i="1" s="1"/>
  <c r="D154" i="4"/>
  <c r="I17" i="18"/>
  <c r="F2" i="19"/>
  <c r="F38" i="19" s="1"/>
  <c r="H17" i="18"/>
  <c r="D31" i="2"/>
  <c r="D28" i="2"/>
  <c r="C9" i="8" s="1"/>
  <c r="C21" i="2"/>
  <c r="D16" i="2"/>
  <c r="C65" i="2"/>
  <c r="C135" i="2" s="1"/>
  <c r="C205" i="2" s="1"/>
  <c r="E102" i="4"/>
  <c r="D55" i="4"/>
  <c r="I15" i="8" s="1"/>
  <c r="D59" i="4"/>
  <c r="E116" i="4"/>
  <c r="H35" i="8"/>
  <c r="D66" i="4"/>
  <c r="E65" i="4"/>
  <c r="J31" i="16"/>
  <c r="J78" i="16"/>
  <c r="J105" i="16"/>
  <c r="J48" i="16"/>
  <c r="D12" i="4"/>
  <c r="G122" i="4" s="1"/>
  <c r="J86" i="16"/>
  <c r="J101" i="16"/>
  <c r="J68" i="16"/>
  <c r="K38" i="16"/>
  <c r="J41" i="16"/>
  <c r="J15" i="16"/>
  <c r="J50" i="16"/>
  <c r="J110" i="16"/>
  <c r="J97" i="16"/>
  <c r="J73" i="16"/>
  <c r="J94" i="16"/>
  <c r="C16" i="22"/>
  <c r="I24" i="22" s="1"/>
  <c r="G27" i="1" l="1"/>
  <c r="C15" i="8"/>
  <c r="C11" i="8"/>
  <c r="D32" i="2"/>
  <c r="D33" i="2" s="1"/>
  <c r="E26" i="2"/>
  <c r="E192" i="4"/>
  <c r="E191" i="4" s="1"/>
  <c r="J37" i="8" s="1"/>
  <c r="D133" i="4"/>
  <c r="D52" i="4"/>
  <c r="F38" i="1"/>
  <c r="W39" i="18" s="1"/>
  <c r="W13" i="18" a="1"/>
  <c r="W13" i="18" s="1"/>
  <c r="G13" i="18" s="1"/>
  <c r="S13" i="18" s="1"/>
  <c r="D82" i="2"/>
  <c r="D83" i="2" s="1"/>
  <c r="E215" i="2"/>
  <c r="C219" i="2"/>
  <c r="C67" i="2"/>
  <c r="C137" i="2" s="1"/>
  <c r="C207" i="2" s="1"/>
  <c r="B29" i="8"/>
  <c r="C217" i="2"/>
  <c r="D78" i="2"/>
  <c r="C14" i="8" s="1"/>
  <c r="D191" i="2"/>
  <c r="E133" i="2"/>
  <c r="D35" i="8"/>
  <c r="D38" i="8"/>
  <c r="D32" i="8"/>
  <c r="E33" i="11"/>
  <c r="E29" i="2"/>
  <c r="E32" i="2" s="1"/>
  <c r="E33" i="2" s="1"/>
  <c r="B44" i="21"/>
  <c r="C44" i="21"/>
  <c r="D108" i="2"/>
  <c r="C17" i="8" s="1"/>
  <c r="H63" i="1"/>
  <c r="G61" i="1"/>
  <c r="E42" i="4"/>
  <c r="D78" i="4"/>
  <c r="D159" i="4" s="1"/>
  <c r="D147" i="4"/>
  <c r="D143" i="4"/>
  <c r="I29" i="8" s="1"/>
  <c r="D200" i="4"/>
  <c r="E63" i="2"/>
  <c r="E221" i="2" s="1"/>
  <c r="D48" i="4"/>
  <c r="I14" i="8" s="1"/>
  <c r="D188" i="2"/>
  <c r="C25" i="8" s="1"/>
  <c r="D192" i="2"/>
  <c r="D193" i="2" s="1"/>
  <c r="E179" i="2"/>
  <c r="E182" i="2" s="1"/>
  <c r="E183" i="2" s="1"/>
  <c r="D121" i="2"/>
  <c r="D122" i="2"/>
  <c r="D123" i="2" s="1"/>
  <c r="D101" i="2"/>
  <c r="D92" i="2"/>
  <c r="D52" i="2"/>
  <c r="D53" i="2" s="1"/>
  <c r="D42" i="2"/>
  <c r="D43" i="2" s="1"/>
  <c r="D112" i="2"/>
  <c r="D113" i="2" s="1"/>
  <c r="D22" i="2"/>
  <c r="E22" i="2"/>
  <c r="D235" i="4"/>
  <c r="E177" i="4"/>
  <c r="E176" i="4" s="1"/>
  <c r="J34" i="8" s="1"/>
  <c r="E106" i="4"/>
  <c r="E111" i="4"/>
  <c r="E225" i="4"/>
  <c r="E123" i="4"/>
  <c r="E195" i="2"/>
  <c r="D200" i="2"/>
  <c r="D201" i="2" s="1"/>
  <c r="C13" i="22"/>
  <c r="C12" i="22"/>
  <c r="L61" i="19"/>
  <c r="H61" i="19"/>
  <c r="E186" i="2"/>
  <c r="C66" i="2"/>
  <c r="C136" i="2" s="1"/>
  <c r="C206" i="2" s="1"/>
  <c r="C68" i="2"/>
  <c r="E16" i="2"/>
  <c r="E21" i="2" s="1"/>
  <c r="E125" i="2"/>
  <c r="D130" i="2"/>
  <c r="E55" i="2"/>
  <c r="D60" i="2"/>
  <c r="E109" i="2"/>
  <c r="E112" i="2" s="1"/>
  <c r="E113" i="2" s="1"/>
  <c r="E39" i="2"/>
  <c r="E42" i="2" s="1"/>
  <c r="E46" i="2"/>
  <c r="E48" i="2" s="1"/>
  <c r="D11" i="8" s="1"/>
  <c r="D23" i="15"/>
  <c r="E70" i="4"/>
  <c r="C8" i="22"/>
  <c r="E20" i="22" s="1"/>
  <c r="D3" i="22"/>
  <c r="D11" i="22" s="1"/>
  <c r="C7" i="22"/>
  <c r="C15" i="22"/>
  <c r="E220" i="4"/>
  <c r="E204" i="4"/>
  <c r="C14" i="22"/>
  <c r="C11" i="22"/>
  <c r="C10" i="22"/>
  <c r="D221" i="4"/>
  <c r="E58" i="4"/>
  <c r="D81" i="2"/>
  <c r="E33" i="12"/>
  <c r="E64" i="11"/>
  <c r="D214" i="4"/>
  <c r="D7" i="22"/>
  <c r="E96" i="2"/>
  <c r="E132" i="4"/>
  <c r="I21" i="8"/>
  <c r="B21" i="18"/>
  <c r="B22" i="18" s="1"/>
  <c r="B23" i="18" s="1"/>
  <c r="E197" i="4"/>
  <c r="P61" i="19"/>
  <c r="D126" i="4"/>
  <c r="E96" i="4"/>
  <c r="E75" i="12"/>
  <c r="E84" i="12" s="1"/>
  <c r="E37" i="4"/>
  <c r="D105" i="4"/>
  <c r="I23" i="8" s="1"/>
  <c r="E63" i="4"/>
  <c r="E66" i="4" s="1"/>
  <c r="D231" i="4"/>
  <c r="I43" i="8" s="1"/>
  <c r="I36" i="8"/>
  <c r="E213" i="4"/>
  <c r="I61" i="19"/>
  <c r="D118" i="2"/>
  <c r="C18" i="8" s="1"/>
  <c r="E146" i="4"/>
  <c r="E143" i="4" s="1"/>
  <c r="J29" i="8" s="1"/>
  <c r="I22" i="8"/>
  <c r="G7" i="18"/>
  <c r="E22" i="4"/>
  <c r="E21" i="4" s="1"/>
  <c r="K63" i="12"/>
  <c r="E206" i="4"/>
  <c r="E101" i="4"/>
  <c r="E100" i="4" s="1"/>
  <c r="J22" i="8" s="1"/>
  <c r="E151" i="4"/>
  <c r="E154" i="4" s="1"/>
  <c r="I37" i="8"/>
  <c r="E86" i="2"/>
  <c r="E119" i="2"/>
  <c r="E122" i="2" s="1"/>
  <c r="E76" i="2"/>
  <c r="I33" i="8"/>
  <c r="I12" i="8"/>
  <c r="D172" i="2"/>
  <c r="D173" i="2" s="1"/>
  <c r="D171" i="2"/>
  <c r="E49" i="2"/>
  <c r="E52" i="2" s="1"/>
  <c r="E53" i="2" s="1"/>
  <c r="J88" i="1"/>
  <c r="J105" i="1"/>
  <c r="J50" i="1"/>
  <c r="J73" i="1"/>
  <c r="J101" i="1"/>
  <c r="J41" i="1"/>
  <c r="H38" i="11"/>
  <c r="F84" i="11" s="1"/>
  <c r="F75" i="11" s="1"/>
  <c r="E12" i="19"/>
  <c r="E13" i="19" s="1"/>
  <c r="H125" i="15"/>
  <c r="G81" i="15"/>
  <c r="G133" i="15" s="1"/>
  <c r="G147" i="15" s="1"/>
  <c r="D73" i="4"/>
  <c r="H107" i="14"/>
  <c r="H108" i="14" s="1"/>
  <c r="G111" i="14"/>
  <c r="G117" i="14" s="1"/>
  <c r="E25" i="15"/>
  <c r="G35" i="15" s="1"/>
  <c r="D25" i="15"/>
  <c r="F47" i="19"/>
  <c r="D119" i="4"/>
  <c r="H75" i="15"/>
  <c r="K27" i="12"/>
  <c r="K61" i="19"/>
  <c r="D51" i="2"/>
  <c r="W20" i="18"/>
  <c r="E65" i="11"/>
  <c r="K66" i="12"/>
  <c r="F47" i="16"/>
  <c r="F48" i="12" s="1"/>
  <c r="F47" i="1"/>
  <c r="E63" i="11" s="1"/>
  <c r="C23" i="15"/>
  <c r="H109" i="15"/>
  <c r="G127" i="15"/>
  <c r="H73" i="15"/>
  <c r="L91" i="15"/>
  <c r="N61" i="19"/>
  <c r="F61" i="19"/>
  <c r="D45" i="4"/>
  <c r="D12" i="2"/>
  <c r="E21" i="21" s="1"/>
  <c r="E38" i="21" s="1"/>
  <c r="F18" i="19"/>
  <c r="E211" i="4"/>
  <c r="D129" i="4"/>
  <c r="I27" i="8" s="1"/>
  <c r="E51" i="4"/>
  <c r="E48" i="4" s="1"/>
  <c r="J14" i="8" s="1"/>
  <c r="E227" i="4"/>
  <c r="E228" i="4" s="1"/>
  <c r="G115" i="4"/>
  <c r="H27" i="1"/>
  <c r="H26" i="1" s="1"/>
  <c r="G26" i="1"/>
  <c r="H90" i="15"/>
  <c r="H126" i="15" s="1"/>
  <c r="H173" i="15"/>
  <c r="J10" i="19"/>
  <c r="H38" i="12"/>
  <c r="K38" i="12" s="1"/>
  <c r="H60" i="16"/>
  <c r="D24" i="15"/>
  <c r="L17" i="15"/>
  <c r="L18" i="15" s="1"/>
  <c r="W21" i="15"/>
  <c r="O21" i="15"/>
  <c r="P21" i="15"/>
  <c r="V21" i="15"/>
  <c r="N21" i="15"/>
  <c r="T21" i="15"/>
  <c r="L21" i="15"/>
  <c r="S21" i="15"/>
  <c r="K21" i="15"/>
  <c r="K22" i="15" s="1"/>
  <c r="R21" i="15"/>
  <c r="U21" i="15"/>
  <c r="M21" i="15"/>
  <c r="Q21" i="15"/>
  <c r="G27" i="16"/>
  <c r="E40" i="15"/>
  <c r="G40" i="15" s="1"/>
  <c r="C24" i="15"/>
  <c r="I34" i="15" s="1"/>
  <c r="I75" i="15"/>
  <c r="J71" i="15"/>
  <c r="J73" i="15" s="1"/>
  <c r="J107" i="15"/>
  <c r="J109" i="15" s="1"/>
  <c r="I111" i="15"/>
  <c r="H118" i="15"/>
  <c r="H93" i="15"/>
  <c r="H100" i="15" s="1"/>
  <c r="E99" i="2"/>
  <c r="E102" i="2" s="1"/>
  <c r="E169" i="2"/>
  <c r="E172" i="2" s="1"/>
  <c r="E17" i="2"/>
  <c r="E167" i="2"/>
  <c r="E79" i="2"/>
  <c r="E82" i="2" s="1"/>
  <c r="D168" i="2"/>
  <c r="C23" i="8" s="1"/>
  <c r="E117" i="2"/>
  <c r="E79" i="14"/>
  <c r="E131" i="14" s="1"/>
  <c r="E145" i="14" s="1"/>
  <c r="I35" i="14"/>
  <c r="U21" i="14"/>
  <c r="AD157" i="14" s="1"/>
  <c r="AE157" i="14" s="1"/>
  <c r="AF157" i="14" s="1"/>
  <c r="R21" i="14"/>
  <c r="U157" i="14" s="1"/>
  <c r="V21" i="14"/>
  <c r="AG157" i="14" s="1"/>
  <c r="AH157" i="14" s="1"/>
  <c r="AI157" i="14" s="1"/>
  <c r="W21" i="14"/>
  <c r="AJ157" i="14" s="1"/>
  <c r="AK157" i="14" s="1"/>
  <c r="AL157" i="14" s="1"/>
  <c r="S21" i="14"/>
  <c r="X157" i="14" s="1"/>
  <c r="T21" i="14"/>
  <c r="AA157" i="14" s="1"/>
  <c r="Q21" i="14"/>
  <c r="R157" i="14" s="1"/>
  <c r="I16" i="14"/>
  <c r="I25" i="14" s="1"/>
  <c r="F75" i="14"/>
  <c r="F173" i="14"/>
  <c r="H93" i="14"/>
  <c r="H90" i="14"/>
  <c r="I89" i="14" s="1"/>
  <c r="I110" i="14"/>
  <c r="G71" i="14"/>
  <c r="G73" i="14" s="1"/>
  <c r="G125" i="14" s="1"/>
  <c r="L21" i="14"/>
  <c r="C157" i="14" s="1"/>
  <c r="K21" i="14"/>
  <c r="N21" i="14"/>
  <c r="I157" i="14" s="1"/>
  <c r="L17" i="14"/>
  <c r="L18" i="14" s="1"/>
  <c r="O61" i="19"/>
  <c r="H115" i="16"/>
  <c r="K64" i="12"/>
  <c r="H92" i="16"/>
  <c r="H77" i="16"/>
  <c r="E198" i="4"/>
  <c r="D115" i="4"/>
  <c r="I25" i="8" s="1"/>
  <c r="C75" i="4"/>
  <c r="C156" i="4" s="1"/>
  <c r="C237" i="4" s="1"/>
  <c r="D18" i="2"/>
  <c r="C8" i="8" s="1"/>
  <c r="D91" i="2"/>
  <c r="H106" i="1"/>
  <c r="E77" i="2"/>
  <c r="H76" i="16"/>
  <c r="H67" i="16"/>
  <c r="H53" i="16"/>
  <c r="H42" i="16"/>
  <c r="E234" i="4"/>
  <c r="I35" i="8"/>
  <c r="G90" i="4"/>
  <c r="E2" i="22"/>
  <c r="E17" i="22" s="1"/>
  <c r="E37" i="2"/>
  <c r="J61" i="19"/>
  <c r="E38" i="19"/>
  <c r="E168" i="4"/>
  <c r="E49" i="4"/>
  <c r="E219" i="4"/>
  <c r="G95" i="4"/>
  <c r="D69" i="4"/>
  <c r="I17" i="8" s="1"/>
  <c r="I19" i="8"/>
  <c r="E91" i="4"/>
  <c r="E90" i="4" s="1"/>
  <c r="J20" i="8" s="1"/>
  <c r="G82" i="1"/>
  <c r="D21" i="2"/>
  <c r="G2" i="19"/>
  <c r="G47" i="19" s="1"/>
  <c r="E72" i="4"/>
  <c r="E73" i="4" s="1"/>
  <c r="H70" i="16"/>
  <c r="E86" i="4"/>
  <c r="E85" i="4" s="1"/>
  <c r="J19" i="8" s="1"/>
  <c r="E144" i="4"/>
  <c r="D31" i="4"/>
  <c r="I11" i="8" s="1"/>
  <c r="J110" i="1"/>
  <c r="J38" i="1"/>
  <c r="E159" i="2"/>
  <c r="E162" i="2" s="1"/>
  <c r="H44" i="16"/>
  <c r="J88" i="16"/>
  <c r="J38" i="16"/>
  <c r="E212" i="4"/>
  <c r="E205" i="4"/>
  <c r="E199" i="4"/>
  <c r="E200" i="4" s="1"/>
  <c r="E172" i="4"/>
  <c r="E125" i="4"/>
  <c r="E118" i="4"/>
  <c r="E119" i="4" s="1"/>
  <c r="B58" i="15"/>
  <c r="I15" i="15"/>
  <c r="I23" i="15" s="1"/>
  <c r="G22" i="18"/>
  <c r="E54" i="19" s="1"/>
  <c r="E55" i="19" s="1"/>
  <c r="E46" i="14"/>
  <c r="G46" i="14" s="1"/>
  <c r="K84" i="19"/>
  <c r="K27" i="11"/>
  <c r="H34" i="14"/>
  <c r="F57" i="14"/>
  <c r="F58" i="14" s="1"/>
  <c r="G58" i="14" s="1"/>
  <c r="E40" i="14"/>
  <c r="G40" i="14" s="1"/>
  <c r="G32" i="1"/>
  <c r="E58" i="14"/>
  <c r="H74" i="1"/>
  <c r="H87" i="1"/>
  <c r="H37" i="1"/>
  <c r="K97" i="16"/>
  <c r="G26" i="4"/>
  <c r="H87" i="16"/>
  <c r="H37" i="16"/>
  <c r="K41" i="16"/>
  <c r="G231" i="4"/>
  <c r="H99" i="16"/>
  <c r="H75" i="16"/>
  <c r="H45" i="16"/>
  <c r="D81" i="4"/>
  <c r="H112" i="16"/>
  <c r="G82" i="16"/>
  <c r="H74" i="16"/>
  <c r="H40" i="16"/>
  <c r="K50" i="16"/>
  <c r="G181" i="4"/>
  <c r="G88" i="16"/>
  <c r="H47" i="12" s="1"/>
  <c r="H106" i="16"/>
  <c r="J63" i="16"/>
  <c r="H102" i="16"/>
  <c r="H84" i="16"/>
  <c r="H82" i="16" s="1"/>
  <c r="G68" i="16"/>
  <c r="H57" i="16"/>
  <c r="H79" i="16"/>
  <c r="H56" i="16"/>
  <c r="H46" i="16"/>
  <c r="H109" i="16"/>
  <c r="H55" i="16"/>
  <c r="C162" i="4"/>
  <c r="H72" i="16"/>
  <c r="H58" i="16"/>
  <c r="H109" i="1"/>
  <c r="H100" i="1"/>
  <c r="H90" i="1"/>
  <c r="H34" i="1"/>
  <c r="H111" i="1"/>
  <c r="H69" i="1"/>
  <c r="H92" i="1"/>
  <c r="H16" i="1"/>
  <c r="H14" i="1" s="1"/>
  <c r="S11" i="19"/>
  <c r="H16" i="16"/>
  <c r="H14" i="16" s="1"/>
  <c r="E233" i="4"/>
  <c r="E173" i="4"/>
  <c r="E171" i="4" s="1"/>
  <c r="E124" i="4"/>
  <c r="E97" i="4"/>
  <c r="E64" i="4"/>
  <c r="E62" i="4" s="1"/>
  <c r="J16" i="8" s="1"/>
  <c r="E43" i="4"/>
  <c r="E18" i="4"/>
  <c r="E16" i="4" s="1"/>
  <c r="J8" i="8" s="1"/>
  <c r="E157" i="2"/>
  <c r="D153" i="2"/>
  <c r="D93" i="2"/>
  <c r="K63" i="16"/>
  <c r="D62" i="4"/>
  <c r="I16" i="8" s="1"/>
  <c r="K86" i="16"/>
  <c r="G73" i="16"/>
  <c r="G224" i="4"/>
  <c r="G136" i="4"/>
  <c r="G41" i="4"/>
  <c r="E43" i="21"/>
  <c r="D21" i="4"/>
  <c r="I9" i="8" s="1"/>
  <c r="C158" i="4"/>
  <c r="J61" i="1"/>
  <c r="D23" i="2"/>
  <c r="O21" i="14"/>
  <c r="L157" i="14" s="1"/>
  <c r="H96" i="1"/>
  <c r="G105" i="16"/>
  <c r="G94" i="16"/>
  <c r="H91" i="16"/>
  <c r="E112" i="4"/>
  <c r="K105" i="16"/>
  <c r="E137" i="4"/>
  <c r="D196" i="4"/>
  <c r="I38" i="8" s="1"/>
  <c r="E166" i="2"/>
  <c r="E168" i="2" s="1"/>
  <c r="D23" i="8" s="1"/>
  <c r="E89" i="2"/>
  <c r="E92" i="2" s="1"/>
  <c r="H111" i="16"/>
  <c r="H107" i="16"/>
  <c r="H103" i="16"/>
  <c r="H71" i="16"/>
  <c r="G61" i="16"/>
  <c r="E130" i="4"/>
  <c r="E46" i="15"/>
  <c r="G46" i="15" s="1"/>
  <c r="E218" i="4"/>
  <c r="D111" i="2"/>
  <c r="E188" i="4"/>
  <c r="E186" i="4" s="1"/>
  <c r="J36" i="8" s="1"/>
  <c r="B58" i="14"/>
  <c r="H72" i="1"/>
  <c r="H114" i="16"/>
  <c r="H90" i="16"/>
  <c r="H51" i="16"/>
  <c r="H17" i="16"/>
  <c r="E26" i="4"/>
  <c r="J10" i="8" s="1"/>
  <c r="E106" i="2"/>
  <c r="E111" i="2" s="1"/>
  <c r="E176" i="2"/>
  <c r="E178" i="2" s="1"/>
  <c r="D24" i="8" s="1"/>
  <c r="E12" i="4"/>
  <c r="H129" i="4" s="1"/>
  <c r="K73" i="16"/>
  <c r="G166" i="4"/>
  <c r="G210" i="4"/>
  <c r="G129" i="4"/>
  <c r="M21" i="14"/>
  <c r="F157" i="14" s="1"/>
  <c r="E182" i="4"/>
  <c r="E181" i="4" s="1"/>
  <c r="J35" i="8" s="1"/>
  <c r="H103" i="1"/>
  <c r="E87" i="2"/>
  <c r="G101" i="16"/>
  <c r="H93" i="16"/>
  <c r="H89" i="16"/>
  <c r="H66" i="16"/>
  <c r="H54" i="16"/>
  <c r="I32" i="8"/>
  <c r="E139" i="4"/>
  <c r="E136" i="4" s="1"/>
  <c r="J28" i="8" s="1"/>
  <c r="D77" i="4"/>
  <c r="G110" i="4"/>
  <c r="K101" i="16"/>
  <c r="K78" i="16"/>
  <c r="G217" i="4"/>
  <c r="G21" i="4"/>
  <c r="G203" i="4"/>
  <c r="D102" i="2"/>
  <c r="D103" i="2" s="1"/>
  <c r="G61" i="19"/>
  <c r="G97" i="16"/>
  <c r="U77" i="19" s="1"/>
  <c r="H65" i="16"/>
  <c r="H49" i="16"/>
  <c r="G15" i="16"/>
  <c r="E51" i="15"/>
  <c r="G51" i="15" s="1"/>
  <c r="G31" i="4"/>
  <c r="P21" i="14"/>
  <c r="K94" i="16"/>
  <c r="K31" i="16"/>
  <c r="K88" i="16"/>
  <c r="G62" i="4"/>
  <c r="G143" i="4"/>
  <c r="G196" i="4"/>
  <c r="E44" i="4"/>
  <c r="E38" i="4"/>
  <c r="H12" i="1"/>
  <c r="K48" i="1" s="1"/>
  <c r="H66" i="1"/>
  <c r="I34" i="8"/>
  <c r="E107" i="4"/>
  <c r="G191" i="4"/>
  <c r="K110" i="16"/>
  <c r="K15" i="16"/>
  <c r="K68" i="16"/>
  <c r="K48" i="16"/>
  <c r="G186" i="4"/>
  <c r="D162" i="4"/>
  <c r="G105" i="4"/>
  <c r="K63" i="11"/>
  <c r="H70" i="1"/>
  <c r="M61" i="19"/>
  <c r="E18" i="19"/>
  <c r="H80" i="16"/>
  <c r="H64" i="16"/>
  <c r="H43" i="16"/>
  <c r="I20" i="8"/>
  <c r="D16" i="4"/>
  <c r="I8" i="8" s="1"/>
  <c r="E232" i="4"/>
  <c r="E32" i="4"/>
  <c r="E31" i="4" s="1"/>
  <c r="J11" i="8" s="1"/>
  <c r="D110" i="4"/>
  <c r="I24" i="8" s="1"/>
  <c r="E36" i="2"/>
  <c r="E187" i="2"/>
  <c r="H15" i="14"/>
  <c r="H24" i="14" s="1"/>
  <c r="F82" i="19"/>
  <c r="N47" i="18"/>
  <c r="E45" i="14"/>
  <c r="G45" i="14" s="1"/>
  <c r="Q27" i="18"/>
  <c r="O64" i="19" s="1"/>
  <c r="O65" i="19" s="1"/>
  <c r="I75" i="19"/>
  <c r="L76" i="19"/>
  <c r="E52" i="14"/>
  <c r="G52" i="14" s="1"/>
  <c r="B72" i="11"/>
  <c r="N11" i="11"/>
  <c r="N74" i="19"/>
  <c r="O85" i="19"/>
  <c r="F83" i="19"/>
  <c r="Q83" i="19" s="1"/>
  <c r="F81" i="19"/>
  <c r="E97" i="2"/>
  <c r="D158" i="2"/>
  <c r="C22" i="8" s="1"/>
  <c r="D41" i="2"/>
  <c r="D181" i="2"/>
  <c r="E116" i="2"/>
  <c r="D65" i="2"/>
  <c r="D148" i="2"/>
  <c r="C21" i="8" s="1"/>
  <c r="E146" i="2"/>
  <c r="D178" i="2"/>
  <c r="C24" i="8" s="1"/>
  <c r="E149" i="2"/>
  <c r="E152" i="2" s="1"/>
  <c r="E153" i="2" s="1"/>
  <c r="E156" i="2"/>
  <c r="E189" i="2"/>
  <c r="E192" i="2" s="1"/>
  <c r="D38" i="2"/>
  <c r="C10" i="8" s="1"/>
  <c r="H113" i="1"/>
  <c r="H81" i="1"/>
  <c r="G105" i="1"/>
  <c r="H112" i="1"/>
  <c r="H107" i="1"/>
  <c r="H93" i="1"/>
  <c r="H80" i="1"/>
  <c r="H67" i="1"/>
  <c r="H49" i="1"/>
  <c r="H48" i="1" s="1"/>
  <c r="H102" i="1"/>
  <c r="G68" i="1"/>
  <c r="K64" i="11"/>
  <c r="H114" i="1"/>
  <c r="G73" i="1"/>
  <c r="H65" i="1"/>
  <c r="D4" i="18"/>
  <c r="D65" i="18" s="1"/>
  <c r="I33" i="15"/>
  <c r="N13" i="12"/>
  <c r="H16" i="15"/>
  <c r="H24" i="15" s="1"/>
  <c r="E56" i="4"/>
  <c r="D26" i="4"/>
  <c r="I10" i="8" s="1"/>
  <c r="D207" i="4"/>
  <c r="H36" i="8"/>
  <c r="H19" i="8"/>
  <c r="H12" i="8"/>
  <c r="E152" i="4"/>
  <c r="E150" i="4" s="1"/>
  <c r="J30" i="8" s="1"/>
  <c r="D140" i="4"/>
  <c r="E117" i="4"/>
  <c r="C76" i="4"/>
  <c r="C157" i="4" s="1"/>
  <c r="C238" i="4" s="1"/>
  <c r="G36" i="4"/>
  <c r="G48" i="4"/>
  <c r="G150" i="4"/>
  <c r="G55" i="4"/>
  <c r="G171" i="4"/>
  <c r="D203" i="4"/>
  <c r="I39" i="8" s="1"/>
  <c r="E167" i="4"/>
  <c r="D224" i="4"/>
  <c r="I42" i="8" s="1"/>
  <c r="G176" i="4"/>
  <c r="G69" i="4"/>
  <c r="G16" i="4"/>
  <c r="G85" i="4" s="1"/>
  <c r="G100" i="4"/>
  <c r="H11" i="19"/>
  <c r="Q33" i="18"/>
  <c r="O3" i="19" s="1"/>
  <c r="H108" i="16"/>
  <c r="H98" i="16"/>
  <c r="G78" i="16"/>
  <c r="O34" i="18"/>
  <c r="M4" i="19" s="1"/>
  <c r="G41" i="16"/>
  <c r="H96" i="16"/>
  <c r="H94" i="16" s="1"/>
  <c r="E41" i="14"/>
  <c r="G41" i="14" s="1"/>
  <c r="G17" i="14"/>
  <c r="G26" i="14" s="1"/>
  <c r="I17" i="14"/>
  <c r="I26" i="14" s="1"/>
  <c r="I15" i="14"/>
  <c r="I24" i="14" s="1"/>
  <c r="H17" i="14"/>
  <c r="H26" i="14" s="1"/>
  <c r="H33" i="14"/>
  <c r="I33" i="14"/>
  <c r="G15" i="14"/>
  <c r="G24" i="14" s="1"/>
  <c r="G35" i="14"/>
  <c r="G33" i="14"/>
  <c r="E47" i="14"/>
  <c r="G47" i="14" s="1"/>
  <c r="E42" i="14"/>
  <c r="G42" i="14" s="1"/>
  <c r="G33" i="15"/>
  <c r="H33" i="15"/>
  <c r="E45" i="15"/>
  <c r="G45" i="15" s="1"/>
  <c r="G15" i="15"/>
  <c r="G23" i="15" s="1"/>
  <c r="H15" i="15"/>
  <c r="H23" i="15" s="1"/>
  <c r="E42" i="15"/>
  <c r="G42" i="15" s="1"/>
  <c r="E47" i="15"/>
  <c r="G47" i="15" s="1"/>
  <c r="E41" i="15"/>
  <c r="G34" i="15"/>
  <c r="G16" i="15"/>
  <c r="B27" i="15"/>
  <c r="H34" i="15"/>
  <c r="D50" i="15"/>
  <c r="I16" i="15"/>
  <c r="F40" i="12"/>
  <c r="P84" i="19"/>
  <c r="H16" i="14"/>
  <c r="H25" i="14" s="1"/>
  <c r="G34" i="14"/>
  <c r="D50" i="14"/>
  <c r="G16" i="14"/>
  <c r="G25" i="14" s="1"/>
  <c r="D21" i="21"/>
  <c r="D38" i="21" s="1"/>
  <c r="E86" i="19"/>
  <c r="L86" i="19"/>
  <c r="K86" i="19"/>
  <c r="D43" i="21"/>
  <c r="J86" i="19"/>
  <c r="F86" i="19"/>
  <c r="F57" i="15"/>
  <c r="F58" i="15" s="1"/>
  <c r="G58" i="15" s="1"/>
  <c r="I86" i="19"/>
  <c r="C9" i="17"/>
  <c r="D9" i="17" s="1"/>
  <c r="E9" i="17" s="1"/>
  <c r="H14" i="17" s="1"/>
  <c r="I84" i="19"/>
  <c r="N86" i="19"/>
  <c r="D61" i="17"/>
  <c r="J84" i="19"/>
  <c r="O86" i="19"/>
  <c r="H86" i="19"/>
  <c r="J15" i="1"/>
  <c r="J68" i="1"/>
  <c r="J63" i="1"/>
  <c r="J97" i="1"/>
  <c r="H91" i="1"/>
  <c r="H71" i="1"/>
  <c r="G10" i="19"/>
  <c r="E84" i="19"/>
  <c r="E81" i="17"/>
  <c r="G48" i="1"/>
  <c r="G47" i="1" s="1"/>
  <c r="D60" i="17"/>
  <c r="L84" i="19"/>
  <c r="M86" i="19"/>
  <c r="D21" i="17"/>
  <c r="J31" i="1"/>
  <c r="J48" i="1"/>
  <c r="H99" i="1"/>
  <c r="H77" i="1"/>
  <c r="F84" i="19"/>
  <c r="N84" i="19"/>
  <c r="G110" i="1"/>
  <c r="W42" i="18" s="1"/>
  <c r="H42" i="18" s="1"/>
  <c r="S42" i="18" s="1"/>
  <c r="G84" i="19"/>
  <c r="M84" i="19"/>
  <c r="P86" i="19"/>
  <c r="E60" i="17"/>
  <c r="C72" i="2"/>
  <c r="J78" i="1"/>
  <c r="J86" i="1"/>
  <c r="H98" i="1"/>
  <c r="H39" i="1"/>
  <c r="O84" i="19"/>
  <c r="H108" i="1"/>
  <c r="H84" i="19"/>
  <c r="G41" i="1"/>
  <c r="H104" i="1"/>
  <c r="G101" i="1"/>
  <c r="O27" i="18"/>
  <c r="M64" i="19" s="1"/>
  <c r="M65" i="19" s="1"/>
  <c r="H95" i="1"/>
  <c r="G94" i="1"/>
  <c r="H64" i="1"/>
  <c r="M74" i="19"/>
  <c r="H89" i="1"/>
  <c r="G88" i="1"/>
  <c r="H76" i="1"/>
  <c r="H82" i="1"/>
  <c r="G15" i="1"/>
  <c r="H17" i="1"/>
  <c r="D51" i="17"/>
  <c r="E44" i="17"/>
  <c r="E51" i="17" s="1"/>
  <c r="R11" i="19"/>
  <c r="R12" i="19" s="1"/>
  <c r="R13" i="19" s="1"/>
  <c r="E70" i="17"/>
  <c r="D41" i="17"/>
  <c r="D70" i="17"/>
  <c r="C83" i="17"/>
  <c r="E34" i="17"/>
  <c r="E41" i="17" s="1"/>
  <c r="E20" i="17"/>
  <c r="E21" i="17"/>
  <c r="E30" i="17"/>
  <c r="E31" i="17"/>
  <c r="D20" i="17"/>
  <c r="D31" i="17"/>
  <c r="D71" i="17"/>
  <c r="D84" i="17"/>
  <c r="D50" i="17"/>
  <c r="E71" i="17"/>
  <c r="E80" i="17"/>
  <c r="D80" i="17"/>
  <c r="D40" i="17"/>
  <c r="D81" i="17"/>
  <c r="D11" i="17"/>
  <c r="D30" i="17"/>
  <c r="E38" i="2" l="1"/>
  <c r="D10" i="8" s="1"/>
  <c r="E31" i="2"/>
  <c r="E28" i="2"/>
  <c r="D9" i="8" s="1"/>
  <c r="C218" i="2"/>
  <c r="C220" i="2" s="1"/>
  <c r="D8" i="22"/>
  <c r="D61" i="2"/>
  <c r="D216" i="2"/>
  <c r="D67" i="2"/>
  <c r="D137" i="2" s="1"/>
  <c r="D207" i="2" s="1"/>
  <c r="D219" i="2"/>
  <c r="E95" i="4"/>
  <c r="J21" i="8" s="1"/>
  <c r="E188" i="2"/>
  <c r="D25" i="8" s="1"/>
  <c r="D36" i="8"/>
  <c r="D19" i="8" s="1"/>
  <c r="E130" i="2" s="1"/>
  <c r="E131" i="2" s="1"/>
  <c r="D33" i="8"/>
  <c r="D12" i="8" s="1"/>
  <c r="E60" i="2" s="1"/>
  <c r="D39" i="8"/>
  <c r="D26" i="8" s="1"/>
  <c r="E200" i="2" s="1"/>
  <c r="E201" i="2" s="1"/>
  <c r="E191" i="2"/>
  <c r="W46" i="18"/>
  <c r="G46" i="18" s="1"/>
  <c r="D13" i="22"/>
  <c r="E207" i="4"/>
  <c r="E45" i="4"/>
  <c r="E166" i="4"/>
  <c r="J32" i="8" s="1"/>
  <c r="E23" i="2"/>
  <c r="E221" i="4"/>
  <c r="E214" i="4"/>
  <c r="E78" i="4"/>
  <c r="E159" i="4" s="1"/>
  <c r="C239" i="4"/>
  <c r="F44" i="12" s="1"/>
  <c r="E59" i="4"/>
  <c r="E126" i="4"/>
  <c r="E133" i="4"/>
  <c r="E140" i="4"/>
  <c r="E147" i="4"/>
  <c r="E217" i="4"/>
  <c r="J41" i="8" s="1"/>
  <c r="E105" i="4"/>
  <c r="J23" i="8" s="1"/>
  <c r="E98" i="2"/>
  <c r="D16" i="8" s="1"/>
  <c r="E88" i="2"/>
  <c r="D15" i="8" s="1"/>
  <c r="D135" i="2"/>
  <c r="D205" i="2" s="1"/>
  <c r="D217" i="2" s="1"/>
  <c r="F41" i="11"/>
  <c r="G38" i="1"/>
  <c r="D16" i="22"/>
  <c r="J24" i="22" s="1"/>
  <c r="E3" i="22"/>
  <c r="E10" i="22" s="1"/>
  <c r="D12" i="22"/>
  <c r="D15" i="22"/>
  <c r="D14" i="22"/>
  <c r="D9" i="22"/>
  <c r="D10" i="22"/>
  <c r="G21" i="22" s="1"/>
  <c r="E235" i="4"/>
  <c r="F41" i="12"/>
  <c r="G22" i="22"/>
  <c r="E110" i="4"/>
  <c r="J24" i="8" s="1"/>
  <c r="E55" i="4"/>
  <c r="J15" i="8" s="1"/>
  <c r="C138" i="2"/>
  <c r="C208" i="2" s="1"/>
  <c r="C209" i="2" s="1"/>
  <c r="D131" i="2"/>
  <c r="G57" i="14"/>
  <c r="G60" i="14" s="1"/>
  <c r="D66" i="2"/>
  <c r="D136" i="2" s="1"/>
  <c r="E51" i="2"/>
  <c r="D68" i="2"/>
  <c r="D138" i="2" s="1"/>
  <c r="D208" i="2" s="1"/>
  <c r="H44" i="11" s="1"/>
  <c r="E43" i="2"/>
  <c r="G35" i="2"/>
  <c r="E91" i="2"/>
  <c r="E101" i="2"/>
  <c r="E108" i="2"/>
  <c r="D17" i="8" s="1"/>
  <c r="H23" i="22"/>
  <c r="U78" i="19"/>
  <c r="K78" i="19" s="1"/>
  <c r="G25" i="2"/>
  <c r="G185" i="2" s="1"/>
  <c r="G15" i="2"/>
  <c r="G75" i="2" s="1"/>
  <c r="F21" i="22"/>
  <c r="H111" i="14"/>
  <c r="H118" i="14" s="1"/>
  <c r="D72" i="2"/>
  <c r="I18" i="8"/>
  <c r="J9" i="8"/>
  <c r="E129" i="4"/>
  <c r="J27" i="8" s="1"/>
  <c r="E203" i="4"/>
  <c r="J39" i="8" s="1"/>
  <c r="J33" i="8"/>
  <c r="E122" i="4"/>
  <c r="J26" i="8" s="1"/>
  <c r="H35" i="15"/>
  <c r="H37" i="15" s="1"/>
  <c r="E60" i="19"/>
  <c r="S25" i="18"/>
  <c r="H48" i="11"/>
  <c r="F48" i="11"/>
  <c r="H77" i="19"/>
  <c r="Q81" i="19"/>
  <c r="U23" i="18"/>
  <c r="B24" i="18"/>
  <c r="B25" i="18" s="1"/>
  <c r="U22" i="18"/>
  <c r="U21" i="18"/>
  <c r="R9" i="19"/>
  <c r="R25" i="19" s="1"/>
  <c r="D142" i="2"/>
  <c r="E115" i="4"/>
  <c r="J25" i="8" s="1"/>
  <c r="E103" i="2"/>
  <c r="I17" i="15"/>
  <c r="I25" i="15" s="1"/>
  <c r="E210" i="4"/>
  <c r="J40" i="8" s="1"/>
  <c r="K110" i="1"/>
  <c r="E93" i="2"/>
  <c r="I35" i="15"/>
  <c r="H21" i="4"/>
  <c r="G17" i="15"/>
  <c r="G25" i="15" s="1"/>
  <c r="E171" i="2"/>
  <c r="E224" i="4"/>
  <c r="J42" i="8" s="1"/>
  <c r="H17" i="15"/>
  <c r="H25" i="15" s="1"/>
  <c r="H27" i="15" s="1"/>
  <c r="E36" i="4"/>
  <c r="J12" i="8" s="1"/>
  <c r="H97" i="16"/>
  <c r="W23" i="18"/>
  <c r="P23" i="18" s="1"/>
  <c r="N56" i="19" s="1"/>
  <c r="N57" i="19" s="1"/>
  <c r="E123" i="2"/>
  <c r="E78" i="2"/>
  <c r="D14" i="8" s="1"/>
  <c r="E81" i="2"/>
  <c r="G30" i="1"/>
  <c r="H18" i="8"/>
  <c r="H31" i="8" s="1"/>
  <c r="H44" i="8" s="1"/>
  <c r="H46" i="8" s="1"/>
  <c r="E173" i="2"/>
  <c r="H12" i="19"/>
  <c r="H13" i="19" s="1"/>
  <c r="H14" i="19" s="1"/>
  <c r="H15" i="19" s="1"/>
  <c r="E14" i="19"/>
  <c r="E15" i="19" s="1"/>
  <c r="C27" i="15"/>
  <c r="E8" i="22"/>
  <c r="E13" i="22"/>
  <c r="F28" i="1"/>
  <c r="H92" i="15"/>
  <c r="H82" i="15"/>
  <c r="H134" i="15" s="1"/>
  <c r="H148" i="15" s="1"/>
  <c r="E52" i="4"/>
  <c r="W36" i="18"/>
  <c r="F75" i="12"/>
  <c r="F84" i="12" s="1"/>
  <c r="G75" i="12"/>
  <c r="G84" i="12" s="1"/>
  <c r="G38" i="19"/>
  <c r="E41" i="2"/>
  <c r="W29" i="18"/>
  <c r="P29" i="18" s="1"/>
  <c r="W28" i="18"/>
  <c r="O28" i="18" s="1"/>
  <c r="W26" i="18"/>
  <c r="I26" i="18" s="1"/>
  <c r="G62" i="19" s="1"/>
  <c r="G63" i="19" s="1"/>
  <c r="H47" i="11"/>
  <c r="W24" i="18"/>
  <c r="I24" i="18" s="1"/>
  <c r="G58" i="19" s="1"/>
  <c r="G59" i="19" s="1"/>
  <c r="L20" i="18"/>
  <c r="J50" i="19" s="1"/>
  <c r="J51" i="19" s="1"/>
  <c r="I74" i="19"/>
  <c r="H74" i="19"/>
  <c r="H127" i="15"/>
  <c r="I89" i="15"/>
  <c r="I92" i="15" s="1"/>
  <c r="M91" i="15"/>
  <c r="H110" i="1"/>
  <c r="F80" i="14"/>
  <c r="F132" i="14" s="1"/>
  <c r="F146" i="14" s="1"/>
  <c r="F127" i="14"/>
  <c r="H109" i="14"/>
  <c r="I107" i="14"/>
  <c r="I109" i="14" s="1"/>
  <c r="I93" i="14"/>
  <c r="I101" i="14" s="1"/>
  <c r="I91" i="14"/>
  <c r="H91" i="14"/>
  <c r="I22" i="18"/>
  <c r="G54" i="19" s="1"/>
  <c r="G55" i="19" s="1"/>
  <c r="N22" i="18"/>
  <c r="L54" i="19" s="1"/>
  <c r="L55" i="19" s="1"/>
  <c r="R22" i="18"/>
  <c r="P54" i="19" s="1"/>
  <c r="P55" i="19" s="1"/>
  <c r="K22" i="18"/>
  <c r="I54" i="19" s="1"/>
  <c r="I55" i="19" s="1"/>
  <c r="V27" i="18"/>
  <c r="E16" i="22"/>
  <c r="K24" i="22" s="1"/>
  <c r="E15" i="22"/>
  <c r="G18" i="19"/>
  <c r="H78" i="16"/>
  <c r="J22" i="18"/>
  <c r="H54" i="19" s="1"/>
  <c r="H55" i="19" s="1"/>
  <c r="V22" i="18"/>
  <c r="M22" i="18"/>
  <c r="K54" i="19" s="1"/>
  <c r="K55" i="19" s="1"/>
  <c r="Q22" i="18"/>
  <c r="O54" i="19" s="1"/>
  <c r="O55" i="19" s="1"/>
  <c r="L22" i="18"/>
  <c r="J54" i="19" s="1"/>
  <c r="J55" i="19" s="1"/>
  <c r="H22" i="18"/>
  <c r="F54" i="19" s="1"/>
  <c r="F55" i="19" s="1"/>
  <c r="E77" i="4"/>
  <c r="H26" i="4"/>
  <c r="H16" i="4"/>
  <c r="H85" i="4" s="1"/>
  <c r="H143" i="4"/>
  <c r="H110" i="16"/>
  <c r="H73" i="16"/>
  <c r="H68" i="16"/>
  <c r="H41" i="16"/>
  <c r="H28" i="14"/>
  <c r="G28" i="14"/>
  <c r="I28" i="14"/>
  <c r="O22" i="18"/>
  <c r="M54" i="19" s="1"/>
  <c r="M55" i="19" s="1"/>
  <c r="P22" i="18"/>
  <c r="N54" i="19" s="1"/>
  <c r="N55" i="19" s="1"/>
  <c r="J74" i="19"/>
  <c r="H27" i="16"/>
  <c r="H26" i="16" s="1"/>
  <c r="G26" i="16"/>
  <c r="W50" i="18" s="1"/>
  <c r="N50" i="18" s="1"/>
  <c r="H35" i="14"/>
  <c r="H37" i="14" s="1"/>
  <c r="R22" i="15"/>
  <c r="R23" i="15" s="1"/>
  <c r="U156" i="15" s="1"/>
  <c r="U157" i="15"/>
  <c r="O22" i="15"/>
  <c r="O23" i="15" s="1"/>
  <c r="L156" i="15" s="1"/>
  <c r="M169" i="15"/>
  <c r="L157" i="15"/>
  <c r="L168" i="15"/>
  <c r="N170" i="15"/>
  <c r="B158" i="15"/>
  <c r="B188" i="15" s="1"/>
  <c r="B157" i="15"/>
  <c r="W22" i="15"/>
  <c r="W23" i="15" s="1"/>
  <c r="AJ156" i="15" s="1"/>
  <c r="AJ157" i="15"/>
  <c r="AK157" i="15" s="1"/>
  <c r="AL157" i="15" s="1"/>
  <c r="S22" i="15"/>
  <c r="S23" i="15" s="1"/>
  <c r="X156" i="15" s="1"/>
  <c r="X157" i="15"/>
  <c r="L22" i="15"/>
  <c r="L23" i="15" s="1"/>
  <c r="C156" i="15" s="1"/>
  <c r="E161" i="15"/>
  <c r="E191" i="15" s="1"/>
  <c r="D160" i="15"/>
  <c r="D190" i="15" s="1"/>
  <c r="C157" i="15"/>
  <c r="C159" i="15"/>
  <c r="C189" i="15" s="1"/>
  <c r="T22" i="15"/>
  <c r="T23" i="15" s="1"/>
  <c r="AA156" i="15" s="1"/>
  <c r="AA157" i="15"/>
  <c r="Q22" i="15"/>
  <c r="Q23" i="15" s="1"/>
  <c r="R156" i="15" s="1"/>
  <c r="R157" i="15"/>
  <c r="N22" i="15"/>
  <c r="N23" i="15" s="1"/>
  <c r="I156" i="15" s="1"/>
  <c r="K167" i="15"/>
  <c r="J166" i="15"/>
  <c r="I165" i="15"/>
  <c r="I157" i="15"/>
  <c r="M22" i="15"/>
  <c r="M23" i="15" s="1"/>
  <c r="F156" i="15" s="1"/>
  <c r="F157" i="15"/>
  <c r="F162" i="15"/>
  <c r="F192" i="15" s="1"/>
  <c r="H164" i="15"/>
  <c r="G163" i="15"/>
  <c r="G193" i="15" s="1"/>
  <c r="V22" i="15"/>
  <c r="V23" i="15" s="1"/>
  <c r="AG156" i="15" s="1"/>
  <c r="AG157" i="15"/>
  <c r="AH157" i="15" s="1"/>
  <c r="AI157" i="15" s="1"/>
  <c r="U22" i="15"/>
  <c r="U23" i="15" s="1"/>
  <c r="AD156" i="15" s="1"/>
  <c r="AD157" i="15"/>
  <c r="AE157" i="15" s="1"/>
  <c r="AF157" i="15" s="1"/>
  <c r="P22" i="15"/>
  <c r="P23" i="15" s="1"/>
  <c r="O156" i="15" s="1"/>
  <c r="O157" i="15"/>
  <c r="G57" i="15"/>
  <c r="G60" i="15" s="1"/>
  <c r="D27" i="15"/>
  <c r="K23" i="15"/>
  <c r="B156" i="15" s="1"/>
  <c r="I37" i="15"/>
  <c r="E27" i="15"/>
  <c r="I119" i="15"/>
  <c r="J111" i="15"/>
  <c r="K107" i="15"/>
  <c r="K109" i="15" s="1"/>
  <c r="J75" i="15"/>
  <c r="K71" i="15"/>
  <c r="K73" i="15" s="1"/>
  <c r="I83" i="15"/>
  <c r="C69" i="2"/>
  <c r="E83" i="2"/>
  <c r="E18" i="2"/>
  <c r="D8" i="8" s="1"/>
  <c r="B13" i="8"/>
  <c r="B20" i="8" s="1"/>
  <c r="B27" i="8" s="1"/>
  <c r="B30" i="8" s="1"/>
  <c r="H73" i="1"/>
  <c r="P22" i="14"/>
  <c r="P23" i="14" s="1"/>
  <c r="O156" i="14" s="1"/>
  <c r="O174" i="14" s="1"/>
  <c r="O157" i="14"/>
  <c r="Y157" i="14"/>
  <c r="S157" i="14"/>
  <c r="AB157" i="14"/>
  <c r="AC157" i="14" s="1"/>
  <c r="M157" i="14"/>
  <c r="D157" i="14"/>
  <c r="V157" i="14"/>
  <c r="G157" i="14"/>
  <c r="J157" i="14"/>
  <c r="O22" i="14"/>
  <c r="O23" i="14" s="1"/>
  <c r="L156" i="14" s="1"/>
  <c r="M169" i="14"/>
  <c r="N170" i="14"/>
  <c r="L168" i="14"/>
  <c r="N22" i="14"/>
  <c r="N23" i="14" s="1"/>
  <c r="I156" i="14" s="1"/>
  <c r="K167" i="14"/>
  <c r="J166" i="14"/>
  <c r="I165" i="14"/>
  <c r="H164" i="14"/>
  <c r="F162" i="14"/>
  <c r="G163" i="14"/>
  <c r="L22" i="14"/>
  <c r="L23" i="14" s="1"/>
  <c r="C156" i="14" s="1"/>
  <c r="E161" i="14"/>
  <c r="E191" i="14" s="1"/>
  <c r="D160" i="14"/>
  <c r="D190" i="14" s="1"/>
  <c r="C159" i="14"/>
  <c r="C189" i="14" s="1"/>
  <c r="Q22" i="14"/>
  <c r="Q23" i="14" s="1"/>
  <c r="R156" i="14" s="1"/>
  <c r="T22" i="14"/>
  <c r="T23" i="14" s="1"/>
  <c r="AA156" i="14" s="1"/>
  <c r="S22" i="14"/>
  <c r="S23" i="14" s="1"/>
  <c r="X156" i="14" s="1"/>
  <c r="W22" i="14"/>
  <c r="W23" i="14" s="1"/>
  <c r="AJ156" i="14" s="1"/>
  <c r="V22" i="14"/>
  <c r="V23" i="14" s="1"/>
  <c r="AG156" i="14" s="1"/>
  <c r="R22" i="14"/>
  <c r="R23" i="14" s="1"/>
  <c r="U156" i="14" s="1"/>
  <c r="M22" i="14"/>
  <c r="M23" i="14" s="1"/>
  <c r="F156" i="14" s="1"/>
  <c r="U22" i="14"/>
  <c r="U23" i="14" s="1"/>
  <c r="AD156" i="14" s="1"/>
  <c r="I34" i="14"/>
  <c r="I37" i="14" s="1"/>
  <c r="J89" i="14"/>
  <c r="H100" i="14"/>
  <c r="G173" i="14"/>
  <c r="G75" i="14"/>
  <c r="G127" i="14" s="1"/>
  <c r="J110" i="14"/>
  <c r="H71" i="14"/>
  <c r="K22" i="14"/>
  <c r="K23" i="14" s="1"/>
  <c r="H78" i="1"/>
  <c r="R20" i="18"/>
  <c r="P50" i="19" s="1"/>
  <c r="P51" i="19" s="1"/>
  <c r="Q20" i="18"/>
  <c r="O50" i="19" s="1"/>
  <c r="O51" i="19" s="1"/>
  <c r="F2" i="22"/>
  <c r="F17" i="22" s="1"/>
  <c r="J17" i="18"/>
  <c r="H2" i="19"/>
  <c r="H224" i="4"/>
  <c r="H210" i="4"/>
  <c r="H231" i="4"/>
  <c r="H31" i="4"/>
  <c r="H101" i="16"/>
  <c r="H186" i="4"/>
  <c r="H41" i="4"/>
  <c r="H69" i="4"/>
  <c r="E65" i="2"/>
  <c r="K97" i="1"/>
  <c r="K38" i="1"/>
  <c r="H105" i="4"/>
  <c r="H136" i="4"/>
  <c r="E81" i="4"/>
  <c r="H181" i="4"/>
  <c r="H217" i="4"/>
  <c r="H150" i="4"/>
  <c r="H48" i="4"/>
  <c r="E162" i="4"/>
  <c r="H191" i="4"/>
  <c r="H62" i="4"/>
  <c r="F43" i="21"/>
  <c r="H90" i="4"/>
  <c r="E196" i="4"/>
  <c r="J38" i="8" s="1"/>
  <c r="E69" i="4"/>
  <c r="J17" i="8" s="1"/>
  <c r="H171" i="4"/>
  <c r="H100" i="4"/>
  <c r="H122" i="4"/>
  <c r="H95" i="4"/>
  <c r="E163" i="2"/>
  <c r="H110" i="4"/>
  <c r="H203" i="4"/>
  <c r="H55" i="4"/>
  <c r="E231" i="4"/>
  <c r="J43" i="8" s="1"/>
  <c r="F3" i="14"/>
  <c r="F5" i="14" s="1"/>
  <c r="G3" i="14" s="1"/>
  <c r="G5" i="14" s="1"/>
  <c r="G6" i="14" s="1"/>
  <c r="V20" i="18"/>
  <c r="L77" i="19"/>
  <c r="G77" i="19"/>
  <c r="P77" i="19"/>
  <c r="H32" i="1"/>
  <c r="P47" i="18"/>
  <c r="H68" i="1"/>
  <c r="H94" i="1"/>
  <c r="J76" i="19"/>
  <c r="N76" i="19"/>
  <c r="P85" i="19"/>
  <c r="L85" i="19"/>
  <c r="O20" i="18"/>
  <c r="M50" i="19" s="1"/>
  <c r="M51" i="19" s="1"/>
  <c r="H15" i="16"/>
  <c r="S12" i="19"/>
  <c r="S13" i="19" s="1"/>
  <c r="S14" i="19" s="1"/>
  <c r="S15" i="19" s="1"/>
  <c r="I20" i="18"/>
  <c r="G50" i="19" s="1"/>
  <c r="G51" i="19" s="1"/>
  <c r="K20" i="18"/>
  <c r="I50" i="19" s="1"/>
  <c r="I51" i="19" s="1"/>
  <c r="F74" i="19"/>
  <c r="J20" i="18"/>
  <c r="H50" i="19" s="1"/>
  <c r="H51" i="19" s="1"/>
  <c r="H88" i="16"/>
  <c r="K47" i="12" s="1"/>
  <c r="H20" i="18"/>
  <c r="F50" i="19" s="1"/>
  <c r="F51" i="19" s="1"/>
  <c r="E74" i="19"/>
  <c r="H61" i="16"/>
  <c r="G48" i="16"/>
  <c r="H50" i="16"/>
  <c r="H48" i="16" s="1"/>
  <c r="K27" i="18"/>
  <c r="I64" i="19" s="1"/>
  <c r="I65" i="19" s="1"/>
  <c r="H105" i="16"/>
  <c r="H15" i="1"/>
  <c r="K50" i="1"/>
  <c r="K101" i="1"/>
  <c r="H61" i="1"/>
  <c r="K31" i="1"/>
  <c r="K41" i="1"/>
  <c r="T11" i="19"/>
  <c r="T12" i="19" s="1"/>
  <c r="T13" i="19" s="1"/>
  <c r="T14" i="19" s="1"/>
  <c r="T15" i="19" s="1"/>
  <c r="K88" i="1"/>
  <c r="K73" i="1"/>
  <c r="K34" i="18"/>
  <c r="I4" i="19" s="1"/>
  <c r="N34" i="18"/>
  <c r="L4" i="19" s="1"/>
  <c r="G34" i="18"/>
  <c r="E4" i="19" s="1"/>
  <c r="P34" i="18"/>
  <c r="N4" i="19" s="1"/>
  <c r="J34" i="18"/>
  <c r="H4" i="19" s="1"/>
  <c r="H34" i="18"/>
  <c r="F4" i="19" s="1"/>
  <c r="L34" i="18"/>
  <c r="J4" i="19" s="1"/>
  <c r="M34" i="18"/>
  <c r="K4" i="19" s="1"/>
  <c r="M33" i="18"/>
  <c r="K3" i="19" s="1"/>
  <c r="R33" i="18"/>
  <c r="P3" i="19" s="1"/>
  <c r="O33" i="18"/>
  <c r="M3" i="19" s="1"/>
  <c r="M5" i="19" s="1"/>
  <c r="M9" i="19" s="1"/>
  <c r="U11" i="19"/>
  <c r="P33" i="18"/>
  <c r="N3" i="19" s="1"/>
  <c r="N33" i="18"/>
  <c r="L3" i="19" s="1"/>
  <c r="K33" i="18"/>
  <c r="I3" i="19" s="1"/>
  <c r="J33" i="18"/>
  <c r="H3" i="19" s="1"/>
  <c r="H41" i="1"/>
  <c r="I27" i="18"/>
  <c r="G64" i="19" s="1"/>
  <c r="G65" i="19" s="1"/>
  <c r="J27" i="18"/>
  <c r="H64" i="19" s="1"/>
  <c r="H65" i="19" s="1"/>
  <c r="N77" i="19"/>
  <c r="O77" i="19"/>
  <c r="N75" i="19"/>
  <c r="P27" i="18"/>
  <c r="N64" i="19" s="1"/>
  <c r="N65" i="19" s="1"/>
  <c r="E193" i="2"/>
  <c r="E181" i="2"/>
  <c r="K105" i="1"/>
  <c r="K78" i="1"/>
  <c r="K94" i="1"/>
  <c r="E12" i="2"/>
  <c r="K63" i="1"/>
  <c r="K68" i="1"/>
  <c r="K86" i="1"/>
  <c r="K38" i="11"/>
  <c r="K15" i="1"/>
  <c r="K61" i="1"/>
  <c r="H36" i="4"/>
  <c r="H196" i="4"/>
  <c r="H176" i="4"/>
  <c r="H115" i="4"/>
  <c r="H166" i="4"/>
  <c r="M27" i="18"/>
  <c r="K64" i="19" s="1"/>
  <c r="K65" i="19" s="1"/>
  <c r="E75" i="19"/>
  <c r="E41" i="4"/>
  <c r="J13" i="8" s="1"/>
  <c r="T77" i="19"/>
  <c r="J77" i="19"/>
  <c r="G27" i="18"/>
  <c r="E64" i="19" s="1"/>
  <c r="H101" i="1"/>
  <c r="H27" i="18"/>
  <c r="F64" i="19" s="1"/>
  <c r="F65" i="19" s="1"/>
  <c r="F77" i="19"/>
  <c r="R27" i="18"/>
  <c r="P64" i="19" s="1"/>
  <c r="P65" i="19" s="1"/>
  <c r="M77" i="19"/>
  <c r="J75" i="19"/>
  <c r="D75" i="4"/>
  <c r="D156" i="4" s="1"/>
  <c r="D237" i="4" s="1"/>
  <c r="N27" i="18"/>
  <c r="L64" i="19" s="1"/>
  <c r="L65" i="19" s="1"/>
  <c r="I77" i="19"/>
  <c r="E77" i="19"/>
  <c r="K77" i="19"/>
  <c r="L27" i="18"/>
  <c r="J64" i="19" s="1"/>
  <c r="J65" i="19" s="1"/>
  <c r="K76" i="19"/>
  <c r="O75" i="19"/>
  <c r="T75" i="19"/>
  <c r="I76" i="19"/>
  <c r="P76" i="19"/>
  <c r="E85" i="19"/>
  <c r="M76" i="19"/>
  <c r="M85" i="19"/>
  <c r="I85" i="19"/>
  <c r="K85" i="19"/>
  <c r="K75" i="19"/>
  <c r="E50" i="14"/>
  <c r="J85" i="19"/>
  <c r="E76" i="19"/>
  <c r="H85" i="19"/>
  <c r="F85" i="19"/>
  <c r="L75" i="19"/>
  <c r="H75" i="19"/>
  <c r="N85" i="19"/>
  <c r="G76" i="19"/>
  <c r="E43" i="14"/>
  <c r="M75" i="19"/>
  <c r="O76" i="19"/>
  <c r="F76" i="19"/>
  <c r="G85" i="19"/>
  <c r="H76" i="19"/>
  <c r="T76" i="19"/>
  <c r="G33" i="18"/>
  <c r="P74" i="19"/>
  <c r="Q47" i="18"/>
  <c r="M20" i="18"/>
  <c r="K50" i="19" s="1"/>
  <c r="K51" i="19" s="1"/>
  <c r="N20" i="18"/>
  <c r="L50" i="19" s="1"/>
  <c r="L51" i="19" s="1"/>
  <c r="L74" i="19"/>
  <c r="G20" i="18"/>
  <c r="E50" i="19" s="1"/>
  <c r="L33" i="18"/>
  <c r="J3" i="19" s="1"/>
  <c r="P75" i="19"/>
  <c r="G75" i="19"/>
  <c r="F75" i="19"/>
  <c r="G74" i="19"/>
  <c r="O74" i="19"/>
  <c r="H33" i="18"/>
  <c r="F3" i="19" s="1"/>
  <c r="K74" i="19"/>
  <c r="P20" i="18"/>
  <c r="N50" i="19" s="1"/>
  <c r="N51" i="19" s="1"/>
  <c r="I33" i="18"/>
  <c r="G3" i="19" s="1"/>
  <c r="O47" i="18"/>
  <c r="M47" i="18"/>
  <c r="L47" i="18"/>
  <c r="H47" i="18"/>
  <c r="I47" i="18"/>
  <c r="R47" i="18"/>
  <c r="G47" i="18"/>
  <c r="J47" i="18"/>
  <c r="K47" i="18"/>
  <c r="E161" i="2"/>
  <c r="E158" i="2"/>
  <c r="D22" i="8" s="1"/>
  <c r="E151" i="2"/>
  <c r="E148" i="2"/>
  <c r="D21" i="8" s="1"/>
  <c r="E118" i="2"/>
  <c r="D18" i="8" s="1"/>
  <c r="E121" i="2"/>
  <c r="H88" i="1"/>
  <c r="H105" i="1"/>
  <c r="H97" i="1"/>
  <c r="E50" i="15"/>
  <c r="E43" i="15"/>
  <c r="G53" i="15"/>
  <c r="F7" i="15" s="1"/>
  <c r="F9" i="15" s="1"/>
  <c r="G7" i="15" s="1"/>
  <c r="G37" i="15"/>
  <c r="F43" i="12"/>
  <c r="F127" i="16"/>
  <c r="E79" i="12" s="1"/>
  <c r="D76" i="4"/>
  <c r="D157" i="4" s="1"/>
  <c r="D238" i="4" s="1"/>
  <c r="D158" i="4"/>
  <c r="D239" i="4" s="1"/>
  <c r="H44" i="12" s="1"/>
  <c r="Q34" i="18"/>
  <c r="O4" i="19" s="1"/>
  <c r="O5" i="19" s="1"/>
  <c r="O6" i="19" s="1"/>
  <c r="I34" i="18"/>
  <c r="G4" i="19" s="1"/>
  <c r="G32" i="16"/>
  <c r="G38" i="16" s="1"/>
  <c r="E63" i="12"/>
  <c r="R34" i="18"/>
  <c r="P4" i="19" s="1"/>
  <c r="H20" i="14"/>
  <c r="G53" i="14"/>
  <c r="F7" i="14" s="1"/>
  <c r="F9" i="14" s="1"/>
  <c r="I20" i="14"/>
  <c r="G37" i="14"/>
  <c r="G20" i="14"/>
  <c r="G41" i="15"/>
  <c r="G24" i="15"/>
  <c r="I24" i="15"/>
  <c r="E40" i="17"/>
  <c r="E61" i="17"/>
  <c r="E83" i="17" s="1"/>
  <c r="H28" i="16" s="1"/>
  <c r="G14" i="17"/>
  <c r="G44" i="17" s="1"/>
  <c r="C85" i="17"/>
  <c r="D83" i="17"/>
  <c r="G28" i="1" s="1"/>
  <c r="E84" i="17"/>
  <c r="Q86" i="19"/>
  <c r="F28" i="16"/>
  <c r="Q84" i="19"/>
  <c r="E11" i="17"/>
  <c r="K40" i="11" s="1"/>
  <c r="E50" i="17"/>
  <c r="H47" i="1"/>
  <c r="Q82" i="19"/>
  <c r="R14" i="19"/>
  <c r="R15" i="19" s="1"/>
  <c r="G45" i="2"/>
  <c r="H40" i="11"/>
  <c r="H40" i="12"/>
  <c r="H64" i="17"/>
  <c r="H44" i="17"/>
  <c r="H34" i="17"/>
  <c r="H54" i="17"/>
  <c r="H74" i="17"/>
  <c r="H24" i="17"/>
  <c r="F20" i="22" l="1"/>
  <c r="R46" i="18"/>
  <c r="J46" i="18"/>
  <c r="M46" i="18"/>
  <c r="H46" i="18"/>
  <c r="N46" i="18"/>
  <c r="I46" i="18"/>
  <c r="K46" i="18"/>
  <c r="P46" i="18"/>
  <c r="W18" i="18"/>
  <c r="V18" i="18" s="1"/>
  <c r="Q46" i="18"/>
  <c r="L46" i="18"/>
  <c r="O46" i="18"/>
  <c r="E61" i="2"/>
  <c r="E216" i="2"/>
  <c r="E219" i="2"/>
  <c r="E67" i="2"/>
  <c r="E137" i="2" s="1"/>
  <c r="E207" i="2" s="1"/>
  <c r="F123" i="16"/>
  <c r="E76" i="12" s="1"/>
  <c r="G55" i="2"/>
  <c r="H41" i="11"/>
  <c r="C29" i="8"/>
  <c r="W35" i="18"/>
  <c r="J35" i="18" s="1"/>
  <c r="H22" i="22"/>
  <c r="I31" i="8"/>
  <c r="I44" i="8" s="1"/>
  <c r="I46" i="8" s="1"/>
  <c r="E9" i="22"/>
  <c r="G20" i="22" s="1"/>
  <c r="G145" i="2"/>
  <c r="E68" i="2"/>
  <c r="E138" i="2" s="1"/>
  <c r="E208" i="2" s="1"/>
  <c r="K44" i="11" s="1"/>
  <c r="L28" i="18"/>
  <c r="G27" i="15"/>
  <c r="J18" i="8"/>
  <c r="E75" i="4"/>
  <c r="E156" i="4" s="1"/>
  <c r="E237" i="4" s="1"/>
  <c r="D39" i="19"/>
  <c r="D41" i="19" s="1"/>
  <c r="H41" i="12"/>
  <c r="V11" i="18" s="1"/>
  <c r="I23" i="22"/>
  <c r="C139" i="2"/>
  <c r="F44" i="11"/>
  <c r="E135" i="2"/>
  <c r="E205" i="2" s="1"/>
  <c r="E217" i="2" s="1"/>
  <c r="H38" i="1"/>
  <c r="E14" i="22"/>
  <c r="J23" i="22" s="1"/>
  <c r="F3" i="22"/>
  <c r="E12" i="22"/>
  <c r="I22" i="22" s="1"/>
  <c r="E7" i="22"/>
  <c r="E11" i="22"/>
  <c r="H21" i="22" s="1"/>
  <c r="D139" i="2"/>
  <c r="D206" i="2"/>
  <c r="P78" i="19"/>
  <c r="O78" i="19"/>
  <c r="F78" i="19"/>
  <c r="H78" i="19"/>
  <c r="M78" i="19"/>
  <c r="T78" i="19"/>
  <c r="G195" i="2"/>
  <c r="G165" i="2"/>
  <c r="G175" i="2"/>
  <c r="G115" i="2"/>
  <c r="G125" i="2"/>
  <c r="G95" i="2"/>
  <c r="G155" i="2"/>
  <c r="G85" i="2"/>
  <c r="G105" i="2"/>
  <c r="E66" i="2"/>
  <c r="E136" i="2" s="1"/>
  <c r="I78" i="19"/>
  <c r="J78" i="19"/>
  <c r="N78" i="19"/>
  <c r="G78" i="19"/>
  <c r="E78" i="19"/>
  <c r="L78" i="19"/>
  <c r="H28" i="18"/>
  <c r="V28" i="18"/>
  <c r="M23" i="18"/>
  <c r="K56" i="19" s="1"/>
  <c r="K57" i="19" s="1"/>
  <c r="K23" i="18"/>
  <c r="I56" i="19" s="1"/>
  <c r="I57" i="19" s="1"/>
  <c r="P28" i="18"/>
  <c r="H23" i="18"/>
  <c r="F56" i="19" s="1"/>
  <c r="F57" i="19" s="1"/>
  <c r="U24" i="18"/>
  <c r="G23" i="18"/>
  <c r="E56" i="19" s="1"/>
  <c r="E57" i="19" s="1"/>
  <c r="V23" i="18"/>
  <c r="N23" i="18"/>
  <c r="L56" i="19" s="1"/>
  <c r="L57" i="19" s="1"/>
  <c r="I23" i="18"/>
  <c r="G56" i="19" s="1"/>
  <c r="G57" i="19" s="1"/>
  <c r="R23" i="18"/>
  <c r="P56" i="19" s="1"/>
  <c r="P57" i="19" s="1"/>
  <c r="J23" i="18"/>
  <c r="H56" i="19" s="1"/>
  <c r="H57" i="19" s="1"/>
  <c r="Q23" i="18"/>
  <c r="O56" i="19" s="1"/>
  <c r="O57" i="19" s="1"/>
  <c r="L23" i="18"/>
  <c r="J56" i="19" s="1"/>
  <c r="J57" i="19" s="1"/>
  <c r="O23" i="18"/>
  <c r="M56" i="19" s="1"/>
  <c r="M57" i="19" s="1"/>
  <c r="G28" i="18"/>
  <c r="R28" i="18"/>
  <c r="F33" i="16"/>
  <c r="F29" i="16" s="1"/>
  <c r="F36" i="16"/>
  <c r="H194" i="15"/>
  <c r="Q60" i="19"/>
  <c r="E61" i="19"/>
  <c r="C50" i="15"/>
  <c r="E53" i="15"/>
  <c r="C50" i="14"/>
  <c r="E53" i="14"/>
  <c r="K48" i="11"/>
  <c r="P26" i="18"/>
  <c r="N62" i="19" s="1"/>
  <c r="N63" i="19" s="1"/>
  <c r="R26" i="18"/>
  <c r="P62" i="19" s="1"/>
  <c r="P63" i="19" s="1"/>
  <c r="J26" i="18"/>
  <c r="H62" i="19" s="1"/>
  <c r="H63" i="19" s="1"/>
  <c r="V26" i="18"/>
  <c r="K26" i="18"/>
  <c r="I62" i="19" s="1"/>
  <c r="I63" i="19" s="1"/>
  <c r="K47" i="11"/>
  <c r="O26" i="18"/>
  <c r="M62" i="19" s="1"/>
  <c r="M63" i="19" s="1"/>
  <c r="I19" i="15"/>
  <c r="G26" i="18"/>
  <c r="E62" i="19" s="1"/>
  <c r="E63" i="19" s="1"/>
  <c r="E158" i="4"/>
  <c r="E239" i="4" s="1"/>
  <c r="K44" i="12" s="1"/>
  <c r="M26" i="18"/>
  <c r="K62" i="19" s="1"/>
  <c r="K63" i="19" s="1"/>
  <c r="L26" i="18"/>
  <c r="J62" i="19" s="1"/>
  <c r="J63" i="19" s="1"/>
  <c r="Q26" i="18"/>
  <c r="O62" i="19" s="1"/>
  <c r="O63" i="19" s="1"/>
  <c r="K29" i="18"/>
  <c r="G29" i="18"/>
  <c r="I29" i="18"/>
  <c r="R29" i="18"/>
  <c r="O29" i="18"/>
  <c r="J29" i="18"/>
  <c r="L29" i="18"/>
  <c r="N29" i="18"/>
  <c r="V29" i="18"/>
  <c r="M29" i="18"/>
  <c r="J89" i="15"/>
  <c r="J92" i="15" s="1"/>
  <c r="L50" i="18"/>
  <c r="G50" i="18"/>
  <c r="P50" i="18"/>
  <c r="R50" i="18"/>
  <c r="O50" i="18"/>
  <c r="H50" i="18"/>
  <c r="J50" i="18"/>
  <c r="I50" i="18"/>
  <c r="M50" i="18"/>
  <c r="Q50" i="18"/>
  <c r="K50" i="18"/>
  <c r="I173" i="15"/>
  <c r="I125" i="15"/>
  <c r="L36" i="18"/>
  <c r="J20" i="19" s="1"/>
  <c r="O36" i="18"/>
  <c r="M20" i="19" s="1"/>
  <c r="J36" i="18"/>
  <c r="H20" i="19" s="1"/>
  <c r="R36" i="18"/>
  <c r="P20" i="19" s="1"/>
  <c r="H36" i="18"/>
  <c r="F20" i="19" s="1"/>
  <c r="I36" i="18"/>
  <c r="G20" i="19" s="1"/>
  <c r="K36" i="18"/>
  <c r="I20" i="19" s="1"/>
  <c r="P36" i="18"/>
  <c r="N20" i="19" s="1"/>
  <c r="G36" i="18"/>
  <c r="N36" i="18"/>
  <c r="L20" i="19" s="1"/>
  <c r="Q36" i="18"/>
  <c r="O20" i="19" s="1"/>
  <c r="M36" i="18"/>
  <c r="K20" i="19" s="1"/>
  <c r="I93" i="15"/>
  <c r="I127" i="15" s="1"/>
  <c r="F42" i="12"/>
  <c r="F128" i="16" s="1"/>
  <c r="F129" i="16" s="1"/>
  <c r="Q24" i="18"/>
  <c r="O58" i="19" s="1"/>
  <c r="O59" i="19" s="1"/>
  <c r="K24" i="18"/>
  <c r="I58" i="19" s="1"/>
  <c r="I59" i="19" s="1"/>
  <c r="L24" i="18"/>
  <c r="J58" i="19" s="1"/>
  <c r="J59" i="19" s="1"/>
  <c r="V24" i="18"/>
  <c r="R24" i="18"/>
  <c r="P58" i="19" s="1"/>
  <c r="P59" i="19" s="1"/>
  <c r="O24" i="18"/>
  <c r="M58" i="19" s="1"/>
  <c r="M59" i="19" s="1"/>
  <c r="H24" i="18"/>
  <c r="F58" i="19" s="1"/>
  <c r="F59" i="19" s="1"/>
  <c r="G24" i="18"/>
  <c r="E58" i="19" s="1"/>
  <c r="E59" i="19" s="1"/>
  <c r="J24" i="18"/>
  <c r="H58" i="19" s="1"/>
  <c r="H59" i="19" s="1"/>
  <c r="I111" i="14"/>
  <c r="I119" i="14" s="1"/>
  <c r="Q29" i="18"/>
  <c r="H29" i="18"/>
  <c r="P24" i="18"/>
  <c r="N58" i="19" s="1"/>
  <c r="N59" i="19" s="1"/>
  <c r="N24" i="18"/>
  <c r="L58" i="19" s="1"/>
  <c r="L59" i="19" s="1"/>
  <c r="M24" i="18"/>
  <c r="K58" i="19" s="1"/>
  <c r="K59" i="19" s="1"/>
  <c r="F192" i="14"/>
  <c r="K28" i="18"/>
  <c r="M28" i="18"/>
  <c r="I28" i="18"/>
  <c r="J28" i="18"/>
  <c r="Q28" i="18"/>
  <c r="N28" i="18"/>
  <c r="H26" i="18"/>
  <c r="F62" i="19" s="1"/>
  <c r="F63" i="19" s="1"/>
  <c r="N26" i="18"/>
  <c r="L62" i="19" s="1"/>
  <c r="L63" i="19" s="1"/>
  <c r="N91" i="15"/>
  <c r="O91" i="15" s="1"/>
  <c r="F3" i="15"/>
  <c r="F5" i="15" s="1"/>
  <c r="F54" i="12" s="1"/>
  <c r="G54" i="12" s="1"/>
  <c r="J107" i="14"/>
  <c r="J109" i="14" s="1"/>
  <c r="J93" i="14"/>
  <c r="J102" i="14" s="1"/>
  <c r="J91" i="14"/>
  <c r="S22" i="18"/>
  <c r="F10" i="14"/>
  <c r="F54" i="11"/>
  <c r="C13" i="8"/>
  <c r="C20" i="8" s="1"/>
  <c r="C27" i="8" s="1"/>
  <c r="C30" i="8" s="1"/>
  <c r="Q54" i="19"/>
  <c r="H59" i="1"/>
  <c r="K46" i="11" s="1"/>
  <c r="G59" i="1"/>
  <c r="H46" i="11" s="1"/>
  <c r="F59" i="1"/>
  <c r="G59" i="16"/>
  <c r="H46" i="12" s="1"/>
  <c r="H59" i="16"/>
  <c r="K46" i="12" s="1"/>
  <c r="F59" i="16"/>
  <c r="F36" i="1"/>
  <c r="I174" i="15"/>
  <c r="J156" i="15"/>
  <c r="AG174" i="15"/>
  <c r="AH156" i="15"/>
  <c r="B174" i="15"/>
  <c r="C155" i="15"/>
  <c r="D155" i="15" s="1"/>
  <c r="P157" i="15"/>
  <c r="S157" i="15"/>
  <c r="F174" i="15"/>
  <c r="G156" i="15"/>
  <c r="U174" i="15"/>
  <c r="V156" i="15"/>
  <c r="G157" i="15"/>
  <c r="Y157" i="15"/>
  <c r="Z157" i="15" s="1"/>
  <c r="M157" i="15"/>
  <c r="C174" i="15"/>
  <c r="D156" i="15"/>
  <c r="P156" i="15"/>
  <c r="O174" i="15"/>
  <c r="AB157" i="15"/>
  <c r="AC157" i="15" s="1"/>
  <c r="AA174" i="15"/>
  <c r="AB156" i="15"/>
  <c r="S156" i="15"/>
  <c r="R174" i="15"/>
  <c r="J157" i="15"/>
  <c r="K157" i="15" s="1"/>
  <c r="L174" i="15"/>
  <c r="M156" i="15"/>
  <c r="AD174" i="15"/>
  <c r="AE156" i="15"/>
  <c r="V157" i="15"/>
  <c r="X174" i="15"/>
  <c r="Y156" i="15"/>
  <c r="AJ174" i="15"/>
  <c r="AK156" i="15"/>
  <c r="D157" i="15"/>
  <c r="G19" i="15"/>
  <c r="I27" i="15"/>
  <c r="H19" i="15"/>
  <c r="J120" i="15"/>
  <c r="K75" i="15"/>
  <c r="L71" i="15"/>
  <c r="L73" i="15" s="1"/>
  <c r="J84" i="15"/>
  <c r="K111" i="15"/>
  <c r="L107" i="15"/>
  <c r="L109" i="15" s="1"/>
  <c r="C174" i="14"/>
  <c r="D156" i="14"/>
  <c r="S156" i="14"/>
  <c r="R174" i="14"/>
  <c r="AE156" i="14"/>
  <c r="AD174" i="14"/>
  <c r="P156" i="14"/>
  <c r="W157" i="14"/>
  <c r="T157" i="14"/>
  <c r="G156" i="14"/>
  <c r="F174" i="14"/>
  <c r="L174" i="14"/>
  <c r="M156" i="14"/>
  <c r="AB156" i="14"/>
  <c r="AA174" i="14"/>
  <c r="V156" i="14"/>
  <c r="U174" i="14"/>
  <c r="K157" i="14"/>
  <c r="E157" i="14"/>
  <c r="Z157" i="14"/>
  <c r="B158" i="14"/>
  <c r="B188" i="14" s="1"/>
  <c r="B157" i="14"/>
  <c r="AH156" i="14"/>
  <c r="AG174" i="14"/>
  <c r="AK156" i="14"/>
  <c r="AJ174" i="14"/>
  <c r="J156" i="14"/>
  <c r="I174" i="14"/>
  <c r="H157" i="14"/>
  <c r="N157" i="14"/>
  <c r="P157" i="14"/>
  <c r="Y156" i="14"/>
  <c r="X174" i="14"/>
  <c r="AL170" i="14"/>
  <c r="B156" i="14"/>
  <c r="B174" i="14" s="1"/>
  <c r="K89" i="14"/>
  <c r="G81" i="14"/>
  <c r="H72" i="14"/>
  <c r="H173" i="14"/>
  <c r="H75" i="14"/>
  <c r="H127" i="14" s="1"/>
  <c r="K110" i="14"/>
  <c r="F6" i="14"/>
  <c r="H47" i="19"/>
  <c r="H38" i="19"/>
  <c r="H18" i="19"/>
  <c r="I2" i="19"/>
  <c r="G2" i="22"/>
  <c r="G17" i="22" s="1"/>
  <c r="K17" i="18"/>
  <c r="K5" i="19"/>
  <c r="K7" i="19" s="1"/>
  <c r="L5" i="19"/>
  <c r="L9" i="19" s="1"/>
  <c r="N5" i="19"/>
  <c r="N7" i="19" s="1"/>
  <c r="H30" i="1"/>
  <c r="J5" i="19"/>
  <c r="J6" i="19" s="1"/>
  <c r="U12" i="19"/>
  <c r="U13" i="19" s="1"/>
  <c r="H5" i="19"/>
  <c r="H6" i="19" s="1"/>
  <c r="I5" i="19"/>
  <c r="I9" i="19" s="1"/>
  <c r="F5" i="19"/>
  <c r="F9" i="19" s="1"/>
  <c r="H47" i="16"/>
  <c r="K48" i="12" s="1"/>
  <c r="G47" i="16"/>
  <c r="H48" i="12" s="1"/>
  <c r="P5" i="19"/>
  <c r="P9" i="19" s="1"/>
  <c r="F33" i="1"/>
  <c r="F29" i="1" s="1"/>
  <c r="Q77" i="19"/>
  <c r="G5" i="19"/>
  <c r="G9" i="19" s="1"/>
  <c r="K40" i="12"/>
  <c r="S33" i="18"/>
  <c r="E3" i="19"/>
  <c r="E5" i="19" s="1"/>
  <c r="E76" i="4"/>
  <c r="E157" i="4" s="1"/>
  <c r="E238" i="4" s="1"/>
  <c r="S27" i="18"/>
  <c r="Q76" i="19"/>
  <c r="B26" i="18"/>
  <c r="U25" i="18"/>
  <c r="Q85" i="19"/>
  <c r="T9" i="19"/>
  <c r="T25" i="19" s="1"/>
  <c r="G84" i="11"/>
  <c r="G75" i="11" s="1"/>
  <c r="F21" i="21"/>
  <c r="F38" i="21" s="1"/>
  <c r="H15" i="2"/>
  <c r="E72" i="2"/>
  <c r="H35" i="2"/>
  <c r="E142" i="2"/>
  <c r="H25" i="2"/>
  <c r="Q75" i="19"/>
  <c r="S34" i="18"/>
  <c r="S47" i="18"/>
  <c r="Q74" i="19"/>
  <c r="Q4" i="19"/>
  <c r="O9" i="19"/>
  <c r="S20" i="18"/>
  <c r="F43" i="11"/>
  <c r="E80" i="11" s="1"/>
  <c r="D22" i="21" s="1"/>
  <c r="F123" i="1"/>
  <c r="F127" i="1"/>
  <c r="E79" i="11" s="1"/>
  <c r="D69" i="2"/>
  <c r="M6" i="19"/>
  <c r="O7" i="19"/>
  <c r="O8" i="19" s="1"/>
  <c r="G44" i="12"/>
  <c r="G48" i="12"/>
  <c r="G47" i="12"/>
  <c r="H43" i="12"/>
  <c r="G123" i="16"/>
  <c r="G127" i="16"/>
  <c r="F79" i="12" s="1"/>
  <c r="E80" i="12"/>
  <c r="D39" i="21" s="1"/>
  <c r="H32" i="16"/>
  <c r="H38" i="16" s="1"/>
  <c r="G30" i="16"/>
  <c r="M7" i="19"/>
  <c r="H3" i="14"/>
  <c r="F10" i="15"/>
  <c r="G34" i="17"/>
  <c r="G24" i="17"/>
  <c r="G64" i="17"/>
  <c r="G9" i="15"/>
  <c r="G54" i="17"/>
  <c r="G74" i="17"/>
  <c r="G7" i="14"/>
  <c r="E27" i="19"/>
  <c r="E28" i="19" s="1"/>
  <c r="H27" i="19"/>
  <c r="H28" i="19" s="1"/>
  <c r="E85" i="17"/>
  <c r="H33" i="16" s="1"/>
  <c r="H28" i="1"/>
  <c r="G28" i="16"/>
  <c r="D85" i="17"/>
  <c r="G33" i="16" s="1"/>
  <c r="Q64" i="19"/>
  <c r="E65" i="19"/>
  <c r="E51" i="19"/>
  <c r="Q50" i="19"/>
  <c r="V8" i="18" l="1"/>
  <c r="G8" i="18" s="1"/>
  <c r="S46" i="18"/>
  <c r="J125" i="15"/>
  <c r="D209" i="2"/>
  <c r="D218" i="2"/>
  <c r="D220" i="2" s="1"/>
  <c r="M35" i="18"/>
  <c r="K19" i="19" s="1"/>
  <c r="K21" i="19" s="1"/>
  <c r="K22" i="19" s="1"/>
  <c r="H35" i="18"/>
  <c r="H40" i="18" s="1"/>
  <c r="Q35" i="18"/>
  <c r="Q40" i="18" s="1"/>
  <c r="I35" i="18"/>
  <c r="G19" i="19" s="1"/>
  <c r="G21" i="19" s="1"/>
  <c r="P35" i="18"/>
  <c r="N19" i="19" s="1"/>
  <c r="N21" i="19" s="1"/>
  <c r="N22" i="19" s="1"/>
  <c r="N35" i="18"/>
  <c r="N40" i="18" s="1"/>
  <c r="O35" i="18"/>
  <c r="M19" i="19" s="1"/>
  <c r="M21" i="19" s="1"/>
  <c r="M23" i="19" s="1"/>
  <c r="L35" i="18"/>
  <c r="L40" i="18" s="1"/>
  <c r="G35" i="18"/>
  <c r="G40" i="18" s="1"/>
  <c r="K35" i="18"/>
  <c r="K40" i="18" s="1"/>
  <c r="R35" i="18"/>
  <c r="R40" i="18" s="1"/>
  <c r="K41" i="11"/>
  <c r="D29" i="8"/>
  <c r="J31" i="8"/>
  <c r="J44" i="8" s="1"/>
  <c r="J46" i="8" s="1"/>
  <c r="E69" i="2"/>
  <c r="K41" i="12"/>
  <c r="D13" i="8"/>
  <c r="D20" i="8" s="1"/>
  <c r="D27" i="8" s="1"/>
  <c r="D30" i="8" s="1"/>
  <c r="E139" i="2"/>
  <c r="F11" i="22"/>
  <c r="F14" i="22"/>
  <c r="F7" i="22"/>
  <c r="F13" i="22"/>
  <c r="F9" i="22"/>
  <c r="F10" i="22"/>
  <c r="G3" i="22"/>
  <c r="F12" i="22"/>
  <c r="F16" i="22"/>
  <c r="L24" i="22" s="1"/>
  <c r="F8" i="22"/>
  <c r="F15" i="22"/>
  <c r="E206" i="2"/>
  <c r="Q78" i="19"/>
  <c r="S23" i="18"/>
  <c r="Q56" i="19"/>
  <c r="J111" i="14"/>
  <c r="J120" i="14" s="1"/>
  <c r="H39" i="18"/>
  <c r="I39" i="18"/>
  <c r="J39" i="18"/>
  <c r="K39" i="18"/>
  <c r="G39" i="18"/>
  <c r="M39" i="18"/>
  <c r="N39" i="18"/>
  <c r="O39" i="18"/>
  <c r="P39" i="18"/>
  <c r="L39" i="18"/>
  <c r="Q39" i="18"/>
  <c r="R39" i="18"/>
  <c r="H123" i="16"/>
  <c r="G76" i="12" s="1"/>
  <c r="S29" i="18"/>
  <c r="K89" i="15"/>
  <c r="K92" i="15" s="1"/>
  <c r="J173" i="15"/>
  <c r="J93" i="15"/>
  <c r="J127" i="15" s="1"/>
  <c r="S50" i="18"/>
  <c r="J40" i="18"/>
  <c r="I101" i="15"/>
  <c r="I195" i="15" s="1"/>
  <c r="E20" i="19"/>
  <c r="Q20" i="19" s="1"/>
  <c r="S36" i="18"/>
  <c r="F80" i="12"/>
  <c r="E39" i="21" s="1"/>
  <c r="S24" i="18"/>
  <c r="Q62" i="19"/>
  <c r="Q58" i="19"/>
  <c r="S28" i="18"/>
  <c r="S26" i="18"/>
  <c r="W21" i="18"/>
  <c r="J37" i="18"/>
  <c r="F46" i="11"/>
  <c r="P91" i="15"/>
  <c r="G3" i="15"/>
  <c r="G5" i="15" s="1"/>
  <c r="G6" i="15" s="1"/>
  <c r="F6" i="15"/>
  <c r="G193" i="14"/>
  <c r="G133" i="14"/>
  <c r="G147" i="14" s="1"/>
  <c r="H73" i="14"/>
  <c r="H125" i="14" s="1"/>
  <c r="H126" i="14"/>
  <c r="K107" i="14"/>
  <c r="K109" i="14" s="1"/>
  <c r="K93" i="14"/>
  <c r="K103" i="14" s="1"/>
  <c r="K91" i="14"/>
  <c r="V10" i="18"/>
  <c r="G10" i="18" s="1"/>
  <c r="G19" i="18" s="1"/>
  <c r="K24" i="11"/>
  <c r="K23" i="11" s="1"/>
  <c r="K33" i="11" s="1"/>
  <c r="B175" i="14"/>
  <c r="C176" i="14"/>
  <c r="K24" i="12"/>
  <c r="AG165" i="14"/>
  <c r="AI167" i="15"/>
  <c r="AL170" i="15"/>
  <c r="Q156" i="15"/>
  <c r="Q174" i="15" s="1"/>
  <c r="P174" i="15"/>
  <c r="H157" i="15"/>
  <c r="E155" i="15"/>
  <c r="D174" i="15"/>
  <c r="D177" i="15" s="1"/>
  <c r="E156" i="15"/>
  <c r="E174" i="15" s="1"/>
  <c r="W156" i="15"/>
  <c r="W174" i="15" s="1"/>
  <c r="V174" i="15"/>
  <c r="Q157" i="15"/>
  <c r="W157" i="15"/>
  <c r="AH166" i="15" s="1"/>
  <c r="T156" i="15"/>
  <c r="S174" i="15"/>
  <c r="AF156" i="15"/>
  <c r="AE174" i="15"/>
  <c r="AB174" i="15"/>
  <c r="AC156" i="15"/>
  <c r="AC174" i="15" s="1"/>
  <c r="H156" i="15"/>
  <c r="H174" i="15" s="1"/>
  <c r="G174" i="15"/>
  <c r="C176" i="15"/>
  <c r="B175" i="15"/>
  <c r="E157" i="15"/>
  <c r="N157" i="15"/>
  <c r="AI156" i="15"/>
  <c r="AI174" i="15" s="1"/>
  <c r="AH174" i="15"/>
  <c r="AK174" i="15"/>
  <c r="AL156" i="15"/>
  <c r="M174" i="15"/>
  <c r="N156" i="15"/>
  <c r="AJ168" i="15"/>
  <c r="AK169" i="15"/>
  <c r="T157" i="15"/>
  <c r="K156" i="15"/>
  <c r="K174" i="15" s="1"/>
  <c r="J174" i="15"/>
  <c r="Y174" i="15"/>
  <c r="Z156" i="15"/>
  <c r="G10" i="15"/>
  <c r="F46" i="12"/>
  <c r="K85" i="15"/>
  <c r="M107" i="15"/>
  <c r="M109" i="15" s="1"/>
  <c r="L111" i="15"/>
  <c r="K121" i="15"/>
  <c r="L75" i="15"/>
  <c r="M71" i="15"/>
  <c r="M73" i="15" s="1"/>
  <c r="AD162" i="14"/>
  <c r="O159" i="14"/>
  <c r="AJ168" i="14"/>
  <c r="Q157" i="14"/>
  <c r="AA159" i="14" s="1"/>
  <c r="AL156" i="14"/>
  <c r="AK174" i="14"/>
  <c r="P160" i="14"/>
  <c r="N158" i="14"/>
  <c r="Q156" i="14"/>
  <c r="Q174" i="14" s="1"/>
  <c r="P174" i="14"/>
  <c r="N156" i="14"/>
  <c r="M174" i="14"/>
  <c r="AI156" i="14"/>
  <c r="AI174" i="14" s="1"/>
  <c r="AH174" i="14"/>
  <c r="H156" i="14"/>
  <c r="H174" i="14" s="1"/>
  <c r="G174" i="14"/>
  <c r="AF156" i="14"/>
  <c r="AE174" i="14"/>
  <c r="W156" i="14"/>
  <c r="W174" i="14" s="1"/>
  <c r="V174" i="14"/>
  <c r="AE163" i="14"/>
  <c r="AC161" i="14"/>
  <c r="T156" i="14"/>
  <c r="S174" i="14"/>
  <c r="Z156" i="14"/>
  <c r="Y174" i="14"/>
  <c r="D174" i="14"/>
  <c r="E156" i="14"/>
  <c r="E174" i="14" s="1"/>
  <c r="K156" i="14"/>
  <c r="K174" i="14" s="1"/>
  <c r="J174" i="14"/>
  <c r="AK169" i="14"/>
  <c r="AI167" i="14"/>
  <c r="AC156" i="14"/>
  <c r="AC174" i="14" s="1"/>
  <c r="AB174" i="14"/>
  <c r="AH166" i="14"/>
  <c r="AF164" i="14"/>
  <c r="C155" i="14"/>
  <c r="L89" i="14"/>
  <c r="H82" i="14"/>
  <c r="I71" i="14"/>
  <c r="I73" i="14" s="1"/>
  <c r="I125" i="14" s="1"/>
  <c r="L110" i="14"/>
  <c r="N9" i="19"/>
  <c r="N6" i="19"/>
  <c r="N8" i="19" s="1"/>
  <c r="L7" i="19"/>
  <c r="K6" i="19"/>
  <c r="K8" i="19" s="1"/>
  <c r="K9" i="19"/>
  <c r="H2" i="22"/>
  <c r="H17" i="22" s="1"/>
  <c r="L17" i="18"/>
  <c r="J2" i="19"/>
  <c r="L6" i="19"/>
  <c r="I47" i="19"/>
  <c r="I18" i="19"/>
  <c r="I38" i="19"/>
  <c r="H30" i="16"/>
  <c r="H29" i="16" s="1"/>
  <c r="H36" i="16"/>
  <c r="J9" i="19"/>
  <c r="G36" i="1"/>
  <c r="H36" i="1"/>
  <c r="I6" i="19"/>
  <c r="J7" i="19"/>
  <c r="J8" i="19" s="1"/>
  <c r="I7" i="19"/>
  <c r="H7" i="19"/>
  <c r="H8" i="19" s="1"/>
  <c r="U14" i="19"/>
  <c r="U15" i="19" s="1"/>
  <c r="H9" i="19"/>
  <c r="G36" i="16"/>
  <c r="F6" i="19"/>
  <c r="P6" i="19"/>
  <c r="F7" i="19"/>
  <c r="P7" i="19"/>
  <c r="H29" i="19"/>
  <c r="H30" i="19" s="1"/>
  <c r="H31" i="19" s="1"/>
  <c r="F45" i="12" s="1"/>
  <c r="G33" i="1"/>
  <c r="G29" i="1" s="1"/>
  <c r="H33" i="1"/>
  <c r="H29" i="1" s="1"/>
  <c r="G7" i="19"/>
  <c r="G6" i="19"/>
  <c r="Q3" i="19"/>
  <c r="K43" i="12"/>
  <c r="H127" i="16"/>
  <c r="G79" i="12" s="1"/>
  <c r="B27" i="18"/>
  <c r="U26" i="18"/>
  <c r="H155" i="2"/>
  <c r="H85" i="2"/>
  <c r="H185" i="2"/>
  <c r="H195" i="2"/>
  <c r="H45" i="2"/>
  <c r="H175" i="2"/>
  <c r="H115" i="2"/>
  <c r="H125" i="2"/>
  <c r="H55" i="2"/>
  <c r="H105" i="2"/>
  <c r="H95" i="2"/>
  <c r="H165" i="2"/>
  <c r="H145" i="2"/>
  <c r="H75" i="2"/>
  <c r="M8" i="19"/>
  <c r="G54" i="11"/>
  <c r="F42" i="11"/>
  <c r="F128" i="1" s="1"/>
  <c r="F129" i="1" s="1"/>
  <c r="F132" i="1" s="1"/>
  <c r="G47" i="11"/>
  <c r="G48" i="11"/>
  <c r="G44" i="11"/>
  <c r="E76" i="11"/>
  <c r="F76" i="12"/>
  <c r="J48" i="12"/>
  <c r="J44" i="12"/>
  <c r="J46" i="12"/>
  <c r="J47" i="12"/>
  <c r="H42" i="12"/>
  <c r="G128" i="16" s="1"/>
  <c r="G129" i="16" s="1"/>
  <c r="L41" i="18"/>
  <c r="G41" i="18"/>
  <c r="O41" i="18"/>
  <c r="H41" i="18"/>
  <c r="I41" i="18"/>
  <c r="K41" i="18"/>
  <c r="R41" i="18"/>
  <c r="J41" i="18"/>
  <c r="Q41" i="18"/>
  <c r="N41" i="18"/>
  <c r="P41" i="18"/>
  <c r="M41" i="18"/>
  <c r="H5" i="14"/>
  <c r="H6" i="14" s="1"/>
  <c r="H7" i="15"/>
  <c r="G29" i="16"/>
  <c r="G9" i="14"/>
  <c r="T27" i="19"/>
  <c r="U27" i="19"/>
  <c r="S27" i="19"/>
  <c r="R27" i="19"/>
  <c r="E6" i="19"/>
  <c r="E7" i="19"/>
  <c r="Q5" i="19"/>
  <c r="E9" i="19"/>
  <c r="H8" i="18" l="1"/>
  <c r="P8" i="18"/>
  <c r="N39" i="19" s="1"/>
  <c r="O8" i="18"/>
  <c r="J8" i="18"/>
  <c r="H39" i="19" s="1"/>
  <c r="Q8" i="18"/>
  <c r="M8" i="18"/>
  <c r="K39" i="19" s="1"/>
  <c r="I8" i="18"/>
  <c r="L8" i="18"/>
  <c r="R8" i="18"/>
  <c r="P39" i="19" s="1"/>
  <c r="N8" i="18"/>
  <c r="K8" i="18"/>
  <c r="I39" i="19" s="1"/>
  <c r="H54" i="12"/>
  <c r="J54" i="12" s="1"/>
  <c r="P40" i="18"/>
  <c r="F19" i="19"/>
  <c r="F21" i="19" s="1"/>
  <c r="F23" i="19" s="1"/>
  <c r="E209" i="2"/>
  <c r="E218" i="2"/>
  <c r="E220" i="2" s="1"/>
  <c r="I37" i="18"/>
  <c r="I40" i="18"/>
  <c r="O40" i="18"/>
  <c r="Q37" i="18"/>
  <c r="M40" i="18"/>
  <c r="L19" i="19"/>
  <c r="L21" i="19" s="1"/>
  <c r="L25" i="19" s="1"/>
  <c r="O38" i="18" s="1"/>
  <c r="N37" i="18"/>
  <c r="I19" i="19"/>
  <c r="I21" i="19" s="1"/>
  <c r="I23" i="19" s="1"/>
  <c r="G37" i="18"/>
  <c r="L37" i="18"/>
  <c r="R37" i="18"/>
  <c r="M186" i="14"/>
  <c r="K125" i="15"/>
  <c r="J183" i="14"/>
  <c r="E35" i="11"/>
  <c r="C36" i="11" s="1"/>
  <c r="G46" i="11"/>
  <c r="J22" i="22"/>
  <c r="I21" i="22"/>
  <c r="K23" i="22"/>
  <c r="F39" i="19"/>
  <c r="M39" i="19"/>
  <c r="O39" i="19"/>
  <c r="G16" i="22"/>
  <c r="M24" i="22" s="1"/>
  <c r="G14" i="22"/>
  <c r="G10" i="22"/>
  <c r="G12" i="22"/>
  <c r="G15" i="22"/>
  <c r="G9" i="22"/>
  <c r="G13" i="22"/>
  <c r="G11" i="22"/>
  <c r="G7" i="22"/>
  <c r="G8" i="22"/>
  <c r="H3" i="22"/>
  <c r="H20" i="22"/>
  <c r="L89" i="15"/>
  <c r="L173" i="15" s="1"/>
  <c r="K173" i="15"/>
  <c r="J102" i="15"/>
  <c r="J196" i="15" s="1"/>
  <c r="K93" i="15"/>
  <c r="K127" i="15" s="1"/>
  <c r="H3" i="15"/>
  <c r="H5" i="15" s="1"/>
  <c r="H6" i="15" s="1"/>
  <c r="I135" i="15"/>
  <c r="I149" i="15" s="1"/>
  <c r="M37" i="18"/>
  <c r="J19" i="19"/>
  <c r="J21" i="19" s="1"/>
  <c r="J22" i="19" s="1"/>
  <c r="P37" i="18"/>
  <c r="E19" i="19"/>
  <c r="E21" i="19" s="1"/>
  <c r="P19" i="19"/>
  <c r="P21" i="19" s="1"/>
  <c r="H19" i="19"/>
  <c r="H21" i="19" s="1"/>
  <c r="H22" i="19" s="1"/>
  <c r="H37" i="18"/>
  <c r="K37" i="18"/>
  <c r="O37" i="18"/>
  <c r="S35" i="18"/>
  <c r="O19" i="19"/>
  <c r="O21" i="19" s="1"/>
  <c r="O25" i="19" s="1"/>
  <c r="R38" i="18" s="1"/>
  <c r="E39" i="19"/>
  <c r="Q91" i="15"/>
  <c r="Z158" i="15"/>
  <c r="H194" i="14"/>
  <c r="H134" i="14"/>
  <c r="H148" i="14" s="1"/>
  <c r="L107" i="14"/>
  <c r="L109" i="14" s="1"/>
  <c r="K111" i="14"/>
  <c r="L93" i="14"/>
  <c r="L104" i="14" s="1"/>
  <c r="L91" i="14"/>
  <c r="K43" i="11"/>
  <c r="G80" i="11" s="1"/>
  <c r="F22" i="21" s="1"/>
  <c r="I10" i="18"/>
  <c r="K10" i="18"/>
  <c r="J10" i="18"/>
  <c r="P10" i="18"/>
  <c r="O10" i="18"/>
  <c r="O19" i="18" s="1"/>
  <c r="M10" i="18"/>
  <c r="H10" i="18"/>
  <c r="H19" i="18" s="1"/>
  <c r="R10" i="18"/>
  <c r="Q10" i="18"/>
  <c r="L10" i="18"/>
  <c r="N10" i="18"/>
  <c r="K42" i="12"/>
  <c r="H128" i="16" s="1"/>
  <c r="H129" i="16" s="1"/>
  <c r="K23" i="12"/>
  <c r="K35" i="12" s="1"/>
  <c r="W14" i="18"/>
  <c r="K35" i="11"/>
  <c r="G46" i="12"/>
  <c r="E81" i="12"/>
  <c r="G45" i="12"/>
  <c r="H7" i="14"/>
  <c r="H9" i="14" s="1"/>
  <c r="H54" i="11"/>
  <c r="AG165" i="15"/>
  <c r="X168" i="15"/>
  <c r="O159" i="15"/>
  <c r="H181" i="15"/>
  <c r="F155" i="15"/>
  <c r="G155" i="15" s="1"/>
  <c r="H155" i="15" s="1"/>
  <c r="I155" i="15" s="1"/>
  <c r="J155" i="15" s="1"/>
  <c r="K155" i="15" s="1"/>
  <c r="L155" i="15" s="1"/>
  <c r="M155" i="15" s="1"/>
  <c r="N155" i="15" s="1"/>
  <c r="O155" i="15" s="1"/>
  <c r="P155" i="15" s="1"/>
  <c r="Q155" i="15" s="1"/>
  <c r="R155" i="15" s="1"/>
  <c r="S155" i="15" s="1"/>
  <c r="T155" i="15" s="1"/>
  <c r="U155" i="15" s="1"/>
  <c r="V155" i="15" s="1"/>
  <c r="W155" i="15" s="1"/>
  <c r="X155" i="15" s="1"/>
  <c r="Y155" i="15" s="1"/>
  <c r="Z155" i="15" s="1"/>
  <c r="AA155" i="15" s="1"/>
  <c r="AB155" i="15" s="1"/>
  <c r="AC155" i="15" s="1"/>
  <c r="AD155" i="15" s="1"/>
  <c r="AE155" i="15" s="1"/>
  <c r="AF155" i="15" s="1"/>
  <c r="AG155" i="15" s="1"/>
  <c r="AH155" i="15" s="1"/>
  <c r="AI155" i="15" s="1"/>
  <c r="AJ155" i="15" s="1"/>
  <c r="AK155" i="15" s="1"/>
  <c r="AL155" i="15" s="1"/>
  <c r="S163" i="15"/>
  <c r="E178" i="15"/>
  <c r="G180" i="15"/>
  <c r="AB160" i="15"/>
  <c r="Z170" i="15"/>
  <c r="R162" i="15"/>
  <c r="L185" i="15"/>
  <c r="AA159" i="15"/>
  <c r="T164" i="15"/>
  <c r="I182" i="15"/>
  <c r="AE163" i="15"/>
  <c r="AC161" i="15"/>
  <c r="K184" i="15"/>
  <c r="Y169" i="15"/>
  <c r="W167" i="15"/>
  <c r="M186" i="15"/>
  <c r="V166" i="15"/>
  <c r="F179" i="15"/>
  <c r="U165" i="15"/>
  <c r="P160" i="15"/>
  <c r="N158" i="15"/>
  <c r="Q161" i="15"/>
  <c r="AD162" i="15"/>
  <c r="J183" i="15"/>
  <c r="AF164" i="15"/>
  <c r="P21" i="18"/>
  <c r="N52" i="19" s="1"/>
  <c r="N53" i="19" s="1"/>
  <c r="K21" i="18"/>
  <c r="I52" i="19" s="1"/>
  <c r="I53" i="19" s="1"/>
  <c r="M21" i="18"/>
  <c r="K52" i="19" s="1"/>
  <c r="K53" i="19" s="1"/>
  <c r="I21" i="18"/>
  <c r="G52" i="19" s="1"/>
  <c r="G53" i="19" s="1"/>
  <c r="V21" i="18"/>
  <c r="Q21" i="18"/>
  <c r="O52" i="19" s="1"/>
  <c r="O53" i="19" s="1"/>
  <c r="H21" i="18"/>
  <c r="F52" i="19" s="1"/>
  <c r="F53" i="19" s="1"/>
  <c r="G21" i="18"/>
  <c r="O21" i="18"/>
  <c r="M52" i="19" s="1"/>
  <c r="M53" i="19" s="1"/>
  <c r="R21" i="18"/>
  <c r="P52" i="19" s="1"/>
  <c r="P53" i="19" s="1"/>
  <c r="J21" i="18"/>
  <c r="H52" i="19" s="1"/>
  <c r="H53" i="19" s="1"/>
  <c r="L21" i="18"/>
  <c r="J52" i="19" s="1"/>
  <c r="J53" i="19" s="1"/>
  <c r="N21" i="18"/>
  <c r="L52" i="19" s="1"/>
  <c r="L53" i="19" s="1"/>
  <c r="M75" i="15"/>
  <c r="M87" i="15" s="1"/>
  <c r="N71" i="15"/>
  <c r="L122" i="15"/>
  <c r="L86" i="15"/>
  <c r="M111" i="15"/>
  <c r="N107" i="15"/>
  <c r="H181" i="14"/>
  <c r="S163" i="14"/>
  <c r="Z158" i="14"/>
  <c r="T164" i="14"/>
  <c r="F179" i="14"/>
  <c r="V166" i="14"/>
  <c r="Q161" i="14"/>
  <c r="I182" i="14"/>
  <c r="G180" i="14"/>
  <c r="W167" i="14"/>
  <c r="K184" i="14"/>
  <c r="Y169" i="14"/>
  <c r="L185" i="14"/>
  <c r="D177" i="14"/>
  <c r="U165" i="14"/>
  <c r="E178" i="14"/>
  <c r="M89" i="14"/>
  <c r="AB160" i="14"/>
  <c r="Z170" i="14"/>
  <c r="R162" i="14"/>
  <c r="X168" i="14"/>
  <c r="D155" i="14"/>
  <c r="E155" i="14" s="1"/>
  <c r="F155" i="14" s="1"/>
  <c r="G155" i="14" s="1"/>
  <c r="H155" i="14" s="1"/>
  <c r="I155" i="14" s="1"/>
  <c r="J155" i="14" s="1"/>
  <c r="K155" i="14" s="1"/>
  <c r="L155" i="14" s="1"/>
  <c r="M155" i="14" s="1"/>
  <c r="J71" i="14"/>
  <c r="J73" i="14" s="1"/>
  <c r="J125" i="14" s="1"/>
  <c r="I173" i="14"/>
  <c r="I75" i="14"/>
  <c r="I127" i="14" s="1"/>
  <c r="M110" i="14"/>
  <c r="I8" i="19"/>
  <c r="L8" i="19"/>
  <c r="J47" i="19"/>
  <c r="J38" i="19"/>
  <c r="J18" i="19"/>
  <c r="I2" i="22"/>
  <c r="I17" i="22" s="1"/>
  <c r="M17" i="18"/>
  <c r="K2" i="19"/>
  <c r="P8" i="19"/>
  <c r="F8" i="19"/>
  <c r="U28" i="19"/>
  <c r="U29" i="19" s="1"/>
  <c r="U30" i="19" s="1"/>
  <c r="S28" i="19"/>
  <c r="S29" i="19" s="1"/>
  <c r="S30" i="19" s="1"/>
  <c r="S31" i="19" s="1"/>
  <c r="E29" i="19"/>
  <c r="Q9" i="19"/>
  <c r="G8" i="19"/>
  <c r="Q7" i="19"/>
  <c r="R28" i="19"/>
  <c r="R29" i="19" s="1"/>
  <c r="R30" i="19" s="1"/>
  <c r="R31" i="19" s="1"/>
  <c r="T28" i="19"/>
  <c r="T29" i="19" s="1"/>
  <c r="T30" i="19" s="1"/>
  <c r="T31" i="19" s="1"/>
  <c r="S39" i="18"/>
  <c r="L44" i="12"/>
  <c r="L46" i="12"/>
  <c r="L47" i="12"/>
  <c r="L48" i="12"/>
  <c r="G80" i="12"/>
  <c r="F39" i="21" s="1"/>
  <c r="B28" i="18"/>
  <c r="U27" i="18"/>
  <c r="G123" i="1"/>
  <c r="H43" i="11"/>
  <c r="G127" i="1"/>
  <c r="F79" i="11" s="1"/>
  <c r="S41" i="18"/>
  <c r="G10" i="14"/>
  <c r="H9" i="15"/>
  <c r="F49" i="12"/>
  <c r="N23" i="19"/>
  <c r="N24" i="19" s="1"/>
  <c r="P32" i="18" s="1"/>
  <c r="N25" i="19"/>
  <c r="Q38" i="18" s="1"/>
  <c r="M22" i="19"/>
  <c r="M24" i="19" s="1"/>
  <c r="O32" i="18" s="1"/>
  <c r="M25" i="19"/>
  <c r="P38" i="18" s="1"/>
  <c r="K23" i="19"/>
  <c r="K24" i="19" s="1"/>
  <c r="M32" i="18" s="1"/>
  <c r="K25" i="19"/>
  <c r="N38" i="18" s="1"/>
  <c r="Q6" i="19"/>
  <c r="E8" i="19"/>
  <c r="G23" i="19"/>
  <c r="G22" i="19"/>
  <c r="G25" i="19"/>
  <c r="J38" i="18" s="1"/>
  <c r="F25" i="19" l="1"/>
  <c r="I38" i="18" s="1"/>
  <c r="J19" i="18"/>
  <c r="S8" i="18"/>
  <c r="N19" i="18"/>
  <c r="P19" i="18"/>
  <c r="M19" i="18"/>
  <c r="L19" i="18"/>
  <c r="I19" i="18"/>
  <c r="Q19" i="18"/>
  <c r="J39" i="19"/>
  <c r="J40" i="19" s="1"/>
  <c r="L39" i="19"/>
  <c r="G39" i="19"/>
  <c r="G40" i="19" s="1"/>
  <c r="K19" i="18"/>
  <c r="R19" i="18"/>
  <c r="F22" i="19"/>
  <c r="F24" i="19" s="1"/>
  <c r="H32" i="18" s="1"/>
  <c r="L22" i="19"/>
  <c r="S40" i="18"/>
  <c r="I25" i="19"/>
  <c r="L38" i="18" s="1"/>
  <c r="I22" i="19"/>
  <c r="I24" i="19" s="1"/>
  <c r="K32" i="18" s="1"/>
  <c r="L23" i="19"/>
  <c r="F40" i="19"/>
  <c r="N40" i="19"/>
  <c r="O40" i="19"/>
  <c r="I40" i="19"/>
  <c r="K40" i="19"/>
  <c r="H40" i="19"/>
  <c r="P40" i="19"/>
  <c r="M40" i="19"/>
  <c r="E40" i="19"/>
  <c r="L125" i="15"/>
  <c r="M89" i="15"/>
  <c r="L93" i="15"/>
  <c r="L127" i="15" s="1"/>
  <c r="C131" i="11"/>
  <c r="L92" i="15"/>
  <c r="U31" i="19"/>
  <c r="K45" i="12" s="1"/>
  <c r="K22" i="22"/>
  <c r="H16" i="22"/>
  <c r="N24" i="22" s="1"/>
  <c r="H10" i="22"/>
  <c r="H8" i="22"/>
  <c r="H11" i="22"/>
  <c r="H13" i="22"/>
  <c r="H9" i="22"/>
  <c r="H12" i="22"/>
  <c r="H14" i="22"/>
  <c r="I3" i="22"/>
  <c r="H7" i="22"/>
  <c r="H15" i="22"/>
  <c r="J21" i="22"/>
  <c r="I20" i="22"/>
  <c r="L23" i="22"/>
  <c r="F80" i="11"/>
  <c r="E22" i="21" s="1"/>
  <c r="J47" i="11"/>
  <c r="K103" i="15"/>
  <c r="K197" i="15" s="1"/>
  <c r="J23" i="19"/>
  <c r="J24" i="19" s="1"/>
  <c r="L32" i="18" s="1"/>
  <c r="J136" i="15"/>
  <c r="J150" i="15" s="1"/>
  <c r="J25" i="19"/>
  <c r="M38" i="18" s="1"/>
  <c r="H127" i="1"/>
  <c r="G79" i="11" s="1"/>
  <c r="K45" i="11"/>
  <c r="E30" i="19"/>
  <c r="E31" i="19" s="1"/>
  <c r="H45" i="11"/>
  <c r="F81" i="11" s="1"/>
  <c r="G49" i="12"/>
  <c r="D44" i="21" s="1"/>
  <c r="L111" i="14"/>
  <c r="L122" i="14" s="1"/>
  <c r="H23" i="19"/>
  <c r="H24" i="19" s="1"/>
  <c r="J32" i="18" s="1"/>
  <c r="H25" i="19"/>
  <c r="K38" i="18" s="1"/>
  <c r="M125" i="15"/>
  <c r="M92" i="15"/>
  <c r="H123" i="1"/>
  <c r="G76" i="11" s="1"/>
  <c r="S37" i="18"/>
  <c r="O22" i="19"/>
  <c r="Q19" i="19"/>
  <c r="O23" i="19"/>
  <c r="R91" i="15"/>
  <c r="N72" i="15"/>
  <c r="M173" i="15"/>
  <c r="N108" i="15"/>
  <c r="O107" i="15" s="1"/>
  <c r="O109" i="15" s="1"/>
  <c r="K121" i="14"/>
  <c r="M107" i="14"/>
  <c r="M109" i="14" s="1"/>
  <c r="M93" i="14"/>
  <c r="M105" i="14" s="1"/>
  <c r="M91" i="14"/>
  <c r="L4" i="22"/>
  <c r="N41" i="19"/>
  <c r="N48" i="19" s="1"/>
  <c r="L41" i="19"/>
  <c r="J4" i="22"/>
  <c r="H41" i="19"/>
  <c r="H48" i="19" s="1"/>
  <c r="F4" i="22"/>
  <c r="H4" i="22"/>
  <c r="J41" i="19"/>
  <c r="I41" i="19"/>
  <c r="I48" i="19" s="1"/>
  <c r="G4" i="22"/>
  <c r="M4" i="22"/>
  <c r="O41" i="19"/>
  <c r="O48" i="19" s="1"/>
  <c r="C4" i="22"/>
  <c r="E41" i="19"/>
  <c r="E42" i="19" s="1"/>
  <c r="S10" i="18"/>
  <c r="P41" i="19"/>
  <c r="P48" i="19" s="1"/>
  <c r="P49" i="19" s="1"/>
  <c r="N4" i="22"/>
  <c r="E4" i="22"/>
  <c r="G41" i="19"/>
  <c r="D4" i="22"/>
  <c r="F41" i="19"/>
  <c r="F48" i="19" s="1"/>
  <c r="K41" i="19"/>
  <c r="K48" i="19" s="1"/>
  <c r="I4" i="22"/>
  <c r="M41" i="19"/>
  <c r="M48" i="19" s="1"/>
  <c r="K4" i="22"/>
  <c r="K33" i="12"/>
  <c r="N14" i="18"/>
  <c r="S14" i="18" s="1"/>
  <c r="H10" i="14"/>
  <c r="K54" i="11"/>
  <c r="L54" i="11" s="1"/>
  <c r="H10" i="15"/>
  <c r="K54" i="12"/>
  <c r="L54" i="12" s="1"/>
  <c r="E52" i="19"/>
  <c r="S21" i="18"/>
  <c r="N89" i="14"/>
  <c r="N111" i="15"/>
  <c r="N124" i="15" s="1"/>
  <c r="M93" i="15"/>
  <c r="M127" i="15" s="1"/>
  <c r="N89" i="15"/>
  <c r="M123" i="15"/>
  <c r="N75" i="15"/>
  <c r="L104" i="15"/>
  <c r="L198" i="15" s="1"/>
  <c r="N155" i="14"/>
  <c r="O155" i="14" s="1"/>
  <c r="P155" i="14" s="1"/>
  <c r="Q155" i="14" s="1"/>
  <c r="R155" i="14" s="1"/>
  <c r="S155" i="14" s="1"/>
  <c r="T155" i="14" s="1"/>
  <c r="U155" i="14" s="1"/>
  <c r="V155" i="14" s="1"/>
  <c r="W155" i="14" s="1"/>
  <c r="X155" i="14" s="1"/>
  <c r="Y155" i="14" s="1"/>
  <c r="I83" i="14"/>
  <c r="J75" i="14"/>
  <c r="J127" i="14" s="1"/>
  <c r="J173" i="14"/>
  <c r="K71" i="14"/>
  <c r="K73" i="14" s="1"/>
  <c r="K125" i="14" s="1"/>
  <c r="N110" i="14"/>
  <c r="J2" i="22"/>
  <c r="J17" i="22" s="1"/>
  <c r="N17" i="18"/>
  <c r="L2" i="19"/>
  <c r="K47" i="19"/>
  <c r="K38" i="19"/>
  <c r="K18" i="19"/>
  <c r="Q8" i="19"/>
  <c r="I45" i="12"/>
  <c r="H45" i="12"/>
  <c r="U28" i="18"/>
  <c r="B29" i="18"/>
  <c r="J46" i="11"/>
  <c r="J54" i="11"/>
  <c r="J48" i="11"/>
  <c r="J44" i="11"/>
  <c r="H42" i="11"/>
  <c r="G128" i="1" s="1"/>
  <c r="G129" i="1" s="1"/>
  <c r="G132" i="1" s="1"/>
  <c r="L48" i="11"/>
  <c r="L47" i="11"/>
  <c r="L46" i="11"/>
  <c r="L44" i="11"/>
  <c r="K42" i="11"/>
  <c r="H128" i="1" s="1"/>
  <c r="F76" i="11"/>
  <c r="G24" i="19"/>
  <c r="I32" i="18" s="1"/>
  <c r="P23" i="19"/>
  <c r="P22" i="19"/>
  <c r="P25" i="19"/>
  <c r="E25" i="19"/>
  <c r="E23" i="19"/>
  <c r="E22" i="19"/>
  <c r="Q21" i="19"/>
  <c r="L24" i="19" l="1"/>
  <c r="N32" i="18" s="1"/>
  <c r="L48" i="19"/>
  <c r="O18" i="18" s="1"/>
  <c r="J48" i="19"/>
  <c r="J49" i="19" s="1"/>
  <c r="S19" i="18"/>
  <c r="G48" i="19"/>
  <c r="G49" i="19" s="1"/>
  <c r="Q39" i="19"/>
  <c r="L40" i="19"/>
  <c r="M49" i="19"/>
  <c r="P18" i="18"/>
  <c r="O49" i="19"/>
  <c r="R18" i="18"/>
  <c r="K49" i="19"/>
  <c r="N49" i="19"/>
  <c r="Q18" i="18"/>
  <c r="F49" i="19"/>
  <c r="I49" i="19"/>
  <c r="H49" i="19"/>
  <c r="K18" i="18"/>
  <c r="E48" i="19"/>
  <c r="N73" i="15"/>
  <c r="E35" i="12"/>
  <c r="C36" i="12" s="1"/>
  <c r="G81" i="12"/>
  <c r="L45" i="12"/>
  <c r="K49" i="12"/>
  <c r="L49" i="12" s="1"/>
  <c r="F44" i="21" s="1"/>
  <c r="J45" i="11"/>
  <c r="K137" i="15"/>
  <c r="K151" i="15" s="1"/>
  <c r="I42" i="19"/>
  <c r="I43" i="19" s="1"/>
  <c r="P42" i="19"/>
  <c r="P43" i="19" s="1"/>
  <c r="M42" i="19"/>
  <c r="M43" i="19" s="1"/>
  <c r="J42" i="19"/>
  <c r="J43" i="19" s="1"/>
  <c r="H42" i="19"/>
  <c r="H43" i="19" s="1"/>
  <c r="O42" i="19"/>
  <c r="O43" i="19" s="1"/>
  <c r="G42" i="19"/>
  <c r="G43" i="19" s="1"/>
  <c r="L42" i="19"/>
  <c r="L22" i="22"/>
  <c r="K42" i="19"/>
  <c r="K43" i="19" s="1"/>
  <c r="F42" i="19"/>
  <c r="F43" i="19" s="1"/>
  <c r="N42" i="19"/>
  <c r="N43" i="19" s="1"/>
  <c r="J20" i="22"/>
  <c r="K21" i="22"/>
  <c r="I12" i="22"/>
  <c r="I10" i="22"/>
  <c r="I13" i="22"/>
  <c r="I11" i="22"/>
  <c r="I14" i="22"/>
  <c r="J3" i="22"/>
  <c r="I16" i="22"/>
  <c r="I15" i="22"/>
  <c r="I7" i="22"/>
  <c r="I9" i="22"/>
  <c r="I8" i="22"/>
  <c r="M23" i="22"/>
  <c r="H129" i="1"/>
  <c r="H132" i="1" s="1"/>
  <c r="L45" i="11"/>
  <c r="H49" i="11"/>
  <c r="J49" i="11" s="1"/>
  <c r="E29" i="21" s="1"/>
  <c r="K49" i="11"/>
  <c r="L49" i="11" s="1"/>
  <c r="F29" i="21" s="1"/>
  <c r="G81" i="11"/>
  <c r="F45" i="11"/>
  <c r="G45" i="11" s="1"/>
  <c r="N90" i="15"/>
  <c r="N92" i="15" s="1"/>
  <c r="N125" i="15"/>
  <c r="N76" i="15"/>
  <c r="N88" i="15"/>
  <c r="O24" i="19"/>
  <c r="Q32" i="18" s="1"/>
  <c r="M111" i="14"/>
  <c r="M123" i="14" s="1"/>
  <c r="N107" i="14"/>
  <c r="N111" i="14" s="1"/>
  <c r="L138" i="15"/>
  <c r="L152" i="15" s="1"/>
  <c r="N109" i="15"/>
  <c r="F22" i="16" s="1"/>
  <c r="S91" i="15"/>
  <c r="I195" i="14"/>
  <c r="I135" i="14"/>
  <c r="I149" i="14" s="1"/>
  <c r="N90" i="14"/>
  <c r="O89" i="14" s="1"/>
  <c r="P89" i="14" s="1"/>
  <c r="I5" i="22"/>
  <c r="I18" i="22" s="1"/>
  <c r="H5" i="22"/>
  <c r="H18" i="22" s="1"/>
  <c r="E43" i="19"/>
  <c r="Q41" i="19"/>
  <c r="C5" i="22"/>
  <c r="C18" i="22" s="1"/>
  <c r="C25" i="22" s="1"/>
  <c r="G12" i="18" s="1"/>
  <c r="G15" i="18" s="1"/>
  <c r="F5" i="22"/>
  <c r="F18" i="22" s="1"/>
  <c r="D5" i="22"/>
  <c r="D18" i="22" s="1"/>
  <c r="E5" i="22"/>
  <c r="E18" i="22" s="1"/>
  <c r="G5" i="22"/>
  <c r="G18" i="22" s="1"/>
  <c r="J45" i="12"/>
  <c r="N173" i="15"/>
  <c r="E53" i="19"/>
  <c r="Q52" i="19"/>
  <c r="N93" i="14"/>
  <c r="N93" i="15"/>
  <c r="N127" i="15" s="1"/>
  <c r="M105" i="15"/>
  <c r="N112" i="15"/>
  <c r="O111" i="15"/>
  <c r="P107" i="15"/>
  <c r="P109" i="15" s="1"/>
  <c r="O71" i="15"/>
  <c r="O73" i="15" s="1"/>
  <c r="Z155" i="14"/>
  <c r="AA155" i="14" s="1"/>
  <c r="AB155" i="14" s="1"/>
  <c r="AC155" i="14" s="1"/>
  <c r="AD155" i="14" s="1"/>
  <c r="AE155" i="14" s="1"/>
  <c r="AF155" i="14" s="1"/>
  <c r="AG155" i="14" s="1"/>
  <c r="AH155" i="14" s="1"/>
  <c r="AI155" i="14" s="1"/>
  <c r="AJ155" i="14" s="1"/>
  <c r="AK155" i="14" s="1"/>
  <c r="J84" i="14"/>
  <c r="K75" i="14"/>
  <c r="K127" i="14" s="1"/>
  <c r="K173" i="14"/>
  <c r="L71" i="14"/>
  <c r="L73" i="14" s="1"/>
  <c r="L125" i="14" s="1"/>
  <c r="O110" i="14"/>
  <c r="L18" i="19"/>
  <c r="L47" i="19"/>
  <c r="L38" i="19"/>
  <c r="K2" i="22"/>
  <c r="K17" i="22" s="1"/>
  <c r="M2" i="19"/>
  <c r="O17" i="18"/>
  <c r="F81" i="12"/>
  <c r="H49" i="12"/>
  <c r="U29" i="18"/>
  <c r="B30" i="18"/>
  <c r="P24" i="19"/>
  <c r="R32" i="18" s="1"/>
  <c r="Q22" i="19"/>
  <c r="E24" i="19"/>
  <c r="Q23" i="19"/>
  <c r="Q25" i="19"/>
  <c r="H38" i="18"/>
  <c r="L43" i="19" l="1"/>
  <c r="Q43" i="19" s="1"/>
  <c r="N18" i="18"/>
  <c r="L49" i="19"/>
  <c r="L18" i="18"/>
  <c r="M18" i="18"/>
  <c r="I18" i="18"/>
  <c r="J18" i="18"/>
  <c r="Q48" i="19"/>
  <c r="H18" i="18"/>
  <c r="E49" i="19"/>
  <c r="G18" i="18"/>
  <c r="N174" i="15"/>
  <c r="N175" i="15" s="1"/>
  <c r="C132" i="12"/>
  <c r="N23" i="22"/>
  <c r="J16" i="22"/>
  <c r="J14" i="22"/>
  <c r="J11" i="22"/>
  <c r="J9" i="22"/>
  <c r="J12" i="22"/>
  <c r="J7" i="22"/>
  <c r="J10" i="22"/>
  <c r="J15" i="22"/>
  <c r="J13" i="22"/>
  <c r="J8" i="22"/>
  <c r="K3" i="22"/>
  <c r="K20" i="22"/>
  <c r="L21" i="22"/>
  <c r="J5" i="22"/>
  <c r="J18" i="22" s="1"/>
  <c r="M22" i="22"/>
  <c r="F49" i="11"/>
  <c r="G49" i="11" s="1"/>
  <c r="D29" i="21" s="1"/>
  <c r="E81" i="11"/>
  <c r="J49" i="12"/>
  <c r="E44" i="21" s="1"/>
  <c r="N108" i="14"/>
  <c r="O107" i="14" s="1"/>
  <c r="O109" i="14" s="1"/>
  <c r="N126" i="15"/>
  <c r="M199" i="15"/>
  <c r="M139" i="15"/>
  <c r="M153" i="15" s="1"/>
  <c r="N91" i="14"/>
  <c r="T91" i="15"/>
  <c r="U91" i="15" s="1"/>
  <c r="N112" i="14"/>
  <c r="J196" i="14"/>
  <c r="J136" i="14"/>
  <c r="J150" i="14" s="1"/>
  <c r="P93" i="14"/>
  <c r="P91" i="14"/>
  <c r="O93" i="14"/>
  <c r="O95" i="14" s="1"/>
  <c r="O91"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06" i="14"/>
  <c r="N94" i="14"/>
  <c r="O113" i="15"/>
  <c r="P111" i="15"/>
  <c r="Q107" i="15"/>
  <c r="Q109" i="15" s="1"/>
  <c r="N106" i="15"/>
  <c r="N200" i="15" s="1"/>
  <c r="N94" i="15"/>
  <c r="N188" i="15" s="1"/>
  <c r="O89" i="15"/>
  <c r="O75" i="15"/>
  <c r="P71" i="15"/>
  <c r="P73" i="15" s="1"/>
  <c r="AL155" i="14"/>
  <c r="N124" i="14"/>
  <c r="K85" i="14"/>
  <c r="L75" i="14"/>
  <c r="L127" i="14" s="1"/>
  <c r="L173" i="14"/>
  <c r="M71" i="14"/>
  <c r="M73" i="14" s="1"/>
  <c r="M125" i="14" s="1"/>
  <c r="P110" i="14"/>
  <c r="Q89" i="14"/>
  <c r="N2" i="19"/>
  <c r="P17" i="18"/>
  <c r="L2" i="22"/>
  <c r="L17" i="22" s="1"/>
  <c r="M47" i="19"/>
  <c r="M18" i="19"/>
  <c r="M38" i="19"/>
  <c r="U30" i="18"/>
  <c r="B31" i="18"/>
  <c r="Q24" i="19"/>
  <c r="G32" i="18"/>
  <c r="S38" i="18"/>
  <c r="S180" i="15" l="1"/>
  <c r="S18" i="18"/>
  <c r="M21" i="22"/>
  <c r="N22" i="22"/>
  <c r="J6" i="22"/>
  <c r="K19" i="22" s="1"/>
  <c r="J25" i="22"/>
  <c r="N12" i="18" s="1"/>
  <c r="N15" i="18" s="1"/>
  <c r="K7" i="22"/>
  <c r="K12" i="22"/>
  <c r="L3" i="22"/>
  <c r="K8" i="22"/>
  <c r="K11" i="22"/>
  <c r="K16" i="22"/>
  <c r="K14" i="22"/>
  <c r="K15" i="22"/>
  <c r="K5" i="22"/>
  <c r="K9" i="22"/>
  <c r="K10" i="22"/>
  <c r="K13" i="22"/>
  <c r="L20" i="22"/>
  <c r="O176" i="15"/>
  <c r="R179" i="15"/>
  <c r="Q178" i="15"/>
  <c r="P177" i="15"/>
  <c r="N187" i="15"/>
  <c r="F60" i="12" s="1"/>
  <c r="O125" i="15"/>
  <c r="O92" i="15"/>
  <c r="N109" i="14"/>
  <c r="P107" i="14"/>
  <c r="P109" i="14" s="1"/>
  <c r="O111" i="14"/>
  <c r="O113" i="14" s="1"/>
  <c r="N128" i="15"/>
  <c r="N142" i="15" s="1"/>
  <c r="N140" i="15"/>
  <c r="N154" i="15" s="1"/>
  <c r="F50" i="12"/>
  <c r="G50" i="12" s="1"/>
  <c r="P96" i="14"/>
  <c r="O77" i="15"/>
  <c r="V91" i="15"/>
  <c r="O173" i="15"/>
  <c r="K197" i="14"/>
  <c r="K137" i="14"/>
  <c r="K151" i="14" s="1"/>
  <c r="Q93" i="14"/>
  <c r="Q97" i="14" s="1"/>
  <c r="Q91" i="14"/>
  <c r="Q111" i="15"/>
  <c r="R107" i="15"/>
  <c r="R109" i="15" s="1"/>
  <c r="P114" i="15"/>
  <c r="P75" i="15"/>
  <c r="Q71" i="15"/>
  <c r="Q73" i="15" s="1"/>
  <c r="O93" i="15"/>
  <c r="O127" i="15" s="1"/>
  <c r="P89" i="15"/>
  <c r="L86" i="14"/>
  <c r="M75" i="14"/>
  <c r="M173" i="14"/>
  <c r="N71" i="14"/>
  <c r="Q110" i="14"/>
  <c r="R89" i="14"/>
  <c r="O2" i="19"/>
  <c r="M2" i="22"/>
  <c r="M17" i="22" s="1"/>
  <c r="Q17" i="18"/>
  <c r="N47" i="19"/>
  <c r="N38" i="19"/>
  <c r="N18" i="19"/>
  <c r="B32" i="18"/>
  <c r="U31" i="18"/>
  <c r="S32" i="18"/>
  <c r="P111" i="14" l="1"/>
  <c r="M20" i="22"/>
  <c r="N21" i="22"/>
  <c r="L9" i="22"/>
  <c r="L12" i="22"/>
  <c r="M3" i="22"/>
  <c r="L15" i="22"/>
  <c r="L8" i="22"/>
  <c r="L10" i="22"/>
  <c r="L16" i="22"/>
  <c r="L5" i="22"/>
  <c r="L13" i="22"/>
  <c r="L11" i="22"/>
  <c r="L14" i="22"/>
  <c r="L7" i="22"/>
  <c r="K18" i="22"/>
  <c r="K25" i="22" s="1"/>
  <c r="O12" i="18" s="1"/>
  <c r="O15" i="18" s="1"/>
  <c r="K6" i="22"/>
  <c r="L19" i="22" s="1"/>
  <c r="F51" i="12"/>
  <c r="P125" i="15"/>
  <c r="P92" i="15"/>
  <c r="Q107" i="14"/>
  <c r="Q109" i="14" s="1"/>
  <c r="F21" i="16"/>
  <c r="F20" i="16"/>
  <c r="F23" i="16" s="1"/>
  <c r="W91" i="15"/>
  <c r="P173" i="15"/>
  <c r="M87" i="14"/>
  <c r="M127" i="14"/>
  <c r="L198" i="14"/>
  <c r="L138" i="14"/>
  <c r="L152" i="14" s="1"/>
  <c r="R93" i="14"/>
  <c r="R98" i="14" s="1"/>
  <c r="R91" i="14"/>
  <c r="P78" i="15"/>
  <c r="P93" i="15"/>
  <c r="P127" i="15" s="1"/>
  <c r="Q89" i="15"/>
  <c r="R111" i="15"/>
  <c r="S107" i="15"/>
  <c r="S109" i="15" s="1"/>
  <c r="Q115" i="15"/>
  <c r="O95" i="15"/>
  <c r="O129" i="15" s="1"/>
  <c r="O143" i="15" s="1"/>
  <c r="R71" i="15"/>
  <c r="R73" i="15" s="1"/>
  <c r="Q75" i="15"/>
  <c r="P114" i="14"/>
  <c r="N72" i="14"/>
  <c r="N126" i="14" s="1"/>
  <c r="N75" i="14"/>
  <c r="N127" i="14" s="1"/>
  <c r="N173" i="14"/>
  <c r="R110" i="14"/>
  <c r="S89" i="14"/>
  <c r="R17" i="18"/>
  <c r="P2" i="19"/>
  <c r="N2" i="22"/>
  <c r="N17" i="22" s="1"/>
  <c r="O18" i="19"/>
  <c r="O38" i="19"/>
  <c r="O47" i="19"/>
  <c r="U32" i="18"/>
  <c r="B38" i="18"/>
  <c r="R107" i="14" l="1"/>
  <c r="R109" i="14" s="1"/>
  <c r="F118" i="16"/>
  <c r="F119" i="16" s="1"/>
  <c r="F121" i="16" s="1"/>
  <c r="F120" i="16" s="1"/>
  <c r="D40" i="21" s="1"/>
  <c r="N20" i="22"/>
  <c r="M7" i="22"/>
  <c r="M13" i="22"/>
  <c r="M9" i="22"/>
  <c r="M11" i="22"/>
  <c r="M12" i="22"/>
  <c r="M8" i="22"/>
  <c r="M14" i="22"/>
  <c r="M15" i="22"/>
  <c r="M10" i="22"/>
  <c r="N3" i="22"/>
  <c r="M16" i="22"/>
  <c r="M5" i="22"/>
  <c r="L6" i="22"/>
  <c r="M19" i="22" s="1"/>
  <c r="L18" i="22"/>
  <c r="L25" i="22" s="1"/>
  <c r="P12" i="18" s="1"/>
  <c r="P15" i="18" s="1"/>
  <c r="G51" i="12"/>
  <c r="F53" i="12"/>
  <c r="F57" i="12" s="1"/>
  <c r="F58" i="12" s="1"/>
  <c r="E87" i="12"/>
  <c r="E91" i="12"/>
  <c r="Q111" i="14"/>
  <c r="Q115" i="14" s="1"/>
  <c r="Q125" i="15"/>
  <c r="Q92" i="15"/>
  <c r="O189" i="15"/>
  <c r="X91" i="15"/>
  <c r="Q173" i="15"/>
  <c r="M199" i="14"/>
  <c r="M139" i="14"/>
  <c r="M153" i="14" s="1"/>
  <c r="N73" i="14"/>
  <c r="N125" i="14" s="1"/>
  <c r="F22" i="1" s="1"/>
  <c r="W48" i="18" s="1"/>
  <c r="S93" i="14"/>
  <c r="S99" i="14" s="1"/>
  <c r="S91" i="14"/>
  <c r="R75" i="15"/>
  <c r="S71" i="15"/>
  <c r="S73" i="15" s="1"/>
  <c r="P96" i="15"/>
  <c r="S111" i="15"/>
  <c r="T107" i="15"/>
  <c r="R116" i="15"/>
  <c r="Q79" i="15"/>
  <c r="R89" i="15"/>
  <c r="Q93" i="15"/>
  <c r="Q127" i="15" s="1"/>
  <c r="N88" i="14"/>
  <c r="N200" i="14" s="1"/>
  <c r="N76" i="14"/>
  <c r="N174" i="14"/>
  <c r="N187" i="14" s="1"/>
  <c r="O71" i="14"/>
  <c r="S110" i="14"/>
  <c r="T89" i="14"/>
  <c r="P38" i="19"/>
  <c r="P47" i="19"/>
  <c r="P18" i="19"/>
  <c r="B39" i="18"/>
  <c r="U38" i="18"/>
  <c r="S107" i="14" l="1"/>
  <c r="S109" i="14" s="1"/>
  <c r="R111" i="14"/>
  <c r="G53" i="12"/>
  <c r="M18" i="22"/>
  <c r="M25" i="22" s="1"/>
  <c r="Q12" i="18" s="1"/>
  <c r="Q15" i="18" s="1"/>
  <c r="M6" i="22"/>
  <c r="N19" i="22" s="1"/>
  <c r="N8" i="22"/>
  <c r="N14" i="22"/>
  <c r="N9" i="22"/>
  <c r="N16" i="22"/>
  <c r="N7" i="22"/>
  <c r="N13" i="22"/>
  <c r="N12" i="22"/>
  <c r="N10" i="22"/>
  <c r="N11" i="22"/>
  <c r="N15" i="22"/>
  <c r="N5" i="22"/>
  <c r="F124" i="16"/>
  <c r="E77" i="12" s="1"/>
  <c r="R125" i="15"/>
  <c r="R92" i="15"/>
  <c r="P190" i="15"/>
  <c r="P130" i="15"/>
  <c r="P144" i="15" s="1"/>
  <c r="Y91" i="15"/>
  <c r="R173" i="15"/>
  <c r="T108" i="15"/>
  <c r="U107" i="15" s="1"/>
  <c r="U109" i="15" s="1"/>
  <c r="N188" i="14"/>
  <c r="N128" i="14"/>
  <c r="N142" i="14" s="1"/>
  <c r="F21" i="14"/>
  <c r="N140" i="14"/>
  <c r="F21" i="1" s="1"/>
  <c r="O173" i="14"/>
  <c r="O73" i="14"/>
  <c r="O125" i="14" s="1"/>
  <c r="G58" i="12"/>
  <c r="G57" i="12"/>
  <c r="F50" i="11"/>
  <c r="F60" i="11"/>
  <c r="T71" i="15"/>
  <c r="S75" i="15"/>
  <c r="T111" i="15"/>
  <c r="R80" i="15"/>
  <c r="S117" i="15"/>
  <c r="Q97" i="15"/>
  <c r="R93" i="15"/>
  <c r="R127" i="15" s="1"/>
  <c r="S89" i="15"/>
  <c r="O176" i="14"/>
  <c r="Q178" i="14"/>
  <c r="R179" i="14"/>
  <c r="S180" i="14"/>
  <c r="P177" i="14"/>
  <c r="N175" i="14"/>
  <c r="P71" i="14"/>
  <c r="O75" i="14"/>
  <c r="O127" i="14" s="1"/>
  <c r="R116" i="14"/>
  <c r="T93" i="14"/>
  <c r="T90" i="14"/>
  <c r="U89" i="14" s="1"/>
  <c r="T110" i="14"/>
  <c r="S111" i="14"/>
  <c r="T107" i="14"/>
  <c r="B40" i="18"/>
  <c r="U39" i="18"/>
  <c r="N18" i="22" l="1"/>
  <c r="N25" i="22" s="1"/>
  <c r="R12" i="18" s="1"/>
  <c r="N6" i="22"/>
  <c r="F125" i="16"/>
  <c r="E78" i="12" s="1"/>
  <c r="F51" i="11"/>
  <c r="W45" i="18" s="1"/>
  <c r="S125" i="15"/>
  <c r="S92" i="15"/>
  <c r="N154" i="14"/>
  <c r="T109" i="15"/>
  <c r="Q191" i="15"/>
  <c r="Q131" i="15"/>
  <c r="Q145" i="15" s="1"/>
  <c r="Z91" i="15"/>
  <c r="AA91" i="15" s="1"/>
  <c r="T72" i="15"/>
  <c r="T73" i="15" s="1"/>
  <c r="S173" i="15"/>
  <c r="T108" i="14"/>
  <c r="T109" i="14" s="1"/>
  <c r="U93" i="14"/>
  <c r="U101" i="14" s="1"/>
  <c r="U91" i="14"/>
  <c r="T91" i="14"/>
  <c r="P75" i="14"/>
  <c r="P127" i="14" s="1"/>
  <c r="P73" i="14"/>
  <c r="P125" i="14" s="1"/>
  <c r="G50" i="11"/>
  <c r="U111" i="15"/>
  <c r="V107" i="15"/>
  <c r="V109" i="15" s="1"/>
  <c r="S81" i="15"/>
  <c r="R98" i="15"/>
  <c r="T75" i="15"/>
  <c r="T118" i="15"/>
  <c r="T89" i="15"/>
  <c r="S93" i="15"/>
  <c r="S127" i="15" s="1"/>
  <c r="P173" i="14"/>
  <c r="Q71" i="14"/>
  <c r="S117" i="14"/>
  <c r="T100" i="14"/>
  <c r="O77" i="14"/>
  <c r="U110" i="14"/>
  <c r="T111" i="14"/>
  <c r="V89" i="14"/>
  <c r="U40" i="18"/>
  <c r="B41" i="18"/>
  <c r="F118" i="1" l="1"/>
  <c r="F119" i="1" s="1"/>
  <c r="F20" i="1"/>
  <c r="F23" i="1" s="1"/>
  <c r="R15" i="18"/>
  <c r="S15" i="18" s="1"/>
  <c r="S12" i="18"/>
  <c r="G51" i="11"/>
  <c r="E87" i="11"/>
  <c r="E91" i="11"/>
  <c r="F53" i="11"/>
  <c r="F57" i="11" s="1"/>
  <c r="F58" i="11" s="1"/>
  <c r="G58" i="11" s="1"/>
  <c r="T173" i="15"/>
  <c r="T125" i="15"/>
  <c r="U107" i="14"/>
  <c r="U109" i="14" s="1"/>
  <c r="R192" i="15"/>
  <c r="R132" i="15"/>
  <c r="R146" i="15" s="1"/>
  <c r="AB91" i="15"/>
  <c r="O189" i="14"/>
  <c r="O129" i="14"/>
  <c r="O143" i="14" s="1"/>
  <c r="P78" i="14"/>
  <c r="V93" i="14"/>
  <c r="V102" i="14" s="1"/>
  <c r="V91" i="14"/>
  <c r="Q75" i="14"/>
  <c r="Q127" i="14" s="1"/>
  <c r="Q73" i="14"/>
  <c r="Q125" i="14" s="1"/>
  <c r="T90" i="15"/>
  <c r="T126" i="15" s="1"/>
  <c r="S99" i="15"/>
  <c r="T82" i="15"/>
  <c r="U71" i="15"/>
  <c r="U73" i="15" s="1"/>
  <c r="W107" i="15"/>
  <c r="W109" i="15" s="1"/>
  <c r="V111" i="15"/>
  <c r="T93" i="15"/>
  <c r="T127" i="15" s="1"/>
  <c r="U119" i="15"/>
  <c r="Q173" i="14"/>
  <c r="R71" i="14"/>
  <c r="T118" i="14"/>
  <c r="V110" i="14"/>
  <c r="W89" i="14"/>
  <c r="B42" i="18"/>
  <c r="U41" i="18"/>
  <c r="F121" i="1" l="1"/>
  <c r="F120" i="1" s="1"/>
  <c r="D23" i="21" s="1"/>
  <c r="R45" i="18"/>
  <c r="G45" i="18"/>
  <c r="M45" i="18"/>
  <c r="J45" i="18"/>
  <c r="P45" i="18"/>
  <c r="Q45" i="18"/>
  <c r="I45" i="18"/>
  <c r="N45" i="18"/>
  <c r="L45" i="18"/>
  <c r="H45" i="18"/>
  <c r="O45" i="18"/>
  <c r="K45" i="18"/>
  <c r="G57" i="11"/>
  <c r="G53" i="11"/>
  <c r="T92" i="15"/>
  <c r="U111" i="14"/>
  <c r="U119" i="14" s="1"/>
  <c r="V107" i="14"/>
  <c r="V109" i="14" s="1"/>
  <c r="S193" i="15"/>
  <c r="S133" i="15"/>
  <c r="S147" i="15" s="1"/>
  <c r="T174" i="15"/>
  <c r="AC91" i="15"/>
  <c r="P190" i="14"/>
  <c r="P130" i="14"/>
  <c r="P144" i="14" s="1"/>
  <c r="Q79" i="14"/>
  <c r="S71" i="14"/>
  <c r="S73" i="14" s="1"/>
  <c r="S125" i="14" s="1"/>
  <c r="R73" i="14"/>
  <c r="R125" i="14" s="1"/>
  <c r="W93" i="14"/>
  <c r="W103" i="14" s="1"/>
  <c r="W91" i="14"/>
  <c r="U75" i="15"/>
  <c r="V71" i="15"/>
  <c r="V73" i="15" s="1"/>
  <c r="U89" i="15"/>
  <c r="T100" i="15"/>
  <c r="W111" i="15"/>
  <c r="X107" i="15"/>
  <c r="X109" i="15" s="1"/>
  <c r="V120" i="15"/>
  <c r="R173" i="14"/>
  <c r="R75" i="14"/>
  <c r="W110" i="14"/>
  <c r="X89" i="14"/>
  <c r="U42" i="18"/>
  <c r="B43" i="18"/>
  <c r="F124" i="1" l="1"/>
  <c r="F125" i="1" s="1"/>
  <c r="E78" i="11" s="1"/>
  <c r="S45" i="18"/>
  <c r="W107" i="14"/>
  <c r="W109" i="14" s="1"/>
  <c r="V111" i="14"/>
  <c r="V120" i="14" s="1"/>
  <c r="U125" i="15"/>
  <c r="U92" i="15"/>
  <c r="Y186" i="15"/>
  <c r="U182" i="15"/>
  <c r="W184" i="15"/>
  <c r="T181" i="15"/>
  <c r="H60" i="12" s="1"/>
  <c r="V183" i="15"/>
  <c r="T194" i="15"/>
  <c r="T134" i="15"/>
  <c r="T148" i="15" s="1"/>
  <c r="X185" i="15"/>
  <c r="AD91" i="15"/>
  <c r="U173" i="15"/>
  <c r="R80" i="14"/>
  <c r="R127" i="14"/>
  <c r="Q191" i="14"/>
  <c r="Q131" i="14"/>
  <c r="Q145" i="14" s="1"/>
  <c r="S173" i="14"/>
  <c r="S75" i="14"/>
  <c r="S127" i="14" s="1"/>
  <c r="T71" i="14"/>
  <c r="T173" i="14" s="1"/>
  <c r="X93" i="14"/>
  <c r="X104" i="14" s="1"/>
  <c r="X91" i="14"/>
  <c r="U83" i="15"/>
  <c r="U93" i="15"/>
  <c r="U127" i="15" s="1"/>
  <c r="V89" i="15"/>
  <c r="W71" i="15"/>
  <c r="W73" i="15" s="1"/>
  <c r="V75" i="15"/>
  <c r="W121" i="15"/>
  <c r="X111" i="15"/>
  <c r="Y107" i="15"/>
  <c r="Y109" i="15" s="1"/>
  <c r="X110" i="14"/>
  <c r="Y89" i="14"/>
  <c r="B44" i="18"/>
  <c r="U43" i="18"/>
  <c r="E77" i="11" l="1"/>
  <c r="X107" i="14"/>
  <c r="X109" i="14" s="1"/>
  <c r="W111" i="14"/>
  <c r="V125" i="15"/>
  <c r="V92" i="15"/>
  <c r="AE91" i="15"/>
  <c r="V173" i="15"/>
  <c r="T75" i="14"/>
  <c r="T127" i="14" s="1"/>
  <c r="T72" i="14"/>
  <c r="T126" i="14" s="1"/>
  <c r="S81" i="14"/>
  <c r="S193" i="14" s="1"/>
  <c r="R192" i="14"/>
  <c r="R132" i="14"/>
  <c r="R146" i="14" s="1"/>
  <c r="Y93" i="14"/>
  <c r="Y105" i="14" s="1"/>
  <c r="Y91" i="14"/>
  <c r="W75" i="15"/>
  <c r="X71" i="15"/>
  <c r="X73" i="15" s="1"/>
  <c r="X122" i="15"/>
  <c r="V84" i="15"/>
  <c r="Z107" i="15"/>
  <c r="Y111" i="15"/>
  <c r="U101" i="15"/>
  <c r="W89" i="15"/>
  <c r="V93" i="15"/>
  <c r="V127" i="15" s="1"/>
  <c r="W121" i="14"/>
  <c r="Y110" i="14"/>
  <c r="X111" i="14"/>
  <c r="Y107" i="14"/>
  <c r="Y109" i="14" s="1"/>
  <c r="Z89" i="14"/>
  <c r="U44" i="18"/>
  <c r="B45" i="18"/>
  <c r="W125" i="15" l="1"/>
  <c r="W92" i="15"/>
  <c r="T73" i="14"/>
  <c r="T125" i="14" s="1"/>
  <c r="S133" i="14"/>
  <c r="S147" i="14" s="1"/>
  <c r="T174" i="14"/>
  <c r="U71" i="14"/>
  <c r="U73" i="14" s="1"/>
  <c r="U125" i="14" s="1"/>
  <c r="T82" i="14"/>
  <c r="T194" i="14" s="1"/>
  <c r="H50" i="11" s="1"/>
  <c r="U195" i="15"/>
  <c r="U135" i="15"/>
  <c r="U149" i="15" s="1"/>
  <c r="AF91" i="15"/>
  <c r="AG91" i="15" s="1"/>
  <c r="W173" i="15"/>
  <c r="Z108" i="15"/>
  <c r="Y123" i="15"/>
  <c r="V102" i="15"/>
  <c r="Z111" i="15"/>
  <c r="Z124" i="15" s="1"/>
  <c r="X75" i="15"/>
  <c r="Y71" i="15"/>
  <c r="Y73" i="15" s="1"/>
  <c r="W93" i="15"/>
  <c r="W127" i="15" s="1"/>
  <c r="X89" i="15"/>
  <c r="W85" i="15"/>
  <c r="X122" i="14"/>
  <c r="Z93" i="14"/>
  <c r="Z90" i="14"/>
  <c r="AA89" i="14" s="1"/>
  <c r="Y111" i="14"/>
  <c r="Z110" i="14"/>
  <c r="Z107" i="14"/>
  <c r="B46" i="18"/>
  <c r="U45" i="18"/>
  <c r="V183" i="14" l="1"/>
  <c r="X125" i="15"/>
  <c r="X92" i="15"/>
  <c r="U182" i="14"/>
  <c r="T134" i="14"/>
  <c r="T148" i="14" s="1"/>
  <c r="V71" i="14"/>
  <c r="V73" i="14" s="1"/>
  <c r="V125" i="14" s="1"/>
  <c r="U173" i="14"/>
  <c r="U75" i="14"/>
  <c r="U127" i="14" s="1"/>
  <c r="T181" i="14"/>
  <c r="X185" i="14"/>
  <c r="W184" i="14"/>
  <c r="Y186" i="14"/>
  <c r="AA107" i="15"/>
  <c r="AA109" i="15" s="1"/>
  <c r="V196" i="15"/>
  <c r="V136" i="15"/>
  <c r="V150" i="15" s="1"/>
  <c r="Z109" i="15"/>
  <c r="AH91" i="15"/>
  <c r="X173" i="15"/>
  <c r="Z108" i="14"/>
  <c r="AA107" i="14" s="1"/>
  <c r="AA109" i="14" s="1"/>
  <c r="AA93" i="14"/>
  <c r="AA95" i="14" s="1"/>
  <c r="AA91" i="14"/>
  <c r="Z91" i="14"/>
  <c r="Z112" i="15"/>
  <c r="X93" i="15"/>
  <c r="X127" i="15" s="1"/>
  <c r="Y89" i="15"/>
  <c r="W103" i="15"/>
  <c r="Y75" i="15"/>
  <c r="Z71" i="15"/>
  <c r="X86" i="15"/>
  <c r="Z106" i="14"/>
  <c r="Z94" i="14"/>
  <c r="Y123" i="14"/>
  <c r="AA110" i="14"/>
  <c r="Z111" i="14"/>
  <c r="AB89" i="14"/>
  <c r="U46" i="18"/>
  <c r="B47" i="18"/>
  <c r="AA111" i="15" l="1"/>
  <c r="AA113" i="15" s="1"/>
  <c r="W71" i="14"/>
  <c r="W73" i="14" s="1"/>
  <c r="W125" i="14" s="1"/>
  <c r="Y125" i="15"/>
  <c r="Y92" i="15"/>
  <c r="V173" i="14"/>
  <c r="AB107" i="15"/>
  <c r="AB109" i="15" s="1"/>
  <c r="V75" i="14"/>
  <c r="V127" i="14" s="1"/>
  <c r="U83" i="14"/>
  <c r="U195" i="14" s="1"/>
  <c r="W197" i="15"/>
  <c r="W137" i="15"/>
  <c r="W151" i="15" s="1"/>
  <c r="AI91" i="15"/>
  <c r="Z72" i="15"/>
  <c r="Y173" i="15"/>
  <c r="Z109" i="14"/>
  <c r="AB93" i="14"/>
  <c r="AB96" i="14" s="1"/>
  <c r="AB91" i="14"/>
  <c r="X104" i="15"/>
  <c r="Z75" i="15"/>
  <c r="Z88" i="15" s="1"/>
  <c r="Y87" i="15"/>
  <c r="Z89" i="15"/>
  <c r="Y93" i="15"/>
  <c r="Y127" i="15" s="1"/>
  <c r="Z124" i="14"/>
  <c r="Z112" i="14"/>
  <c r="AB110" i="14"/>
  <c r="AA111" i="14"/>
  <c r="AB107" i="14"/>
  <c r="AB109" i="14" s="1"/>
  <c r="AC89" i="14"/>
  <c r="U47" i="18"/>
  <c r="B48" i="18"/>
  <c r="V84" i="14" l="1"/>
  <c r="V196" i="14" s="1"/>
  <c r="W173" i="14"/>
  <c r="X71" i="14"/>
  <c r="X73" i="14" s="1"/>
  <c r="X125" i="14" s="1"/>
  <c r="W75" i="14"/>
  <c r="W127" i="14" s="1"/>
  <c r="Z125" i="15"/>
  <c r="Z73" i="15"/>
  <c r="G22" i="16" s="1"/>
  <c r="AB111" i="15"/>
  <c r="AB114" i="15" s="1"/>
  <c r="AC107" i="15"/>
  <c r="AC109" i="15" s="1"/>
  <c r="U135" i="14"/>
  <c r="U149" i="14" s="1"/>
  <c r="AA71" i="15"/>
  <c r="AA73" i="15" s="1"/>
  <c r="X198" i="15"/>
  <c r="X138" i="15"/>
  <c r="X152" i="15" s="1"/>
  <c r="AJ91" i="15"/>
  <c r="Z173" i="15"/>
  <c r="AC93" i="14"/>
  <c r="AC97" i="14" s="1"/>
  <c r="AC91" i="14"/>
  <c r="Z90" i="15"/>
  <c r="Z126" i="15" s="1"/>
  <c r="Y105" i="15"/>
  <c r="Y139" i="15" s="1"/>
  <c r="Y153" i="15" s="1"/>
  <c r="Z76" i="15"/>
  <c r="Z93" i="15"/>
  <c r="Z127" i="15" s="1"/>
  <c r="AA113" i="14"/>
  <c r="AC110" i="14"/>
  <c r="AB111" i="14"/>
  <c r="AC107" i="14"/>
  <c r="AC109" i="14" s="1"/>
  <c r="AD89" i="14"/>
  <c r="U48" i="18"/>
  <c r="B49" i="18"/>
  <c r="W85" i="14" l="1"/>
  <c r="W197" i="14" s="1"/>
  <c r="V136" i="14"/>
  <c r="V150" i="14" s="1"/>
  <c r="Y71" i="14"/>
  <c r="Y73" i="14" s="1"/>
  <c r="Y125" i="14" s="1"/>
  <c r="X75" i="14"/>
  <c r="X127" i="14" s="1"/>
  <c r="X173" i="14"/>
  <c r="AD107" i="15"/>
  <c r="AD109" i="15" s="1"/>
  <c r="Z92" i="15"/>
  <c r="AC111" i="15"/>
  <c r="AC115" i="15" s="1"/>
  <c r="AB71" i="15"/>
  <c r="AB73" i="15" s="1"/>
  <c r="AA75" i="15"/>
  <c r="AA77" i="15" s="1"/>
  <c r="Y199" i="15"/>
  <c r="AK91" i="15"/>
  <c r="AD93" i="14"/>
  <c r="AD98" i="14" s="1"/>
  <c r="AD91" i="14"/>
  <c r="AA89" i="15"/>
  <c r="Z174" i="15"/>
  <c r="Z187" i="15" s="1"/>
  <c r="Z106" i="15"/>
  <c r="Z140" i="15" s="1"/>
  <c r="Z154" i="15" s="1"/>
  <c r="Z94" i="15"/>
  <c r="AB114" i="14"/>
  <c r="AD110" i="14"/>
  <c r="AC111" i="14"/>
  <c r="AD107" i="14"/>
  <c r="AD109" i="14" s="1"/>
  <c r="AE89" i="14"/>
  <c r="U49" i="18"/>
  <c r="B50" i="18"/>
  <c r="W137" i="14" l="1"/>
  <c r="W151" i="14" s="1"/>
  <c r="X86" i="14"/>
  <c r="X198" i="14" s="1"/>
  <c r="AE107" i="15"/>
  <c r="AE109" i="15" s="1"/>
  <c r="AD111" i="15"/>
  <c r="AD116" i="15" s="1"/>
  <c r="Z71" i="14"/>
  <c r="Z72" i="14" s="1"/>
  <c r="Y75" i="14"/>
  <c r="Y127" i="14" s="1"/>
  <c r="AC71" i="15"/>
  <c r="AC73" i="15" s="1"/>
  <c r="Y173" i="14"/>
  <c r="AB75" i="15"/>
  <c r="AB78" i="15" s="1"/>
  <c r="AA125" i="15"/>
  <c r="AA92" i="15"/>
  <c r="Z188" i="15"/>
  <c r="Z128" i="15"/>
  <c r="Z142" i="15" s="1"/>
  <c r="Z200" i="15"/>
  <c r="H50" i="12" s="1"/>
  <c r="G21" i="16"/>
  <c r="AL91" i="15"/>
  <c r="AA173" i="15"/>
  <c r="AE93" i="14"/>
  <c r="AE99" i="14" s="1"/>
  <c r="AE91" i="14"/>
  <c r="AB89" i="15"/>
  <c r="AA93" i="15"/>
  <c r="Z175" i="15"/>
  <c r="AB177" i="15"/>
  <c r="AD179" i="15"/>
  <c r="AC178" i="15"/>
  <c r="AE180" i="15"/>
  <c r="AA176" i="15"/>
  <c r="AC115" i="14"/>
  <c r="AE110" i="14"/>
  <c r="AD111" i="14"/>
  <c r="AE107" i="14"/>
  <c r="AE109" i="14" s="1"/>
  <c r="AF89" i="14"/>
  <c r="U50" i="18"/>
  <c r="B51" i="18"/>
  <c r="X138" i="14" l="1"/>
  <c r="X152" i="14" s="1"/>
  <c r="Y87" i="14"/>
  <c r="Y199" i="14" s="1"/>
  <c r="AF107" i="15"/>
  <c r="AE111" i="15"/>
  <c r="Z173" i="14"/>
  <c r="Z75" i="14"/>
  <c r="Z127" i="14" s="1"/>
  <c r="AD71" i="15"/>
  <c r="AD73" i="15" s="1"/>
  <c r="AC75" i="15"/>
  <c r="AC79" i="15" s="1"/>
  <c r="J50" i="12"/>
  <c r="H51" i="12"/>
  <c r="J51" i="12" s="1"/>
  <c r="AB125" i="15"/>
  <c r="AB92" i="15"/>
  <c r="G20" i="16"/>
  <c r="G23" i="16" s="1"/>
  <c r="AA95" i="15"/>
  <c r="AA127" i="15"/>
  <c r="AE117" i="15"/>
  <c r="AB173" i="15"/>
  <c r="AF108" i="15"/>
  <c r="AD116" i="14"/>
  <c r="Z174" i="14"/>
  <c r="AE180" i="14" s="1"/>
  <c r="Z126" i="14"/>
  <c r="Z73" i="14"/>
  <c r="Z125" i="14" s="1"/>
  <c r="G22" i="1" s="1"/>
  <c r="AC89" i="15"/>
  <c r="AB93" i="15"/>
  <c r="AF111" i="15"/>
  <c r="AA71" i="14"/>
  <c r="AF93" i="14"/>
  <c r="AF100" i="14" s="1"/>
  <c r="AF90" i="14"/>
  <c r="AG89" i="14" s="1"/>
  <c r="AF110" i="14"/>
  <c r="AE111" i="14"/>
  <c r="AF107" i="14"/>
  <c r="U51" i="18"/>
  <c r="B52" i="18"/>
  <c r="U52" i="18" s="1"/>
  <c r="Y139" i="14" l="1"/>
  <c r="Y153" i="14" s="1"/>
  <c r="Z88" i="14"/>
  <c r="Z140" i="14" s="1"/>
  <c r="Z154" i="14" s="1"/>
  <c r="G20" i="1" s="1"/>
  <c r="G23" i="1" s="1"/>
  <c r="Z76" i="14"/>
  <c r="Z188" i="14" s="1"/>
  <c r="AD75" i="15"/>
  <c r="AD80" i="15" s="1"/>
  <c r="AE71" i="15"/>
  <c r="AE73" i="15" s="1"/>
  <c r="F91" i="12"/>
  <c r="G118" i="16"/>
  <c r="U79" i="19" s="1"/>
  <c r="AC178" i="14"/>
  <c r="AA176" i="14"/>
  <c r="Z175" i="14"/>
  <c r="Z187" i="14"/>
  <c r="AC125" i="15"/>
  <c r="AC92" i="15"/>
  <c r="H53" i="12"/>
  <c r="H57" i="12" s="1"/>
  <c r="H58" i="12" s="1"/>
  <c r="R48" i="18"/>
  <c r="L48" i="18"/>
  <c r="F87" i="12"/>
  <c r="AB177" i="14"/>
  <c r="AF109" i="15"/>
  <c r="AG107" i="15"/>
  <c r="AG109" i="15" s="1"/>
  <c r="AB96" i="15"/>
  <c r="AB127" i="15"/>
  <c r="AA189" i="15"/>
  <c r="AA129" i="15"/>
  <c r="AA143" i="15" s="1"/>
  <c r="AC173" i="15"/>
  <c r="AF118" i="15"/>
  <c r="AD89" i="15"/>
  <c r="AD92" i="15" s="1"/>
  <c r="AE117" i="14"/>
  <c r="AD179" i="14"/>
  <c r="AF108" i="14"/>
  <c r="AG107" i="14" s="1"/>
  <c r="AG109" i="14" s="1"/>
  <c r="AG93" i="14"/>
  <c r="AG101" i="14" s="1"/>
  <c r="AG91" i="14"/>
  <c r="AA75" i="14"/>
  <c r="AA73" i="14"/>
  <c r="AA125" i="14" s="1"/>
  <c r="AF91" i="14"/>
  <c r="AC93" i="15"/>
  <c r="AC127" i="15" s="1"/>
  <c r="H60" i="11"/>
  <c r="AB71" i="14"/>
  <c r="AA173" i="14"/>
  <c r="AG110" i="14"/>
  <c r="AF111" i="14"/>
  <c r="AH89" i="14"/>
  <c r="Z128" i="14" l="1"/>
  <c r="Z142" i="14" s="1"/>
  <c r="Z200" i="14"/>
  <c r="H51" i="11" s="1"/>
  <c r="G118" i="1" s="1"/>
  <c r="G119" i="1" s="1"/>
  <c r="G121" i="1" s="1"/>
  <c r="G120" i="1" s="1"/>
  <c r="E23" i="21" s="1"/>
  <c r="G21" i="1"/>
  <c r="W44" i="18" s="1"/>
  <c r="R44" i="18" s="1"/>
  <c r="AF71" i="15"/>
  <c r="AF75" i="15" s="1"/>
  <c r="J53" i="12"/>
  <c r="AE75" i="15"/>
  <c r="AE81" i="15" s="1"/>
  <c r="G119" i="16"/>
  <c r="AG111" i="15"/>
  <c r="AG119" i="15" s="1"/>
  <c r="AH107" i="15"/>
  <c r="AH109" i="15" s="1"/>
  <c r="AD93" i="15"/>
  <c r="AD127" i="15" s="1"/>
  <c r="AD125" i="15"/>
  <c r="AC97" i="15"/>
  <c r="AC131" i="15" s="1"/>
  <c r="AC145" i="15" s="1"/>
  <c r="S48" i="18"/>
  <c r="J50" i="11"/>
  <c r="AB190" i="15"/>
  <c r="AB130" i="15"/>
  <c r="AB144" i="15" s="1"/>
  <c r="AD173" i="15"/>
  <c r="AE89" i="15"/>
  <c r="AE92" i="15" s="1"/>
  <c r="AA77" i="14"/>
  <c r="AA127" i="14"/>
  <c r="AF118" i="14"/>
  <c r="AF109" i="14"/>
  <c r="AH93" i="14"/>
  <c r="AH102" i="14" s="1"/>
  <c r="AH91" i="14"/>
  <c r="AB75" i="14"/>
  <c r="AB127" i="14" s="1"/>
  <c r="AB73" i="14"/>
  <c r="AB125" i="14" s="1"/>
  <c r="J58" i="12"/>
  <c r="J57" i="12"/>
  <c r="AC71" i="14"/>
  <c r="AB173" i="14"/>
  <c r="AH110" i="14"/>
  <c r="AG111" i="14"/>
  <c r="AH107" i="14"/>
  <c r="AH109" i="14" s="1"/>
  <c r="AI89" i="14"/>
  <c r="J51" i="11" l="1"/>
  <c r="H53" i="11" s="1"/>
  <c r="H57" i="11" s="1"/>
  <c r="F87" i="11"/>
  <c r="F91" i="11"/>
  <c r="L44" i="18"/>
  <c r="S44" i="18" s="1"/>
  <c r="AF72" i="15"/>
  <c r="AF73" i="15" s="1"/>
  <c r="AI107" i="15"/>
  <c r="AI109" i="15" s="1"/>
  <c r="AH111" i="15"/>
  <c r="AH120" i="15" s="1"/>
  <c r="U73" i="19"/>
  <c r="W30" i="18" s="1"/>
  <c r="O79" i="19"/>
  <c r="O73" i="19" s="1"/>
  <c r="J79" i="19"/>
  <c r="J73" i="19" s="1"/>
  <c r="T79" i="19"/>
  <c r="T73" i="19" s="1"/>
  <c r="H79" i="19"/>
  <c r="H73" i="19" s="1"/>
  <c r="E79" i="19"/>
  <c r="K79" i="19"/>
  <c r="K73" i="19" s="1"/>
  <c r="M79" i="19"/>
  <c r="M73" i="19" s="1"/>
  <c r="L79" i="19"/>
  <c r="L73" i="19" s="1"/>
  <c r="P79" i="19"/>
  <c r="P73" i="19" s="1"/>
  <c r="I79" i="19"/>
  <c r="I73" i="19" s="1"/>
  <c r="G79" i="19"/>
  <c r="G73" i="19" s="1"/>
  <c r="F79" i="19"/>
  <c r="F73" i="19" s="1"/>
  <c r="N79" i="19"/>
  <c r="N73" i="19" s="1"/>
  <c r="G121" i="16"/>
  <c r="U80" i="19"/>
  <c r="W43" i="18" s="1"/>
  <c r="AD98" i="15"/>
  <c r="AD132" i="15" s="1"/>
  <c r="AD146" i="15" s="1"/>
  <c r="AC191" i="15"/>
  <c r="G124" i="1"/>
  <c r="F77" i="11" s="1"/>
  <c r="AF89" i="15"/>
  <c r="AF93" i="15" s="1"/>
  <c r="AF127" i="15" s="1"/>
  <c r="AE125" i="15"/>
  <c r="AE173" i="15"/>
  <c r="AE93" i="15"/>
  <c r="AB78" i="14"/>
  <c r="AB130" i="14" s="1"/>
  <c r="AB144" i="14" s="1"/>
  <c r="AG119" i="14"/>
  <c r="AA189" i="14"/>
  <c r="AA129" i="14"/>
  <c r="AA143" i="14" s="1"/>
  <c r="AD71" i="14"/>
  <c r="AD73" i="14" s="1"/>
  <c r="AD125" i="14" s="1"/>
  <c r="AC73" i="14"/>
  <c r="AC125" i="14" s="1"/>
  <c r="AI93" i="14"/>
  <c r="AI103" i="14" s="1"/>
  <c r="AI91" i="14"/>
  <c r="AG71" i="15"/>
  <c r="AG73" i="15" s="1"/>
  <c r="AF82" i="15"/>
  <c r="AC173" i="14"/>
  <c r="AC75" i="14"/>
  <c r="AI110" i="14"/>
  <c r="AH111" i="14"/>
  <c r="AI107" i="14"/>
  <c r="AI109" i="14" s="1"/>
  <c r="AJ89" i="14"/>
  <c r="AJ107" i="15" l="1"/>
  <c r="AJ109" i="15" s="1"/>
  <c r="AI111" i="15"/>
  <c r="AI121" i="15" s="1"/>
  <c r="AF173" i="15"/>
  <c r="AF90" i="15"/>
  <c r="AF126" i="15" s="1"/>
  <c r="AD192" i="15"/>
  <c r="E73" i="19"/>
  <c r="Q73" i="19" s="1"/>
  <c r="Q79" i="19"/>
  <c r="I30" i="18"/>
  <c r="N30" i="18"/>
  <c r="J30" i="18"/>
  <c r="V30" i="18"/>
  <c r="M30" i="18"/>
  <c r="H30" i="18"/>
  <c r="Q30" i="18"/>
  <c r="R30" i="18"/>
  <c r="G30" i="18"/>
  <c r="O30" i="18"/>
  <c r="L30" i="18"/>
  <c r="P30" i="18"/>
  <c r="K30" i="18"/>
  <c r="G124" i="16"/>
  <c r="G120" i="16"/>
  <c r="E40" i="21" s="1"/>
  <c r="N87" i="19"/>
  <c r="N80" i="19" s="1"/>
  <c r="L87" i="19"/>
  <c r="L80" i="19" s="1"/>
  <c r="E87" i="19"/>
  <c r="E80" i="19" s="1"/>
  <c r="O87" i="19"/>
  <c r="O80" i="19" s="1"/>
  <c r="P87" i="19"/>
  <c r="P80" i="19" s="1"/>
  <c r="F87" i="19"/>
  <c r="F80" i="19" s="1"/>
  <c r="K87" i="19"/>
  <c r="K80" i="19" s="1"/>
  <c r="I87" i="19"/>
  <c r="I80" i="19" s="1"/>
  <c r="M87" i="19"/>
  <c r="M80" i="19" s="1"/>
  <c r="J87" i="19"/>
  <c r="J80" i="19" s="1"/>
  <c r="G87" i="19"/>
  <c r="G80" i="19" s="1"/>
  <c r="H87" i="19"/>
  <c r="H80" i="19" s="1"/>
  <c r="G125" i="1"/>
  <c r="F78" i="11" s="1"/>
  <c r="H58" i="11"/>
  <c r="J58" i="11" s="1"/>
  <c r="AF125" i="15"/>
  <c r="J57" i="11"/>
  <c r="J53" i="11"/>
  <c r="AB190" i="14"/>
  <c r="AE99" i="15"/>
  <c r="AE127" i="15"/>
  <c r="AD173" i="14"/>
  <c r="AC79" i="14"/>
  <c r="AC127" i="14"/>
  <c r="AH120" i="14"/>
  <c r="AE71" i="14"/>
  <c r="AE73" i="14" s="1"/>
  <c r="AE125" i="14" s="1"/>
  <c r="AD75" i="14"/>
  <c r="AD127" i="14" s="1"/>
  <c r="AJ93" i="14"/>
  <c r="AJ104" i="14" s="1"/>
  <c r="AJ91" i="14"/>
  <c r="AF100" i="15"/>
  <c r="AK107" i="15"/>
  <c r="AK109" i="15" s="1"/>
  <c r="AJ111" i="15"/>
  <c r="AH71" i="15"/>
  <c r="AH73" i="15" s="1"/>
  <c r="AG75" i="15"/>
  <c r="AJ110" i="14"/>
  <c r="AI111" i="14"/>
  <c r="AJ107" i="14"/>
  <c r="AJ109" i="14" s="1"/>
  <c r="AK89" i="14"/>
  <c r="AG89" i="15" l="1"/>
  <c r="AH89" i="15" s="1"/>
  <c r="AF92" i="15"/>
  <c r="AF174" i="15"/>
  <c r="AJ185" i="15" s="1"/>
  <c r="F77" i="12"/>
  <c r="G125" i="16"/>
  <c r="F78" i="12" s="1"/>
  <c r="I66" i="19"/>
  <c r="I67" i="19" s="1"/>
  <c r="I68" i="19" s="1"/>
  <c r="I70" i="19" s="1"/>
  <c r="M31" i="18" s="1"/>
  <c r="M53" i="18" s="1"/>
  <c r="K66" i="19"/>
  <c r="K67" i="19" s="1"/>
  <c r="K68" i="19" s="1"/>
  <c r="K70" i="19" s="1"/>
  <c r="O31" i="18" s="1"/>
  <c r="Q87" i="19"/>
  <c r="Q80" i="19" s="1"/>
  <c r="H66" i="19"/>
  <c r="H67" i="19" s="1"/>
  <c r="H68" i="19" s="1"/>
  <c r="H70" i="19" s="1"/>
  <c r="L31" i="18" s="1"/>
  <c r="N66" i="19"/>
  <c r="N67" i="19" s="1"/>
  <c r="N68" i="19" s="1"/>
  <c r="N70" i="19" s="1"/>
  <c r="R31" i="18" s="1"/>
  <c r="J66" i="19"/>
  <c r="J67" i="19" s="1"/>
  <c r="J68" i="19" s="1"/>
  <c r="J70" i="19" s="1"/>
  <c r="N31" i="18" s="1"/>
  <c r="N53" i="18" s="1"/>
  <c r="M66" i="19"/>
  <c r="M67" i="19" s="1"/>
  <c r="M68" i="19" s="1"/>
  <c r="M70" i="19" s="1"/>
  <c r="Q31" i="18" s="1"/>
  <c r="L66" i="19"/>
  <c r="L67" i="19" s="1"/>
  <c r="L68" i="19" s="1"/>
  <c r="L70" i="19" s="1"/>
  <c r="P31" i="18" s="1"/>
  <c r="P53" i="18" s="1"/>
  <c r="E66" i="19"/>
  <c r="S30" i="18"/>
  <c r="G66" i="19"/>
  <c r="G67" i="19" s="1"/>
  <c r="G68" i="19" s="1"/>
  <c r="G70" i="19" s="1"/>
  <c r="K31" i="18" s="1"/>
  <c r="N43" i="18"/>
  <c r="L43" i="18"/>
  <c r="R43" i="18"/>
  <c r="M43" i="18"/>
  <c r="O43" i="18"/>
  <c r="I43" i="18"/>
  <c r="K43" i="18"/>
  <c r="Q43" i="18"/>
  <c r="H43" i="18"/>
  <c r="J43" i="18"/>
  <c r="P43" i="18"/>
  <c r="G43" i="18"/>
  <c r="G53" i="18" s="1"/>
  <c r="P66" i="19"/>
  <c r="P67" i="19" s="1"/>
  <c r="P68" i="19" s="1"/>
  <c r="P70" i="19" s="1"/>
  <c r="O66" i="19"/>
  <c r="O67" i="19" s="1"/>
  <c r="O68" i="19" s="1"/>
  <c r="O70" i="19" s="1"/>
  <c r="F66" i="19"/>
  <c r="F67" i="19" s="1"/>
  <c r="F68" i="19" s="1"/>
  <c r="F70" i="19" s="1"/>
  <c r="J31" i="18" s="1"/>
  <c r="J53" i="18" s="1"/>
  <c r="AG92" i="15"/>
  <c r="AG182" i="15"/>
  <c r="AF181" i="15"/>
  <c r="K60" i="12" s="1"/>
  <c r="AI184" i="15"/>
  <c r="AH183" i="15"/>
  <c r="AK186" i="15"/>
  <c r="AF194" i="15"/>
  <c r="AF134" i="15"/>
  <c r="AF148" i="15" s="1"/>
  <c r="AE193" i="15"/>
  <c r="AE133" i="15"/>
  <c r="AE147" i="15" s="1"/>
  <c r="AJ122" i="15"/>
  <c r="AE173" i="14"/>
  <c r="AI121" i="14"/>
  <c r="AD80" i="14"/>
  <c r="AF71" i="14"/>
  <c r="AF173" i="14" s="1"/>
  <c r="AC191" i="14"/>
  <c r="AC131" i="14"/>
  <c r="AC145" i="14" s="1"/>
  <c r="AE75" i="14"/>
  <c r="AK93" i="14"/>
  <c r="AK105" i="14" s="1"/>
  <c r="AK91" i="14"/>
  <c r="AH75" i="15"/>
  <c r="AH84" i="15" s="1"/>
  <c r="AI71" i="15"/>
  <c r="AI73" i="15" s="1"/>
  <c r="AK111" i="15"/>
  <c r="AL107" i="15"/>
  <c r="AG83" i="15"/>
  <c r="AK110" i="14"/>
  <c r="AJ111" i="14"/>
  <c r="AK107" i="14"/>
  <c r="AK109" i="14" s="1"/>
  <c r="AL89" i="14"/>
  <c r="K53" i="18" l="1"/>
  <c r="K55" i="18" s="1"/>
  <c r="Q53" i="18"/>
  <c r="Q55" i="18" s="1"/>
  <c r="R53" i="18"/>
  <c r="R55" i="18" s="1"/>
  <c r="L53" i="18"/>
  <c r="L55" i="18" s="1"/>
  <c r="H53" i="18"/>
  <c r="H55" i="18" s="1"/>
  <c r="O53" i="18"/>
  <c r="O55" i="18" s="1"/>
  <c r="AG125" i="15"/>
  <c r="AG93" i="15"/>
  <c r="AG127" i="15" s="1"/>
  <c r="AG173" i="15"/>
  <c r="M55" i="18"/>
  <c r="G55" i="18"/>
  <c r="G56" i="18" s="1"/>
  <c r="N55" i="18"/>
  <c r="J55" i="18"/>
  <c r="P55" i="18"/>
  <c r="S43" i="18"/>
  <c r="Q66" i="19"/>
  <c r="E67" i="19"/>
  <c r="E68" i="19" s="1"/>
  <c r="AH125" i="15"/>
  <c r="AH92" i="15"/>
  <c r="AK123" i="15"/>
  <c r="AH173" i="15"/>
  <c r="AL108" i="15"/>
  <c r="AD192" i="14"/>
  <c r="AD132" i="14"/>
  <c r="AD146" i="14" s="1"/>
  <c r="AF75" i="14"/>
  <c r="AF72" i="14"/>
  <c r="AG71" i="14" s="1"/>
  <c r="AG73" i="14" s="1"/>
  <c r="AG125" i="14" s="1"/>
  <c r="AJ122" i="14"/>
  <c r="AE81" i="14"/>
  <c r="AE127" i="14"/>
  <c r="AL111" i="15"/>
  <c r="AL124" i="15" s="1"/>
  <c r="AH93" i="15"/>
  <c r="AI89" i="15"/>
  <c r="AJ71" i="15"/>
  <c r="AJ73" i="15" s="1"/>
  <c r="AI75" i="15"/>
  <c r="AI85" i="15" s="1"/>
  <c r="AG101" i="15"/>
  <c r="AL93" i="14"/>
  <c r="AL106" i="14" s="1"/>
  <c r="AL90" i="14"/>
  <c r="AL91" i="14" s="1"/>
  <c r="AL110" i="14"/>
  <c r="AK111" i="14"/>
  <c r="AL107" i="14"/>
  <c r="E70" i="19" l="1"/>
  <c r="Q68" i="19"/>
  <c r="H56" i="18"/>
  <c r="I7" i="18" s="1"/>
  <c r="H7" i="18"/>
  <c r="AI125" i="15"/>
  <c r="AI92" i="15"/>
  <c r="AH102" i="15"/>
  <c r="AH127" i="15"/>
  <c r="AG195" i="15"/>
  <c r="AG135" i="15"/>
  <c r="AG149" i="15" s="1"/>
  <c r="AL109" i="15"/>
  <c r="AI173" i="15"/>
  <c r="AE193" i="14"/>
  <c r="AE133" i="14"/>
  <c r="AE147" i="14" s="1"/>
  <c r="AF73" i="14"/>
  <c r="AF125" i="14" s="1"/>
  <c r="AF126" i="14"/>
  <c r="AF82" i="14"/>
  <c r="AF127" i="14"/>
  <c r="AF174" i="14"/>
  <c r="AK123" i="14"/>
  <c r="AL108" i="14"/>
  <c r="AJ75" i="15"/>
  <c r="AJ86" i="15" s="1"/>
  <c r="AK71" i="15"/>
  <c r="AK73" i="15" s="1"/>
  <c r="AJ89" i="15"/>
  <c r="AI93" i="15"/>
  <c r="AL111" i="14"/>
  <c r="AG173" i="14"/>
  <c r="AG75" i="14"/>
  <c r="AH71" i="14"/>
  <c r="AH73" i="14" s="1"/>
  <c r="AH125" i="14" s="1"/>
  <c r="I31" i="18" l="1"/>
  <c r="I53" i="18" s="1"/>
  <c r="Q70" i="19"/>
  <c r="AK186" i="14"/>
  <c r="AJ125" i="15"/>
  <c r="AJ92" i="15"/>
  <c r="AI103" i="15"/>
  <c r="AI127" i="15"/>
  <c r="AH196" i="15"/>
  <c r="AH136" i="15"/>
  <c r="AH150" i="15" s="1"/>
  <c r="AJ173" i="15"/>
  <c r="AL124" i="14"/>
  <c r="AH183" i="14"/>
  <c r="AG182" i="14"/>
  <c r="AI184" i="14"/>
  <c r="AJ185" i="14"/>
  <c r="AF181" i="14"/>
  <c r="K60" i="11" s="1"/>
  <c r="AG83" i="14"/>
  <c r="AG127" i="14"/>
  <c r="AF194" i="14"/>
  <c r="AF134" i="14"/>
  <c r="AF148" i="14" s="1"/>
  <c r="AL109" i="14"/>
  <c r="AK75" i="15"/>
  <c r="AK87" i="15" s="1"/>
  <c r="AL71" i="15"/>
  <c r="AJ93" i="15"/>
  <c r="AK89" i="15"/>
  <c r="AH75" i="14"/>
  <c r="AH173" i="14"/>
  <c r="AI71" i="14"/>
  <c r="AI73" i="14" s="1"/>
  <c r="AI125" i="14" s="1"/>
  <c r="S31" i="18" l="1"/>
  <c r="AK125" i="15"/>
  <c r="AK92" i="15"/>
  <c r="AJ104" i="15"/>
  <c r="AJ127" i="15"/>
  <c r="AI197" i="15"/>
  <c r="AI137" i="15"/>
  <c r="AI151" i="15" s="1"/>
  <c r="AL72" i="15"/>
  <c r="AL73" i="15" s="1"/>
  <c r="AK173" i="15"/>
  <c r="AH84" i="14"/>
  <c r="AH127" i="14"/>
  <c r="AG195" i="14"/>
  <c r="AG135" i="14"/>
  <c r="AG149" i="14" s="1"/>
  <c r="AK93" i="15"/>
  <c r="AL89" i="15"/>
  <c r="AL75" i="15"/>
  <c r="AL88" i="15" s="1"/>
  <c r="AI75" i="14"/>
  <c r="AI173" i="14"/>
  <c r="AJ71" i="14"/>
  <c r="AJ73" i="14" s="1"/>
  <c r="AJ125" i="14" s="1"/>
  <c r="I55" i="18" l="1"/>
  <c r="I56" i="18" s="1"/>
  <c r="J7" i="18" s="1"/>
  <c r="S53" i="18"/>
  <c r="AL125" i="15"/>
  <c r="AL90" i="15"/>
  <c r="AL126" i="15" s="1"/>
  <c r="H22" i="16"/>
  <c r="AK105" i="15"/>
  <c r="AK139" i="15" s="1"/>
  <c r="AK127" i="15"/>
  <c r="AJ198" i="15"/>
  <c r="AJ138" i="15"/>
  <c r="AJ152" i="15" s="1"/>
  <c r="AL173" i="15"/>
  <c r="AI85" i="14"/>
  <c r="AI127" i="14"/>
  <c r="AH196" i="14"/>
  <c r="AH136" i="14"/>
  <c r="AH150" i="14" s="1"/>
  <c r="AL93" i="15"/>
  <c r="AL106" i="15" s="1"/>
  <c r="AL140" i="15" s="1"/>
  <c r="AJ75" i="14"/>
  <c r="AJ173" i="14"/>
  <c r="AK71" i="14"/>
  <c r="AK73" i="14" s="1"/>
  <c r="AK125" i="14" s="1"/>
  <c r="S55" i="18" l="1"/>
  <c r="AL154" i="15"/>
  <c r="J56" i="18"/>
  <c r="K7" i="18" s="1"/>
  <c r="AL92" i="15"/>
  <c r="H21" i="16"/>
  <c r="AL200" i="15"/>
  <c r="K50" i="12" s="1"/>
  <c r="AL127" i="15"/>
  <c r="AK199" i="15"/>
  <c r="AK153" i="15"/>
  <c r="AL174" i="15"/>
  <c r="AL187" i="15" s="1"/>
  <c r="AJ86" i="14"/>
  <c r="AJ127" i="14"/>
  <c r="AI197" i="14"/>
  <c r="AI137" i="14"/>
  <c r="AI151" i="14" s="1"/>
  <c r="AK75" i="14"/>
  <c r="AK173" i="14"/>
  <c r="AL71" i="14"/>
  <c r="K56" i="18" l="1"/>
  <c r="L56" i="18" s="1"/>
  <c r="L50" i="12"/>
  <c r="K51" i="12"/>
  <c r="H118" i="16" s="1"/>
  <c r="H119" i="16" s="1"/>
  <c r="H20" i="16"/>
  <c r="H23" i="16" s="1"/>
  <c r="AK87" i="14"/>
  <c r="AK127" i="14"/>
  <c r="AJ198" i="14"/>
  <c r="AJ138" i="14"/>
  <c r="AJ152" i="14" s="1"/>
  <c r="AL72" i="14"/>
  <c r="AL75" i="14"/>
  <c r="AL173" i="14"/>
  <c r="L7" i="18" l="1"/>
  <c r="M56" i="18"/>
  <c r="M7" i="18"/>
  <c r="H121" i="16"/>
  <c r="H124" i="16" s="1"/>
  <c r="L51" i="12"/>
  <c r="G87" i="12"/>
  <c r="K53" i="12"/>
  <c r="K57" i="12" s="1"/>
  <c r="K58" i="12" s="1"/>
  <c r="G91" i="12"/>
  <c r="AL88" i="14"/>
  <c r="AL127" i="14"/>
  <c r="AK199" i="14"/>
  <c r="AK139" i="14"/>
  <c r="AK153" i="14" s="1"/>
  <c r="AL174" i="14"/>
  <c r="AL126" i="14"/>
  <c r="AL73" i="14"/>
  <c r="AL125" i="14" s="1"/>
  <c r="H22" i="1" s="1"/>
  <c r="N56" i="18" l="1"/>
  <c r="N7" i="18"/>
  <c r="AL187" i="14"/>
  <c r="AL200" i="14"/>
  <c r="K50" i="11" s="1"/>
  <c r="L50" i="11" s="1"/>
  <c r="AL140" i="14"/>
  <c r="AL154" i="14" s="1"/>
  <c r="H120" i="16"/>
  <c r="F40" i="21" s="1"/>
  <c r="H21" i="1"/>
  <c r="L53" i="12"/>
  <c r="G77" i="12"/>
  <c r="H125" i="16"/>
  <c r="G78" i="12" s="1"/>
  <c r="L58" i="12"/>
  <c r="L57" i="12"/>
  <c r="O7" i="18" l="1"/>
  <c r="O56" i="18"/>
  <c r="K51" i="11"/>
  <c r="H20" i="1"/>
  <c r="H23" i="1" s="1"/>
  <c r="P56" i="18" l="1"/>
  <c r="P7" i="18"/>
  <c r="H118" i="1"/>
  <c r="L51" i="11"/>
  <c r="G87" i="11"/>
  <c r="K53" i="11"/>
  <c r="L53" i="11" s="1"/>
  <c r="G91" i="11"/>
  <c r="Q7" i="18" l="1"/>
  <c r="Q56" i="18"/>
  <c r="H119" i="1"/>
  <c r="H121" i="1" s="1"/>
  <c r="K57" i="11"/>
  <c r="R56" i="18" l="1"/>
  <c r="R7" i="18"/>
  <c r="H124" i="1"/>
  <c r="H120" i="1"/>
  <c r="F23" i="21" s="1"/>
  <c r="K58" i="11"/>
  <c r="L58" i="11" s="1"/>
  <c r="L57" i="11"/>
  <c r="G77" i="11" l="1"/>
  <c r="H125" i="1"/>
  <c r="G7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J2" authorId="0" shapeId="0" xr:uid="{8516892C-6708-47F3-8EAD-4BFF584C1030}">
      <text>
        <r>
          <rPr>
            <b/>
            <sz val="10"/>
            <color indexed="81"/>
            <rFont val="Tahoma"/>
            <family val="2"/>
          </rPr>
          <t xml:space="preserve">Välkommen att använda Företagstolkens Ekonomiplan. Vi rekommenderar att göra den första beräkningen utan bidrag. Du har att fylla i tre sidor/tabeller:
1. VERKSAMHETSKOSTNADER (tabell K1)
</t>
        </r>
        <r>
          <rPr>
            <sz val="10"/>
            <color indexed="81"/>
            <rFont val="Tahoma"/>
            <family val="2"/>
          </rPr>
          <t>- fyll i gula cellerna 
- i affärsverksamhet finns många olika kostnader och därför många rader att fylla i
- programmet höjer priser automatiskt med 2 %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K2)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K3)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09DD4989-1D43-4E91-80C9-9487D9A716BF}">
      <text>
        <r>
          <rPr>
            <sz val="10"/>
            <color indexed="81"/>
            <rFont val="Tahoma"/>
            <family val="2"/>
          </rPr>
          <t>Förutsättning för utskrivning av kassabudget är företagets namn!</t>
        </r>
      </text>
    </comment>
    <comment ref="B11" authorId="2" shapeId="0" xr:uid="{064DABE8-29CE-40D2-AF5F-3FE0BC70454F}">
      <text>
        <r>
          <rPr>
            <sz val="10"/>
            <color indexed="81"/>
            <rFont val="Tahoma"/>
            <family val="2"/>
          </rPr>
          <t>Ifyllnadsdirektiv finns i 
Företagstolken på sidan "Ekonomiplaner". Punktnumret visar rätt information.</t>
        </r>
      </text>
    </comment>
    <comment ref="D11" authorId="2" shapeId="0" xr:uid="{06BFECEE-2C30-4B56-8714-185C2649A7CB}">
      <text>
        <r>
          <rPr>
            <sz val="10"/>
            <color indexed="81"/>
            <rFont val="Tahoma"/>
            <family val="2"/>
          </rPr>
          <t xml:space="preserve">Verksamhetskostnaderna kalkyleras med priser utan moms.  
Endast social- och hälsovårdssektorn, försäkrings och finansieringstjänster samt företagen vars årsomsättning är mindre än 15 000 € kalkylerar med Moms-priser. </t>
        </r>
      </text>
    </comment>
    <comment ref="G12" authorId="1" shapeId="0" xr:uid="{01FBA9C9-7CCA-4431-8118-D077B9F0A308}">
      <text>
        <r>
          <rPr>
            <sz val="10"/>
            <color indexed="81"/>
            <rFont val="Tahoma"/>
            <family val="2"/>
          </rPr>
          <t>Kontrollera årssiffran efter räkenskapsperiodens längd!</t>
        </r>
      </text>
    </comment>
    <comment ref="H12" authorId="1" shapeId="0" xr:uid="{5C33605F-7B93-4B58-8C07-395C9BADE7B3}">
      <text>
        <r>
          <rPr>
            <sz val="10"/>
            <color indexed="81"/>
            <rFont val="Tahoma"/>
            <family val="2"/>
          </rPr>
          <t>Kontrollera årssiffran efter räkenskapsperiodens längd!</t>
        </r>
      </text>
    </comment>
    <comment ref="F13" authorId="3" shapeId="0" xr:uid="{2EDD45D1-2C33-4FEB-B6C1-89CE592E5813}">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1" shapeId="0" xr:uid="{00000000-0006-0000-0100-000008000000}">
      <text>
        <r>
          <rPr>
            <sz val="10"/>
            <color indexed="81"/>
            <rFont val="Tahoma"/>
            <family val="2"/>
          </rPr>
          <t xml:space="preserve">Till enskild näringsidkare kan inte betalas lön, men lönen skall tas med för at få riktig åsikt om kostnaderna. </t>
        </r>
      </text>
    </comment>
    <comment ref="J16" authorId="1" shapeId="0" xr:uid="{084E65E2-D503-49DD-B58E-5E92ED0E7DBA}">
      <text>
        <r>
          <rPr>
            <sz val="10"/>
            <color indexed="81"/>
            <rFont val="Tahoma"/>
            <family val="2"/>
          </rPr>
          <t xml:space="preserve">Minns årlig kostnadshöjning. </t>
        </r>
      </text>
    </comment>
    <comment ref="F17" authorId="3" shapeId="0" xr:uid="{F63B486A-5FBC-4492-8E55-2888E4C4316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4" shapeId="0" xr:uid="{AA0743D9-1F9D-448A-B29A-151EC3321A81}">
      <text>
        <r>
          <rPr>
            <sz val="10"/>
            <color indexed="81"/>
            <rFont val="Tahoma"/>
            <family val="2"/>
          </rPr>
          <t>Nybörjande företag, 12 lönebetalningsmånader för första året. Därefter 12,5. Semesterlönen kalkyleras automatiskt.</t>
        </r>
      </text>
    </comment>
    <comment ref="D20" authorId="1" shapeId="0" xr:uid="{00000000-0006-0000-0100-00000D000000}">
      <text>
        <r>
          <rPr>
            <sz val="10"/>
            <color indexed="81"/>
            <rFont val="Tahoma"/>
            <family val="2"/>
          </rPr>
          <t>Programmet räknar ut kostnaderna så, att lånet avkortas i lika stora rater 2 gånger i året med 6 månaders mellanrum. Friåren är beaktade.</t>
        </r>
      </text>
    </comment>
    <comment ref="F20" authorId="1" shapeId="0" xr:uid="{00000000-0006-0000-0100-00000E000000}">
      <text>
        <r>
          <rPr>
            <sz val="10"/>
            <color indexed="81"/>
            <rFont val="Tahoma"/>
            <family val="2"/>
          </rPr>
          <t>Försök inte skriva! Siffrorna i celler blir färdiga automatiskt senare.</t>
        </r>
      </text>
    </comment>
    <comment ref="D25" authorId="1" shapeId="0" xr:uid="{55BDEAE9-B8D3-45B9-8753-3D751451567A}">
      <text>
        <r>
          <rPr>
            <sz val="10"/>
            <color indexed="81"/>
            <rFont val="Tahoma"/>
            <family val="2"/>
          </rPr>
          <t>Inköpspriser exklusive moms. Undantag social- och hälsovårdssektorn och företag med en omsättning under 15 000 euro. Deras fasta kostnader kalkyleras med Moms-priser.</t>
        </r>
      </text>
    </comment>
    <comment ref="F26" authorId="1" shapeId="0" xr:uid="{CD615253-0D31-45C9-B60C-7ABE6EA2BAD4}">
      <text>
        <r>
          <rPr>
            <sz val="10"/>
            <color indexed="81"/>
            <rFont val="Tahoma"/>
            <family val="2"/>
          </rPr>
          <t>Försök inte skriva! Siffrorna i celler blir färdiga automatiskt senare.</t>
        </r>
      </text>
    </comment>
    <comment ref="D28" authorId="1" shapeId="0" xr:uid="{1CD00BAB-8585-4115-B897-C964374C69C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4423861A-1682-40B3-8693-1358A8A7DFE7}">
      <text>
        <r>
          <rPr>
            <sz val="10"/>
            <color indexed="81"/>
            <rFont val="Tahoma"/>
            <family val="2"/>
          </rPr>
          <t xml:space="preserve"> - under 53-årig och över 62-årig 24,10 % (nybörjande 
   företagare första 4 år 18,8 %) 
 - 53-62 årig 25,6 % (nybörjande företagare första 4 år 20 %)</t>
        </r>
      </text>
    </comment>
    <comment ref="F32" authorId="3" shapeId="0" xr:uid="{629DC063-0A22-4628-AC5C-4EA58DED98B5}">
      <text>
        <r>
          <rPr>
            <sz val="10"/>
            <color indexed="81"/>
            <rFont val="Tahoma"/>
            <family val="2"/>
          </rPr>
          <t xml:space="preserve">FöPL-betalning kalkyleras enligt arbetsinkomsten i denna cellen (alla FöPL-företagarna slgt). Kan förändras. FöPL-arbetsinkomsten bör åtminstone motsvara lön av samma arbete, minst </t>
        </r>
        <r>
          <rPr>
            <b/>
            <sz val="10"/>
            <color indexed="81"/>
            <rFont val="Tahoma"/>
            <family val="2"/>
          </rPr>
          <t xml:space="preserve"> 8 261,71 €</t>
        </r>
        <r>
          <rPr>
            <sz val="10"/>
            <color indexed="81"/>
            <rFont val="Tahoma"/>
            <family val="2"/>
          </rPr>
          <t xml:space="preserve">. Arbetslöshetspenning förutsätter dock minst arbetsinkomst </t>
        </r>
        <r>
          <rPr>
            <b/>
            <sz val="10"/>
            <color indexed="81"/>
            <rFont val="Tahoma"/>
            <family val="2"/>
          </rPr>
          <t>13 573 €</t>
        </r>
        <r>
          <rPr>
            <sz val="10"/>
            <color indexed="81"/>
            <rFont val="Tahoma"/>
            <family val="2"/>
          </rPr>
          <t>. Kan nollställas, om företagarens FöPL-försäkring betalas av annat företag. Programmet föreslår FöPL efter lönebetalning för företagarna.</t>
        </r>
      </text>
    </comment>
    <comment ref="J32" authorId="1" shapeId="0" xr:uid="{4ACEB89E-E52E-467C-8587-EC544C42E357}">
      <text>
        <r>
          <rPr>
            <sz val="10"/>
            <color indexed="81"/>
            <rFont val="Tahoma"/>
            <family val="2"/>
          </rPr>
          <t xml:space="preserve">Minns årlig kostnadshöjning. </t>
        </r>
      </text>
    </comment>
    <comment ref="F34" authorId="3" shapeId="0" xr:uid="{C68C6B7F-4F27-4AD8-B694-8B021CDAB1B1}">
      <text>
        <r>
          <rPr>
            <sz val="10"/>
            <color indexed="81"/>
            <rFont val="Tahoma"/>
            <family val="2"/>
          </rPr>
          <t>Arbetsgivarens andel i genomsnitt 17,4 % av bruttolönesumman.</t>
        </r>
      </text>
    </comment>
    <comment ref="F37" authorId="3" shapeId="0" xr:uid="{DC7FDCDB-CE8B-4725-AEDE-EB411E01005A}">
      <text>
        <r>
          <rPr>
            <sz val="10"/>
            <color indexed="81"/>
            <rFont val="Tahoma"/>
            <family val="2"/>
          </rPr>
          <t>Företaget betalar av lönen
- olycks- och yrkessjukdomsförsäkring 0,76 % 
  (för olycksbenägen bransch större, uppgår till 7 %)
- Arbetslöshetsförsäkring 0,5 %
- Sjukförsäkringsavgift 1,34 %
Sammanlagt 2,6 % (förändra om behövs)</t>
        </r>
      </text>
    </comment>
    <comment ref="F38" authorId="3" shapeId="0" xr:uid="{AEFC0B75-2E73-4B92-BCCE-51277E4A98FC}">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1" shapeId="0" xr:uid="{C120E182-E53A-42A9-A962-25D1246F9C97}">
      <text>
        <r>
          <rPr>
            <sz val="10"/>
            <color indexed="81"/>
            <rFont val="Tahoma"/>
            <family val="2"/>
          </rPr>
          <t xml:space="preserve">Minns årlig kostnadshöjning. </t>
        </r>
      </text>
    </comment>
    <comment ref="F40" authorId="1" shapeId="0" xr:uid="{00000000-0006-0000-0100-000019000000}">
      <text>
        <r>
          <rPr>
            <sz val="10"/>
            <color indexed="81"/>
            <rFont val="Tahoma"/>
            <family val="2"/>
          </rPr>
          <t xml:space="preserve">T.ex. företaget har tagit för sina arbetstagare livförsäkring, reseförsäkring etc. </t>
        </r>
      </text>
    </comment>
    <comment ref="F43" authorId="3" shapeId="0" xr:uid="{1683F767-717B-416B-819C-B485E883F7C0}">
      <text>
        <r>
          <rPr>
            <sz val="10"/>
            <color indexed="81"/>
            <rFont val="Tahoma"/>
            <family val="2"/>
          </rPr>
          <t xml:space="preserve">Företaget får betala åt hela personalen som skattefritt förmån t.ex. rekreations- och intresse-verksamhetsedlar max. 400 Euro per person/år. </t>
        </r>
      </text>
    </comment>
    <comment ref="F44" authorId="3" shapeId="0" xr:uid="{7B7C8403-03F6-4BF2-AB6B-5C47607B6635}">
      <text>
        <r>
          <rPr>
            <sz val="10"/>
            <color indexed="81"/>
            <rFont val="Tahoma"/>
            <family val="2"/>
          </rPr>
          <t>Kostnad vanligen 250 €/person.</t>
        </r>
      </text>
    </comment>
    <comment ref="F46" authorId="1" shapeId="0" xr:uid="{892455B2-8B29-494C-82F7-0E4100EAB41C}">
      <text>
        <r>
          <rPr>
            <sz val="10"/>
            <color indexed="81"/>
            <rFont val="Tahoma"/>
            <family val="2"/>
          </rPr>
          <t xml:space="preserve">T.ex. företaget har tagit för sina arbetstagare livförsäkring, reseförsäkring etc. </t>
        </r>
      </text>
    </comment>
    <comment ref="F57" authorId="3" shapeId="0" xr:uid="{51051301-A59A-46FA-B958-3182EC0678A2}">
      <text>
        <r>
          <rPr>
            <sz val="10"/>
            <color indexed="81"/>
            <rFont val="Tahoma"/>
            <family val="2"/>
          </rPr>
          <t xml:space="preserve">Försäkringsavgift 0,3 % av värdet. Egendomen innehåller lokaliteter, maskiner, inventarier, kundens egendom i företagets lokalitet mm. </t>
        </r>
      </text>
    </comment>
    <comment ref="E59" authorId="2" shapeId="0" xr:uid="{6C20FB01-089A-4DAC-975E-CE1122B9206F}">
      <text>
        <r>
          <rPr>
            <sz val="10"/>
            <color indexed="81"/>
            <rFont val="Tahoma"/>
            <family val="2"/>
          </rPr>
          <t>Till finansieringsbolaget återställande apparatens restvärde i procenten från anskaffningspriset. Noggrann information om leasingfinansiering, se Företagstolken 3.10.</t>
        </r>
      </text>
    </comment>
    <comment ref="F63" authorId="2" shapeId="0" xr:uid="{B81A0371-C7F2-41F4-9BDB-62B64DFBDEA9}">
      <text>
        <r>
          <rPr>
            <sz val="10"/>
            <color indexed="81"/>
            <rFont val="Tahoma"/>
            <family val="2"/>
          </rPr>
          <t>T. ex. bränsleåtgång 12 liter/100 km = 0,12 liter/km eller liter/timme
T.ex. åtgång av elbil 20 kWh/100 km = 0,2 kWh/km
T.ex. Åtgång av gasbil 6 kg/100 km = 0,06 kg/km</t>
        </r>
      </text>
    </comment>
    <comment ref="F71" authorId="2" shapeId="0" xr:uid="{6D9EB988-FCCE-4D0B-A4A1-5DE086696316}">
      <text>
        <r>
          <rPr>
            <sz val="10"/>
            <color indexed="81"/>
            <rFont val="Tahoma"/>
            <family val="2"/>
          </rPr>
          <t>Alla vanliga ADB-apparater ingår i detta kategori.</t>
        </r>
      </text>
    </comment>
    <comment ref="F74" authorId="4" shapeId="0" xr:uid="{F4C40459-BD0B-451A-9F6B-EE672F0DB9DD}">
      <text>
        <r>
          <rPr>
            <b/>
            <sz val="10"/>
            <color indexed="81"/>
            <rFont val="Tahoma"/>
            <family val="2"/>
          </rPr>
          <t xml:space="preserve">Hyror </t>
        </r>
        <r>
          <rPr>
            <sz val="10"/>
            <color indexed="81"/>
            <rFont val="Tahoma"/>
            <family val="2"/>
          </rPr>
          <t xml:space="preserve">för apparater och inventarier under räkenskapsperioden Moms 0 %.
</t>
        </r>
        <r>
          <rPr>
            <b/>
            <sz val="10"/>
            <color indexed="81"/>
            <rFont val="Tahoma"/>
            <family val="2"/>
          </rPr>
          <t>Leasingkostnader</t>
        </r>
        <r>
          <rPr>
            <sz val="10"/>
            <color indexed="81"/>
            <rFont val="Tahoma"/>
            <family val="2"/>
          </rPr>
          <t xml:space="preserve"> för maskiner och fordon som används i affärsverksamhet samt finansieras genom fast månadsleasing under räkenskapsperioden moms 0 %. 
Om leasingfinansieringens kapital, ränta och restvärde är kända, placera informationen i tabellen K3 Resultat "FINANSIERING" och anskaffningspriset för objektet som ska finansieras under "FINANSIERINGSHEBOV".</t>
        </r>
      </text>
    </comment>
    <comment ref="F76" authorId="2" shapeId="0" xr:uid="{9C3A427C-A334-4839-85BB-5257ECC94F1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0" authorId="1" shapeId="0" xr:uid="{00000000-0006-0000-0100-00002A000000}">
      <text>
        <r>
          <rPr>
            <sz val="10"/>
            <color indexed="81"/>
            <rFont val="Tahoma"/>
            <family val="2"/>
          </rPr>
          <t>Företaget får betala för arbetstagaren en måltid/heldagtraktamente.</t>
        </r>
      </text>
    </comment>
    <comment ref="F84" authorId="2" shapeId="0" xr:uid="{24A854F3-DC07-4A2A-8156-AF01C1CFCE15}">
      <text>
        <r>
          <rPr>
            <sz val="10"/>
            <color indexed="81"/>
            <rFont val="Tahoma"/>
            <family val="2"/>
          </rPr>
          <t>Km-ersättning för användning av egen personbil 0,46 €/km.</t>
        </r>
      </text>
    </comment>
    <comment ref="F86" authorId="2" shapeId="0" xr:uid="{ABCC5A36-5E06-4161-8FDA-6FF98AF74672}">
      <text>
        <r>
          <rPr>
            <sz val="10"/>
            <color indexed="81"/>
            <rFont val="Tahoma"/>
            <family val="2"/>
          </rPr>
          <t>Heldagtraktamente 45 €, deldagtraktamente 20 €.</t>
        </r>
      </text>
    </comment>
    <comment ref="F87" authorId="1" shapeId="0" xr:uid="{00000000-0006-0000-0100-00002E000000}">
      <text>
        <r>
          <rPr>
            <sz val="10"/>
            <color indexed="81"/>
            <rFont val="Tahoma"/>
            <family val="2"/>
          </rPr>
          <t>50 % avdragbara i beskattning, dock inte i Moms-beskattning.</t>
        </r>
      </text>
    </comment>
    <comment ref="F108" authorId="4" shapeId="0" xr:uid="{0D93875F-34FA-468D-BF64-0E22232EE8FA}">
      <text>
        <r>
          <rPr>
            <sz val="10"/>
            <color indexed="81"/>
            <rFont val="Tahoma"/>
            <family val="2"/>
          </rPr>
          <t>Alla vanliga ADB-apparater ingår i detta kategori.</t>
        </r>
      </text>
    </comment>
    <comment ref="F114" authorId="3" shapeId="0" xr:uid="{04B0BE10-18F4-44BB-96E6-16AE9C839480}">
      <text>
        <r>
          <rPr>
            <sz val="10"/>
            <color indexed="81"/>
            <rFont val="Tahoma"/>
            <family val="2"/>
          </rPr>
          <t>Är inte representationskostnader.</t>
        </r>
      </text>
    </comment>
    <comment ref="F115" authorId="3" shapeId="0" xr:uid="{F1F8F564-F503-42CF-81F4-361B0D34E934}">
      <text>
        <r>
          <rPr>
            <sz val="10"/>
            <color indexed="81"/>
            <rFont val="Tahoma"/>
            <family val="2"/>
          </rPr>
          <t>Betyder anskaffnings- och brukskostnader av naturaförmånsbilar o.d. fordon, vilka inte är i affärsbruk. Sådana kostnader är inte avdragbara i Moms-beskattning</t>
        </r>
      </text>
    </comment>
    <comment ref="F118" authorId="1" shapeId="0" xr:uid="{00000000-0006-0000-0100-000036000000}">
      <text>
        <r>
          <rPr>
            <sz val="10"/>
            <color indexed="81"/>
            <rFont val="Tahoma"/>
            <family val="2"/>
          </rPr>
          <t>Försök inte skriva! Siffran i cellen blir färdig automatiskt senare.</t>
        </r>
      </text>
    </comment>
    <comment ref="F120" authorId="3" shapeId="0" xr:uid="{18123EFE-7F06-4141-9745-6D9B3AA9E927}">
      <text>
        <r>
          <rPr>
            <sz val="10"/>
            <color indexed="81"/>
            <rFont val="Tahoma"/>
            <family val="2"/>
          </rPr>
          <t>Berättar driftskapitalets behov per månad efter initialskedet.</t>
        </r>
      </text>
    </comment>
    <comment ref="F124" authorId="3" shapeId="0" xr:uid="{0602038B-DAC1-4EF7-B0F5-9DFC02E0ECD4}">
      <text>
        <r>
          <rPr>
            <sz val="10"/>
            <color indexed="81"/>
            <rFont val="Tahoma"/>
            <family val="2"/>
          </rPr>
          <t xml:space="preserve">Om siffran är negativ, täcker försäljnings-inkomster inte kostnaderna. </t>
        </r>
      </text>
    </comment>
    <comment ref="F125" authorId="2" shapeId="0" xr:uid="{9F4E0B21-CFA0-44FB-9999-41AA1304CDA7}">
      <text>
        <r>
          <rPr>
            <sz val="10"/>
            <color indexed="81"/>
            <rFont val="Tahoma"/>
            <family val="2"/>
          </rPr>
          <t>Detta procenttal berättar, hur mycket försäljningen kan förnedra sig (positivt tal) eller måste bestiga (negativt tal), so att alla kostnaderna är betäckta. Siffrorna i cellerna förflyttas från tabell K2 Försäljning!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Jadelcons</author>
    <author>Ari Järvinen</author>
    <author>Yritystulkki</author>
  </authors>
  <commentList>
    <comment ref="C9" authorId="0" shapeId="0" xr:uid="{00000000-0006-0000-0600-000001000000}">
      <text>
        <r>
          <rPr>
            <sz val="9"/>
            <color indexed="81"/>
            <rFont val="Tahoma"/>
            <family val="2"/>
          </rPr>
          <t xml:space="preserve">
Vero lasketaan rahapalkan ja luontaisetujen yhteissummasta
</t>
        </r>
      </text>
    </comment>
    <comment ref="D9" authorId="1" shapeId="0" xr:uid="{00000000-0006-0000-0600-000002000000}">
      <text>
        <r>
          <rPr>
            <sz val="9"/>
            <color indexed="81"/>
            <rFont val="Tahoma"/>
            <family val="2"/>
          </rPr>
          <t>2022: sairausvakuutusmaksu 1,34 %.
Korjaa solun kaava.</t>
        </r>
      </text>
    </comment>
    <comment ref="R15" authorId="1" shapeId="0" xr:uid="{F082CEDA-3AE9-4833-B3E0-88A221978471}">
      <text>
        <r>
          <rPr>
            <b/>
            <sz val="9"/>
            <color indexed="81"/>
            <rFont val="Tahoma"/>
            <family val="2"/>
          </rPr>
          <t>Ari Järvinen:</t>
        </r>
        <r>
          <rPr>
            <sz val="9"/>
            <color indexed="81"/>
            <rFont val="Tahoma"/>
            <family val="2"/>
          </rPr>
          <t xml:space="preserve">
Tuloslaskelmaan lisätään vain sotumaksuosuus.</t>
        </r>
      </text>
    </comment>
    <comment ref="S15" authorId="1" shapeId="0" xr:uid="{F21AA343-20F4-4013-99A0-E0015CF9FCC2}">
      <text>
        <r>
          <rPr>
            <b/>
            <sz val="9"/>
            <color indexed="81"/>
            <rFont val="Tahoma"/>
            <family val="2"/>
          </rPr>
          <t>Ari Järvinen:</t>
        </r>
        <r>
          <rPr>
            <sz val="9"/>
            <color indexed="81"/>
            <rFont val="Tahoma"/>
            <family val="2"/>
          </rPr>
          <t xml:space="preserve">
Tuloslaskelmaan lisätään vain sotumaksuosuus.</t>
        </r>
      </text>
    </comment>
    <comment ref="T15" authorId="1" shapeId="0" xr:uid="{2B8E22E9-57CB-4870-B332-3DEC0DA95876}">
      <text>
        <r>
          <rPr>
            <b/>
            <sz val="9"/>
            <color indexed="81"/>
            <rFont val="Tahoma"/>
            <family val="2"/>
          </rPr>
          <t>Ari Järvinen:</t>
        </r>
        <r>
          <rPr>
            <sz val="9"/>
            <color indexed="81"/>
            <rFont val="Tahoma"/>
            <family val="2"/>
          </rPr>
          <t xml:space="preserve">
Tuloslaskelmaan lisätään vain sotumaksuosuus.</t>
        </r>
      </text>
    </comment>
    <comment ref="U15" authorId="1" shapeId="0" xr:uid="{7777B4DC-66E5-4B89-A9C5-0F97790BCBEA}">
      <text>
        <r>
          <rPr>
            <b/>
            <sz val="9"/>
            <color indexed="81"/>
            <rFont val="Tahoma"/>
            <family val="2"/>
          </rPr>
          <t>Ari Järvinen:</t>
        </r>
        <r>
          <rPr>
            <sz val="9"/>
            <color indexed="81"/>
            <rFont val="Tahoma"/>
            <family val="2"/>
          </rPr>
          <t xml:space="preserve">
Tuloslaskelmaan lisätään vain sotumaksuosuus.</t>
        </r>
      </text>
    </comment>
    <comment ref="C25" authorId="0" shapeId="0" xr:uid="{00000000-0006-0000-0600-000003000000}">
      <text>
        <r>
          <rPr>
            <sz val="9"/>
            <color indexed="81"/>
            <rFont val="Tahoma"/>
            <family val="2"/>
          </rPr>
          <t xml:space="preserve">
Vero lasketaan rahapalkan ja luontaisetujen yhteissummasta
</t>
        </r>
      </text>
    </comment>
    <comment ref="D25" authorId="1" shapeId="0" xr:uid="{6E218707-204B-4218-B41B-6A489AD00C1B}">
      <text>
        <r>
          <rPr>
            <sz val="9"/>
            <color indexed="81"/>
            <rFont val="Tahoma"/>
            <family val="2"/>
          </rPr>
          <t>2022: sairausvakuutusmaksu 1,34 %.
Korjaa solun kaava.</t>
        </r>
      </text>
    </comment>
    <comment ref="D30" authorId="1" shapeId="0" xr:uid="{00000000-0006-0000-0600-000005000000}">
      <text>
        <r>
          <rPr>
            <b/>
            <sz val="9"/>
            <color indexed="81"/>
            <rFont val="Tahoma"/>
            <family val="2"/>
          </rPr>
          <t xml:space="preserve">Ari Järvinen:
2022: 20 %, josta
</t>
        </r>
        <r>
          <rPr>
            <sz val="9"/>
            <color indexed="81"/>
            <rFont val="Tahoma"/>
            <family val="2"/>
          </rPr>
          <t>- TyEL 17,4 %
- TT-maksu 0,5 %
- Sairausvakuutusmaksu 1,34 %
- Tapaturma- ja henkivak. 0,76 %</t>
        </r>
      </text>
    </comment>
    <comment ref="R31" authorId="1" shapeId="0" xr:uid="{6A1B7B82-AFCE-4B32-85EF-6AD740D5C044}">
      <text>
        <r>
          <rPr>
            <b/>
            <sz val="9"/>
            <color indexed="81"/>
            <rFont val="Tahoma"/>
            <family val="2"/>
          </rPr>
          <t>Ari Järvinen:</t>
        </r>
        <r>
          <rPr>
            <sz val="9"/>
            <color indexed="81"/>
            <rFont val="Tahoma"/>
            <family val="2"/>
          </rPr>
          <t xml:space="preserve">
Tuloslaskelmaan lisätään vain sotumaksuosuus.</t>
        </r>
      </text>
    </comment>
    <comment ref="S31" authorId="1" shapeId="0" xr:uid="{F8FCC3B1-9EBA-4218-8380-03FC342B3F3F}">
      <text>
        <r>
          <rPr>
            <b/>
            <sz val="9"/>
            <color indexed="81"/>
            <rFont val="Tahoma"/>
            <family val="2"/>
          </rPr>
          <t>Ari Järvinen:</t>
        </r>
        <r>
          <rPr>
            <sz val="9"/>
            <color indexed="81"/>
            <rFont val="Tahoma"/>
            <family val="2"/>
          </rPr>
          <t xml:space="preserve">
Tuloslaskelmaan lisätään vain sotumaksuosuus.</t>
        </r>
      </text>
    </comment>
    <comment ref="T31" authorId="1" shapeId="0" xr:uid="{CC600044-E30F-4E2B-BA68-43EA3E6011A9}">
      <text>
        <r>
          <rPr>
            <b/>
            <sz val="9"/>
            <color indexed="81"/>
            <rFont val="Tahoma"/>
            <family val="2"/>
          </rPr>
          <t>Ari Järvinen:</t>
        </r>
        <r>
          <rPr>
            <sz val="9"/>
            <color indexed="81"/>
            <rFont val="Tahoma"/>
            <family val="2"/>
          </rPr>
          <t xml:space="preserve">
Tuloslaskelmaan lisätään vain sotumaksuosuus.</t>
        </r>
      </text>
    </comment>
    <comment ref="U31" authorId="1" shapeId="0" xr:uid="{6BE768BE-7081-4417-88C9-77821AE5A288}">
      <text>
        <r>
          <rPr>
            <b/>
            <sz val="9"/>
            <color indexed="81"/>
            <rFont val="Tahoma"/>
            <family val="2"/>
          </rPr>
          <t>Ari Järvinen:</t>
        </r>
        <r>
          <rPr>
            <sz val="9"/>
            <color indexed="81"/>
            <rFont val="Tahoma"/>
            <family val="2"/>
          </rPr>
          <t xml:space="preserve">
Tuloslaskelmaan lisätään vain sotumaksuosuus.</t>
        </r>
      </text>
    </comment>
    <comment ref="D39" authorId="2" shapeId="0" xr:uid="{D78B3AA0-FB30-495D-9437-0557C431DE5A}">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D2" authorId="0" shapeId="0" xr:uid="{9BD5593A-BDCA-4613-AE2C-5D85A5614066}">
      <text>
        <r>
          <rPr>
            <sz val="10"/>
            <color indexed="81"/>
            <rFont val="Tahoma"/>
            <family val="2"/>
          </rPr>
          <t xml:space="preserve">
INSTRUKTIONER FÖR ANVÄNDNING OCH LÄSNING AV EKONOMISKA PARAMETRAR
</t>
        </r>
        <r>
          <rPr>
            <b/>
            <sz val="10"/>
            <color indexed="81"/>
            <rFont val="Tahoma"/>
            <family val="2"/>
          </rPr>
          <t>ANVÄNDNING AV TABELLEN</t>
        </r>
        <r>
          <rPr>
            <sz val="10"/>
            <color indexed="81"/>
            <rFont val="Tahoma"/>
            <family val="2"/>
          </rPr>
          <t xml:space="preserve">
Uppgifterna i denna tabell förflyttas till grafiska stapeldiagrammen i K3- och FS3 Resultat-tabellerna. Baserat på siffrorna från de två föregående åren kan du bättre bedöma lönsamheten i ditt företag.
</t>
        </r>
        <r>
          <rPr>
            <b/>
            <sz val="10"/>
            <color indexed="81"/>
            <rFont val="Tahoma"/>
            <family val="2"/>
          </rPr>
          <t>INFORMATION I TABELLEN</t>
        </r>
        <r>
          <rPr>
            <sz val="10"/>
            <color indexed="81"/>
            <rFont val="Tahoma"/>
            <family val="2"/>
          </rPr>
          <t xml:space="preserve">
Tabellen produceras av Finnvera och innehåller information om Finnveras kunders bokslut enligt följande:
- Företaget har 3 - 9 anställda inklusive företagarna.
- Finnvera har skulder (lån och borgen) i sitt kundföretag minst 50 000 Euro.
- Uppgifterna är mediannummer, vilket betyder mittnumret i en uppsättning (inget 
  genomsnittsvärde).
</t>
        </r>
        <r>
          <rPr>
            <b/>
            <sz val="10"/>
            <color indexed="81"/>
            <rFont val="Tahoma"/>
            <family val="2"/>
          </rPr>
          <t xml:space="preserve">LÄSNING AV TABELLEN </t>
        </r>
        <r>
          <rPr>
            <sz val="10"/>
            <color indexed="81"/>
            <rFont val="Tahoma"/>
            <family val="2"/>
          </rPr>
          <t xml:space="preserve">
Kolumnerna i tabellen visar mediannumret.
1. Personer/företag = Antal anställda i branschen.
2. Omsättning per person inklusive företagarna. Siffrorna är 1000 €.
3. Driftsbidrag i procentar av omsättningen.
4. Driftskapital i procentar av omsättningen. Siffran berättar hur mycket rörelsekapital företag har krävt för att driva. 
4. Driftskapital i euro
5. Förändring av omsättning</t>
        </r>
      </text>
    </comment>
    <comment ref="F5" authorId="1" shapeId="0" xr:uid="{200AF24D-C115-4D09-BB82-356D14809F0B}">
      <text>
        <r>
          <rPr>
            <sz val="10"/>
            <color indexed="8"/>
            <rFont val="Tahoma"/>
            <family val="2"/>
          </rPr>
          <t>Driftsbidrag-% av omsättning</t>
        </r>
      </text>
    </comment>
    <comment ref="G5" authorId="1" shapeId="0" xr:uid="{BF47EBE3-E098-4E4A-887C-4748314E0D48}">
      <text>
        <r>
          <rPr>
            <sz val="10"/>
            <color indexed="8"/>
            <rFont val="Tahoma"/>
            <family val="2"/>
          </rPr>
          <t>Behovet av driftskapital i procentar av omsättning.</t>
        </r>
      </text>
    </comment>
    <comment ref="H5" authorId="1" shapeId="0" xr:uid="{CDCBC956-FD6E-41E8-8B55-9E48EF04A2D2}">
      <text>
        <r>
          <rPr>
            <sz val="10"/>
            <color indexed="8"/>
            <rFont val="Tahoma"/>
            <family val="2"/>
          </rPr>
          <t>Siffran berättar behovet av driftskapital  per anställd person.</t>
        </r>
      </text>
    </comment>
    <comment ref="I5" authorId="1" shapeId="0" xr:uid="{DE08CFA1-F83F-4FE8-99CB-86446380E4E2}">
      <text>
        <r>
          <rPr>
            <sz val="10"/>
            <color indexed="8"/>
            <rFont val="Tahoma"/>
            <family val="2"/>
          </rPr>
          <t>Förändring av omsättning /år</t>
        </r>
      </text>
    </comment>
    <comment ref="M5" authorId="1" shapeId="0" xr:uid="{8080C281-DF2A-4A1D-AF93-DA353B058C2D}">
      <text>
        <r>
          <rPr>
            <sz val="10"/>
            <color indexed="8"/>
            <rFont val="Tahoma"/>
            <family val="2"/>
          </rPr>
          <t>Driftsbidrag-% av omsättning</t>
        </r>
      </text>
    </comment>
    <comment ref="N5" authorId="1" shapeId="0" xr:uid="{672CB5B2-8391-49B8-83AF-DC3E95D69938}">
      <text>
        <r>
          <rPr>
            <sz val="10"/>
            <color indexed="8"/>
            <rFont val="Tahoma"/>
            <family val="2"/>
          </rPr>
          <t>Behovet av driftskapital i procentar av omsättning.</t>
        </r>
      </text>
    </comment>
    <comment ref="O5" authorId="1" shapeId="0" xr:uid="{691C2A0E-A928-4FB9-8E11-3A8904FAF3EB}">
      <text>
        <r>
          <rPr>
            <sz val="10"/>
            <color indexed="8"/>
            <rFont val="Tahoma"/>
            <family val="2"/>
          </rPr>
          <t>Siffran berättar behovet av driftskapital  per anställd person.</t>
        </r>
      </text>
    </comment>
    <comment ref="P5" authorId="1" shapeId="0" xr:uid="{2D4D10AD-3598-4992-98C2-23AB19090769}">
      <text>
        <r>
          <rPr>
            <sz val="10"/>
            <color indexed="8"/>
            <rFont val="Tahoma"/>
            <family val="2"/>
          </rPr>
          <t>Förändring av omsättning /år</t>
        </r>
      </text>
    </comment>
    <comment ref="T5" authorId="1" shapeId="0" xr:uid="{BC603FDF-D80B-4E25-B1C4-877D85A796E1}">
      <text>
        <r>
          <rPr>
            <sz val="10"/>
            <color indexed="8"/>
            <rFont val="Tahoma"/>
            <family val="2"/>
          </rPr>
          <t>Driftsbidrag-% av omsättning</t>
        </r>
      </text>
    </comment>
    <comment ref="U5" authorId="1" shapeId="0" xr:uid="{8877FA5A-0019-4E75-951C-19CE3B43585C}">
      <text>
        <r>
          <rPr>
            <sz val="10"/>
            <color indexed="8"/>
            <rFont val="Tahoma"/>
            <family val="2"/>
          </rPr>
          <t>Behovet av driftskapital i procentar av omsättning.</t>
        </r>
      </text>
    </comment>
    <comment ref="V5" authorId="1" shapeId="0" xr:uid="{31C7B54F-F46E-4B4F-8970-73685AFE7F8F}">
      <text>
        <r>
          <rPr>
            <sz val="10"/>
            <color indexed="8"/>
            <rFont val="Tahoma"/>
            <family val="2"/>
          </rPr>
          <t>Siffran berättar behovet av driftskapital  per anställd person.</t>
        </r>
      </text>
    </comment>
    <comment ref="W5" authorId="1" shapeId="0" xr:uid="{24B9C6BD-CF33-494E-A4A9-53CBFF83F702}">
      <text>
        <r>
          <rPr>
            <sz val="10"/>
            <color indexed="8"/>
            <rFont val="Tahoma"/>
            <family val="2"/>
          </rPr>
          <t>Förändring av omsättning /år</t>
        </r>
      </text>
    </comment>
    <comment ref="B6" authorId="0" shapeId="0" xr:uid="{00000000-0006-0000-0E00-000004000000}">
      <text>
        <r>
          <rPr>
            <b/>
            <sz val="9"/>
            <color indexed="81"/>
            <rFont val="Tahoma"/>
            <family val="2"/>
          </rPr>
          <t>Skriv branschnumret i tabell K3 Resultat eller FS3 Resultat, varefter jämförelsevärden  syns.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21" authorId="0" shapeId="0" xr:uid="{0F3E5A18-A10E-423D-B653-A4DC5F6FF5EA}">
      <text>
        <r>
          <rPr>
            <b/>
            <sz val="9"/>
            <color indexed="81"/>
            <rFont val="Tahoma"/>
            <family val="2"/>
          </rPr>
          <t>Ari Järvinen:</t>
        </r>
        <r>
          <rPr>
            <sz val="9"/>
            <color indexed="81"/>
            <rFont val="Tahoma"/>
            <family val="2"/>
          </rPr>
          <t xml:space="preserve">
Toimialataulukon solu N4 kopiodaan tähän eli vuosi, johon viitataan.
</t>
        </r>
      </text>
    </comment>
    <comment ref="C21" authorId="0" shapeId="0" xr:uid="{80893346-1D5C-439D-9D2D-5E387CFA9288}">
      <text>
        <r>
          <rPr>
            <b/>
            <sz val="9"/>
            <color indexed="81"/>
            <rFont val="Tahoma"/>
            <family val="2"/>
          </rPr>
          <t>Ari Järvinen:</t>
        </r>
        <r>
          <rPr>
            <sz val="9"/>
            <color indexed="81"/>
            <rFont val="Tahoma"/>
            <family val="2"/>
          </rPr>
          <t xml:space="preserve">
Toimialataulukon solu G4 kopiodaan tähän eli vuosi, johon viitataan.
</t>
        </r>
      </text>
    </comment>
    <comment ref="B22" authorId="0" shapeId="0" xr:uid="{E4B92FE0-E82A-49DD-BFBA-097FE496F967}">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22" authorId="0" shapeId="0" xr:uid="{715F3222-0B29-42B7-9DD9-7FE7C218208B}">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23" authorId="0" shapeId="0" xr:uid="{F5F6B241-A706-41EC-A0E8-9837F9820BAF}">
      <text>
        <r>
          <rPr>
            <b/>
            <sz val="9"/>
            <color indexed="81"/>
            <rFont val="Tahoma"/>
            <family val="2"/>
          </rPr>
          <t>Ari Järvinen:</t>
        </r>
        <r>
          <rPr>
            <sz val="9"/>
            <color indexed="81"/>
            <rFont val="Tahoma"/>
            <family val="2"/>
          </rPr>
          <t xml:space="preserve">
Hakufunktion tuloksen eli viiimeisen puolipisteen jälkeen vaihdetaan sarakkeeksi O
 eli Käyttöpääoma/hlö-sarake</t>
        </r>
      </text>
    </comment>
    <comment ref="C23" authorId="0" shapeId="0" xr:uid="{E8316CDC-699F-4538-B958-95B52424CF36}">
      <text>
        <r>
          <rPr>
            <b/>
            <sz val="9"/>
            <color indexed="81"/>
            <rFont val="Tahoma"/>
            <family val="2"/>
          </rPr>
          <t>Ari Järvinen:</t>
        </r>
        <r>
          <rPr>
            <sz val="9"/>
            <color indexed="81"/>
            <rFont val="Tahoma"/>
            <family val="2"/>
          </rPr>
          <t xml:space="preserve">
Hakufunktion tuloksen eli viiimeisen puolipisteen jälkeen vaihdetaan sarakkeeksi H eli Käyttöpääoma/hlö-sarake</t>
        </r>
      </text>
    </comment>
    <comment ref="B38" authorId="0" shapeId="0" xr:uid="{175901C2-CCB1-4018-804A-FDF0894493CF}">
      <text>
        <r>
          <rPr>
            <b/>
            <sz val="9"/>
            <color indexed="81"/>
            <rFont val="Tahoma"/>
            <family val="2"/>
          </rPr>
          <t>Ari Järvinen:</t>
        </r>
        <r>
          <rPr>
            <sz val="9"/>
            <color indexed="81"/>
            <rFont val="Tahoma"/>
            <family val="2"/>
          </rPr>
          <t xml:space="preserve">
Toimialataulukon solu M
4 kopiodaan tähän eli vuosi, johon viitataan.
</t>
        </r>
      </text>
    </comment>
    <comment ref="C38" authorId="0" shapeId="0" xr:uid="{15F3AD2F-EA92-4408-878D-486CAD0C548B}">
      <text>
        <r>
          <rPr>
            <b/>
            <sz val="9"/>
            <color indexed="81"/>
            <rFont val="Tahoma"/>
            <family val="2"/>
          </rPr>
          <t>Ari Järvinen:</t>
        </r>
        <r>
          <rPr>
            <sz val="9"/>
            <color indexed="81"/>
            <rFont val="Tahoma"/>
            <family val="2"/>
          </rPr>
          <t xml:space="preserve">
Toimialataulukon solu G4 kopiodaan tähän eli vuosi, johon viitataan.
</t>
        </r>
      </text>
    </comment>
    <comment ref="B39" authorId="0" shapeId="0" xr:uid="{272EA197-B159-44DA-B8B0-00C67476C2AF}">
      <text>
        <r>
          <rPr>
            <b/>
            <sz val="9"/>
            <color indexed="81"/>
            <rFont val="Tahoma"/>
            <family val="2"/>
          </rPr>
          <t>Ari Järvinen:</t>
        </r>
        <r>
          <rPr>
            <sz val="9"/>
            <color indexed="81"/>
            <rFont val="Tahoma"/>
            <family val="2"/>
          </rPr>
          <t xml:space="preserve">
Hakufunktion tuloksen eli viiimeisen puolipisteen jälkeen vaihdetaan sarakkeeksi L eli Liikevaihto/hlö-sarake</t>
        </r>
      </text>
    </comment>
    <comment ref="C39" authorId="0" shapeId="0" xr:uid="{DB39DF69-372F-453D-9741-271BBD00C900}">
      <text>
        <r>
          <rPr>
            <b/>
            <sz val="9"/>
            <color indexed="81"/>
            <rFont val="Tahoma"/>
            <family val="2"/>
          </rPr>
          <t>Ari Järvinen:</t>
        </r>
        <r>
          <rPr>
            <sz val="9"/>
            <color indexed="81"/>
            <rFont val="Tahoma"/>
            <family val="2"/>
          </rPr>
          <t xml:space="preserve">
Hakufunktion tuloksen eli viiimeisen puolipisteen jälkeen vaihdetaan sarakkeeksi E eli Liikevaihto/hlö-sarake</t>
        </r>
      </text>
    </comment>
    <comment ref="B40" authorId="0" shapeId="0" xr:uid="{CD882DFF-E366-41FF-A785-7BEEE30D668F}">
      <text>
        <r>
          <rPr>
            <b/>
            <sz val="9"/>
            <color indexed="81"/>
            <rFont val="Tahoma"/>
            <family val="2"/>
          </rPr>
          <t>Ari Järvinen:</t>
        </r>
        <r>
          <rPr>
            <sz val="9"/>
            <color indexed="81"/>
            <rFont val="Tahoma"/>
            <family val="2"/>
          </rPr>
          <t xml:space="preserve">
Hakufunktion tuloksen eli viiimeisen puolipisteen jälkeen vaihdetaan sarakkeeksi O
 eli Käyttöpääoma/hlo</t>
        </r>
      </text>
    </comment>
    <comment ref="C40" authorId="0" shapeId="0" xr:uid="{EFB6A7BC-17A3-4E00-AB55-C218622644DE}">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 ref="B44" authorId="0" shapeId="0" xr:uid="{6DE1D12A-9705-4DE4-8CA3-9452C1503A90}">
      <text>
        <r>
          <rPr>
            <b/>
            <sz val="9"/>
            <color indexed="81"/>
            <rFont val="Tahoma"/>
            <family val="2"/>
          </rPr>
          <t>Ari Järvinen:</t>
        </r>
        <r>
          <rPr>
            <sz val="9"/>
            <color indexed="81"/>
            <rFont val="Tahoma"/>
            <family val="2"/>
          </rPr>
          <t xml:space="preserve">
Hakufunktion tuloksen eli viiimeisen puolipisteen jälkeen vaihdetaan sarakkeeksi L
 eli Käyttökate-sarake</t>
        </r>
      </text>
    </comment>
    <comment ref="C44" authorId="0" shapeId="0" xr:uid="{F50366FB-EB8A-4EB1-86B2-09BA8F3711A3}">
      <text>
        <r>
          <rPr>
            <b/>
            <sz val="9"/>
            <color indexed="81"/>
            <rFont val="Tahoma"/>
            <family val="2"/>
          </rPr>
          <t>Ari Järvinen:</t>
        </r>
        <r>
          <rPr>
            <sz val="9"/>
            <color indexed="81"/>
            <rFont val="Tahoma"/>
            <family val="2"/>
          </rPr>
          <t xml:space="preserve">
Hakufunktion tuloksen eli viiimeisen puolipisteen jälkeen vaihdetaan sarakkeeksi F eli Käyttökate-sarake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Jadelcons</author>
  </authors>
  <commentList>
    <comment ref="K2" authorId="0" shapeId="0" xr:uid="{00000000-0006-0000-0200-000001000000}">
      <text>
        <r>
          <rPr>
            <b/>
            <sz val="10"/>
            <color indexed="81"/>
            <rFont val="Tahoma"/>
            <family val="2"/>
          </rPr>
          <t xml:space="preserve"> Ifyllnadsdirektiv
</t>
        </r>
        <r>
          <rPr>
            <sz val="10"/>
            <color indexed="81"/>
            <rFont val="Tahoma"/>
            <family val="2"/>
          </rPr>
          <t>- Fyll i gula cellerna.
- Priserna i Euro inkl. mervärdesskatt.
- Mervärdesskattprocent kan förändras.
- Kom ihåg att höja priserna årligen!
- Observera även cellerna till höger.
- Du kan förflytta dig från tabell till tabell via
  pilknappen eller nere via tabellväljarna.</t>
        </r>
      </text>
    </comment>
    <comment ref="O2" authorId="0" shapeId="0" xr:uid="{7F5AF2F1-ECBE-4695-81BB-9A23407873B8}">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B15" authorId="1" shapeId="0" xr:uid="{00000000-0006-0000-0200-000003000000}">
      <text>
        <r>
          <rPr>
            <sz val="10"/>
            <color indexed="81"/>
            <rFont val="Tahoma"/>
            <family val="2"/>
          </rPr>
          <t>Skriv här namnet av produkten eller produktgruppen.</t>
        </r>
      </text>
    </comment>
    <comment ref="C15" authorId="2" shapeId="0" xr:uid="{FD374A4D-24A4-47DA-85DE-1384065413D6}">
      <text>
        <r>
          <rPr>
            <sz val="10"/>
            <color indexed="81"/>
            <rFont val="Tahoma"/>
            <family val="2"/>
          </rPr>
          <t>Skriv här momsprocenten, som uppbärs om försäljning av produkter och tjänster. 
Mervärdesskattprocent 
- 24 % allmän 
- 10 % inkvartering, motion, tidningar, persontransport, böcker, 
  e-publikationer 
- 14 % restaurangmat, livsmedel och foder
- 0 %, om företagets bransch hälso- eller och socialvård, finans-
  och försäkringstjänster
- 0 %, om företagets årsomsättning är under 15 000 Euro.</t>
        </r>
      </text>
    </comment>
    <comment ref="G16" authorId="1" shapeId="0" xr:uid="{972B17E4-F32E-4104-B43E-ED82178F7A3B}">
      <text>
        <r>
          <rPr>
            <sz val="10"/>
            <color indexed="81"/>
            <rFont val="Tahoma"/>
            <family val="2"/>
          </rPr>
          <t xml:space="preserve">Minns årlig kostnadshöjning. </t>
        </r>
      </text>
    </comment>
    <comment ref="C19" authorId="3" shapeId="0" xr:uid="{2858BC93-92F2-4495-AB89-8A9FFE3378EA}">
      <text>
        <r>
          <rPr>
            <sz val="10"/>
            <color indexed="81"/>
            <rFont val="Tahoma"/>
            <family val="2"/>
          </rPr>
          <t>Inköpspris utan svinn. Lägga till frakt- och förpackningskostnader.</t>
        </r>
      </text>
    </comment>
    <comment ref="C20" authorId="2" shapeId="0" xr:uid="{37297701-34B1-4C41-96AD-9DB2F7216E11}">
      <text>
        <r>
          <rPr>
            <sz val="10"/>
            <color indexed="81"/>
            <rFont val="Tahoma"/>
            <family val="2"/>
          </rPr>
          <t>Svinn förorsakas av butiksstölder (1 - 4 %), produkten går sönder eller nedsmutsas mm.</t>
        </r>
      </text>
    </comment>
    <comment ref="B55" authorId="2" shapeId="0" xr:uid="{6C7337E6-BB18-4427-B62C-3AEB076E7885}">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C55" authorId="2" shapeId="0" xr:uid="{A123B540-8674-463A-AFFC-235FA6F88951}">
      <text>
        <r>
          <rPr>
            <b/>
            <sz val="10"/>
            <color indexed="81"/>
            <rFont val="Tahoma"/>
            <family val="2"/>
          </rPr>
          <t>Mervärdesskattesats:</t>
        </r>
        <r>
          <rPr>
            <sz val="10"/>
            <color indexed="81"/>
            <rFont val="Tahoma"/>
            <family val="2"/>
          </rPr>
          <t xml:space="preserve">
- Allmän 24 % 
- begagnade böcker och tidningar, konstverk 10 % 
- 0 %, om företagets årlig omsättning är under 15 000 €</t>
        </r>
      </text>
    </comment>
    <comment ref="C79" authorId="3" shapeId="0" xr:uid="{BFE9ADE0-CF2B-4305-9D79-FB1BB243932C}">
      <text>
        <r>
          <rPr>
            <sz val="10"/>
            <color indexed="81"/>
            <rFont val="Tahoma"/>
            <family val="2"/>
          </rPr>
          <t>Inköpspris utan svinn. Lägga till frakt- och förpackningskostnader.</t>
        </r>
      </text>
    </comment>
    <comment ref="C125" authorId="2" shapeId="0" xr:uid="{3D6B7969-B121-4743-AA04-26E4D4BB042A}">
      <text>
        <r>
          <rPr>
            <b/>
            <sz val="10"/>
            <color indexed="81"/>
            <rFont val="Tahoma"/>
            <family val="2"/>
          </rPr>
          <t>Mervärdesskattesats:</t>
        </r>
        <r>
          <rPr>
            <sz val="10"/>
            <color indexed="81"/>
            <rFont val="Tahoma"/>
            <family val="2"/>
          </rPr>
          <t xml:space="preserve">
- Allmän 24 % 
- begagnade böcker och tidningar, konstverk 10 % 
- 0 %, om företagets årlig omsättning är under 15 000 €</t>
        </r>
      </text>
    </comment>
    <comment ref="C189" authorId="3" shapeId="0" xr:uid="{2E1E50C7-A74C-41A1-80B7-5E5FF8DD2C6B}">
      <text>
        <r>
          <rPr>
            <sz val="10"/>
            <color indexed="81"/>
            <rFont val="Tahoma"/>
            <family val="2"/>
          </rPr>
          <t>Inköpspris utan svinn. Lägga till frakt- och förpackningskostnader.</t>
        </r>
      </text>
    </comment>
    <comment ref="B195" authorId="4" shapeId="0" xr:uid="{6D1CE198-E3BB-47EC-80DC-F3378D292D27}">
      <text>
        <r>
          <rPr>
            <sz val="10"/>
            <color indexed="81"/>
            <rFont val="Tahoma"/>
            <family val="2"/>
          </rPr>
          <t>I marginalbeskattningsförfarandet för begagnade varor och konstverk, samlarobjekt och antikviteter tas moms ut på skillnaden mellan försäljnings- och inköpspris, dvs vinstmarginalen enligt produktens momssats.</t>
        </r>
      </text>
    </comment>
    <comment ref="C195" authorId="2" shapeId="0" xr:uid="{61041BCA-9E3B-4831-B984-1DB8420703A5}">
      <text>
        <r>
          <rPr>
            <b/>
            <sz val="10"/>
            <color indexed="81"/>
            <rFont val="Tahoma"/>
            <family val="2"/>
          </rPr>
          <t>Mervärdesskattesats:</t>
        </r>
        <r>
          <rPr>
            <sz val="10"/>
            <color indexed="81"/>
            <rFont val="Tahoma"/>
            <family val="2"/>
          </rPr>
          <t xml:space="preserve">
- Allmän 24 % 
- begagnade böcker och tidningar, konstverk 10 % 
- 0 %, om företagets årlig omsättning är under 15 000 €</t>
        </r>
      </text>
    </comment>
    <comment ref="B207" authorId="3" shapeId="0" xr:uid="{0548BA4F-5516-4B42-9B0A-53789AEE86F9}">
      <text>
        <r>
          <rPr>
            <sz val="10"/>
            <color indexed="81"/>
            <rFont val="Tahoma"/>
            <family val="2"/>
          </rPr>
          <t>Marginalskattepliktiga produkter har dragits av från siffran.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Jadelcons</author>
  </authors>
  <commentList>
    <comment ref="B41" authorId="0"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2" authorId="0"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2" authorId="0" shapeId="0" xr:uid="{00000000-0006-0000-0300-000003000000}">
      <text>
        <r>
          <rPr>
            <b/>
            <sz val="9"/>
            <color indexed="81"/>
            <rFont val="Tahoma"/>
            <family val="2"/>
          </rPr>
          <t>Jadelcons:</t>
        </r>
        <r>
          <rPr>
            <sz val="9"/>
            <color indexed="81"/>
            <rFont val="Tahoma"/>
            <family val="2"/>
          </rPr>
          <t xml:space="preserve">
Alv 24 %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Yritystulkki</author>
  </authors>
  <commentList>
    <comment ref="N2" authorId="0" shapeId="0" xr:uid="{38BBD68A-F3A5-4177-90AA-4219BE8AFB81}">
      <text>
        <r>
          <rPr>
            <b/>
            <sz val="10"/>
            <color indexed="81"/>
            <rFont val="Tahoma"/>
            <family val="2"/>
          </rPr>
          <t xml:space="preserve">Fyll i gula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 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2" authorId="0" shapeId="0" xr:uid="{F1388EC2-677D-47B4-9A82-85B1A201785D}">
      <text>
        <r>
          <rPr>
            <b/>
            <sz val="10"/>
            <color indexed="81"/>
            <rFont val="Tahoma"/>
            <family val="2"/>
          </rPr>
          <t>Bilaga för finansiär: 
Mata ut sidorna 1 - 2.</t>
        </r>
        <r>
          <rPr>
            <sz val="10"/>
            <color indexed="81"/>
            <rFont val="Tahoma"/>
            <family val="2"/>
          </rPr>
          <t xml:space="preserve"> </t>
        </r>
      </text>
    </comment>
    <comment ref="B9" authorId="1" shapeId="0" xr:uid="{2427B805-BB8B-488E-94AE-536187A1B290}">
      <text>
        <r>
          <rPr>
            <sz val="10"/>
            <color indexed="81"/>
            <rFont val="Tahoma"/>
            <family val="2"/>
          </rPr>
          <t>Förutsättning för utskrivning av kassabudget är företagets namn, son skrivs i tabell K1 Kostnader.</t>
        </r>
      </text>
    </comment>
    <comment ref="E17" authorId="2" shapeId="0" xr:uid="{931E4584-4741-4E3F-9D23-62BD342B19C3}">
      <text>
        <r>
          <rPr>
            <sz val="10"/>
            <color indexed="81"/>
            <rFont val="Tahoma"/>
            <family val="2"/>
          </rPr>
          <t>Avskrivningsfria anskaffningar, t.ex. tomtmark, elanslutning, vattenanslutning.</t>
        </r>
      </text>
    </comment>
    <comment ref="E18" authorId="2" shapeId="0" xr:uid="{9CB4577D-94F7-4272-B3B9-1CB53D583C99}">
      <text>
        <r>
          <rPr>
            <sz val="10"/>
            <color indexed="81"/>
            <rFont val="Tahoma"/>
            <family val="2"/>
          </rPr>
          <t>Avser gammal fastighet, vars inköp inte berättigar till mervärdeskatteavdrag.</t>
        </r>
      </text>
    </comment>
    <comment ref="H18" authorId="2" shapeId="0" xr:uid="{C2437B7D-D0C7-4E7E-8EED-9BA0FCCA22F7}">
      <text>
        <r>
          <rPr>
            <sz val="10"/>
            <color indexed="81"/>
            <rFont val="Tahoma"/>
            <family val="2"/>
          </rPr>
          <t xml:space="preserve">Finnveras ränta för nyföretaget från 3,5 %. Räntans storlek beror på säkerhet och risker. </t>
        </r>
      </text>
    </comment>
    <comment ref="I18" authorId="2" shapeId="0" xr:uid="{350133EA-8F1E-4A39-800A-AD165B4E8758}">
      <text>
        <r>
          <rPr>
            <sz val="10"/>
            <color indexed="81"/>
            <rFont val="Tahoma"/>
            <family val="2"/>
          </rPr>
          <t>Fria år från avkortningar. Antalet år antecknas i denna cell och de kan uppgå till högst 2. Vi rekommenderar högst ett år.</t>
        </r>
      </text>
    </comment>
    <comment ref="J18" authorId="2" shapeId="0" xr:uid="{C35B8785-A415-4623-BD4F-EF81444ED1ED}">
      <text>
        <r>
          <rPr>
            <sz val="10"/>
            <color indexed="81"/>
            <rFont val="Tahoma"/>
            <family val="2"/>
          </rPr>
          <t>Den totala lånetiden antecknas i denna cell och måste vara min. 3 år.</t>
        </r>
      </text>
    </comment>
    <comment ref="K18" authorId="2" shapeId="0" xr:uid="{84516531-73FA-4D86-B126-931595C78473}">
      <text>
        <r>
          <rPr>
            <sz val="10"/>
            <color indexed="81"/>
            <rFont val="Tahoma"/>
            <family val="2"/>
          </rPr>
          <t xml:space="preserve"> Kapital minst 50 000 €.</t>
        </r>
      </text>
    </comment>
    <comment ref="E19" authorId="2" shapeId="0" xr:uid="{BD2A553F-036F-4954-96D0-C315A1894661}">
      <text>
        <r>
          <rPr>
            <sz val="10"/>
            <color indexed="81"/>
            <rFont val="Tahoma"/>
            <family val="2"/>
          </rPr>
          <t>Avser gammal eller ny fastighet, från vars inköp eller renovering  mervärdesskatt kan avdrags.</t>
        </r>
      </text>
    </comment>
    <comment ref="H19" authorId="2" shapeId="0" xr:uid="{77E73C5C-E514-48FC-AFA0-E4367044606E}">
      <text>
        <r>
          <rPr>
            <sz val="10"/>
            <color indexed="81"/>
            <rFont val="Tahoma"/>
            <family val="2"/>
          </rPr>
          <t xml:space="preserve">Bankens ränta för nyföretag 2,5 - 4,5 %. Räntans storlek beror på säkerhet och risker. </t>
        </r>
      </text>
    </comment>
    <comment ref="I19" authorId="2" shapeId="0" xr:uid="{5DFEF938-F8BE-45E0-B2B2-89226867FB0F}">
      <text>
        <r>
          <rPr>
            <sz val="10"/>
            <color indexed="81"/>
            <rFont val="Tahoma"/>
            <family val="2"/>
          </rPr>
          <t>Fria år från avkortningar. Antalet år antecknas i denna cell och de kan uppgå till högst 2. Vi rekommenderar högst ett år.</t>
        </r>
      </text>
    </comment>
    <comment ref="J19" authorId="2" shapeId="0" xr:uid="{EF0DF751-6AE8-43B2-9284-8A7A835E1DA6}">
      <text>
        <r>
          <rPr>
            <sz val="10"/>
            <color indexed="81"/>
            <rFont val="Tahoma"/>
            <family val="2"/>
          </rPr>
          <t>Den totala lånetiden antecknas i denna cell och måste vara min. 3 år.</t>
        </r>
      </text>
    </comment>
    <comment ref="I20" authorId="2" shapeId="0" xr:uid="{FC94096F-0B93-495F-BD57-6219856616E3}">
      <text>
        <r>
          <rPr>
            <sz val="10"/>
            <color indexed="81"/>
            <rFont val="Tahoma"/>
            <family val="2"/>
          </rPr>
          <t>Fria år från avkortningar. Antalet år antecknas i denna cell och de kan uppgå till högst 2. Vi rekommenderar högst ett år.</t>
        </r>
      </text>
    </comment>
    <comment ref="J20" authorId="2" shapeId="0" xr:uid="{D699AF01-C2D1-42D6-BCFF-8049742651EF}">
      <text>
        <r>
          <rPr>
            <sz val="10"/>
            <color indexed="81"/>
            <rFont val="Tahoma"/>
            <family val="2"/>
          </rPr>
          <t>Den totala lånetiden antecknas i denna cell och måste vara min. 3 år.</t>
        </r>
      </text>
    </comment>
    <comment ref="B21" authorId="2" shapeId="0" xr:uid="{A89CAD52-49CE-434D-80DD-FBA280F81221}">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B20CBFCD-1297-4716-B8AA-C33760B99B02}">
      <text>
        <r>
          <rPr>
            <sz val="10"/>
            <color indexed="81"/>
            <rFont val="Tahoma"/>
            <family val="2"/>
          </rPr>
          <t>Bidrag för investeringar beviljas vanligen inte till transport-, handels-, entreprenörs- och byggnadsbranscher. Kontrollera från NTM-centralen. Bidrag beviljas av Moms 0 %-priset.</t>
        </r>
      </text>
    </comment>
    <comment ref="I21" authorId="2" shapeId="0" xr:uid="{2CEC7F47-808A-4DAA-A5AA-99FE1BC06823}">
      <text>
        <r>
          <rPr>
            <sz val="10"/>
            <color indexed="81"/>
            <rFont val="Tahoma"/>
            <family val="2"/>
          </rPr>
          <t>Avbetalningens och leasingens  betalningstid är 2 - 5 år!</t>
        </r>
      </text>
    </comment>
    <comment ref="K21" authorId="2" shapeId="0" xr:uid="{ACA3A6D4-FBC3-4475-9199-239803BC8DC4}">
      <text>
        <r>
          <rPr>
            <sz val="10"/>
            <color indexed="81"/>
            <rFont val="Tahoma"/>
            <family val="2"/>
          </rPr>
          <t>Med leasing kan man finansiera ca.80 % av investeringens värde. Återbäring av mervärdesskatt fås månatligen i efterhand. NTM-centralens bidrag fås i efterhand av de betalda avkortningar, men högst under 3 års tid. Läs mera Företagstolken punkt 3.10 Leasingens kostnader.</t>
        </r>
      </text>
    </comment>
    <comment ref="I22" authorId="2" shapeId="0" xr:uid="{44BFE7C6-A5BE-47FF-BDA5-36111E6C6AA5}">
      <text>
        <r>
          <rPr>
            <sz val="10"/>
            <color indexed="81"/>
            <rFont val="Tahoma"/>
            <family val="2"/>
          </rPr>
          <t>Avbetalningens och leasingens  betalningstid är 2 - 5 år!</t>
        </r>
      </text>
    </comment>
    <comment ref="K22" authorId="3" shapeId="0" xr:uid="{0BA01537-C895-4BF9-A9DB-79158FDBD698}">
      <text>
        <r>
          <rPr>
            <b/>
            <sz val="10"/>
            <color indexed="81"/>
            <rFont val="Tahoma"/>
            <family val="2"/>
          </rPr>
          <t>Med avbetalning</t>
        </r>
        <r>
          <rPr>
            <sz val="10"/>
            <color indexed="81"/>
            <rFont val="Tahoma"/>
            <family val="2"/>
          </rPr>
          <t xml:space="preserve"> kan man finansiera högst 80 % av investeringens värde. Återbärning av mervärdesskatt fås genast och NTM-centralens bidrag fås genast efter investeringens färdigställande.</t>
        </r>
      </text>
    </comment>
    <comment ref="E24" authorId="2" shapeId="0" xr:uid="{239977EE-2000-44D8-8049-37D70690242B}">
      <text>
        <r>
          <rPr>
            <sz val="10"/>
            <color indexed="81"/>
            <rFont val="Tahoma"/>
            <family val="2"/>
          </rPr>
          <t xml:space="preserve">Avses handelsvaror, som har köpt vid förvärv av affärsverksamheten. Handelsvarorna utan mervärdesskatt. </t>
        </r>
      </text>
    </comment>
    <comment ref="K24" authorId="2" shapeId="0" xr:uid="{13140B53-1E19-44D2-97F6-FB19DF1E9206}">
      <text>
        <r>
          <rPr>
            <sz val="10"/>
            <color indexed="81"/>
            <rFont val="Tahoma"/>
            <family val="2"/>
          </rPr>
          <t>Bidrag kan betalas till investeringen, som inte innehåller Moms. OM LEASINGFINANSIERING ANVÄNDS, ÄR BELOPPET INDIKATIVT!</t>
        </r>
      </text>
    </comment>
    <comment ref="E25" authorId="2" shapeId="0" xr:uid="{FDBFA32C-5E73-43E1-9C47-B7287D2DC790}">
      <text>
        <r>
          <rPr>
            <sz val="10"/>
            <color indexed="81"/>
            <rFont val="Tahoma"/>
            <family val="2"/>
          </rPr>
          <t>Avses varor, som man har köpt i förhand före öppnandet av affären.</t>
        </r>
      </text>
    </comment>
    <comment ref="E26" authorId="2" shapeId="0" xr:uid="{22668F98-39B4-46DC-B889-93E9515C1072}">
      <text>
        <r>
          <rPr>
            <sz val="10"/>
            <color indexed="81"/>
            <rFont val="Tahoma"/>
            <family val="2"/>
          </rPr>
          <t>Här antecknas anskaffningar, av vilka man inte får återbäring av mervärdesskatt. T.ex. 
- ett företag inom omvårdnadssektorn 
- affärsvärde (goodwill) vid företagsförvärv
- maskiner och inventarier vid förvärv av
  affärsverksamheten
- anskaffningar av privata personer
- anskaffningar av utomlands</t>
        </r>
      </text>
    </comment>
    <comment ref="K27" authorId="2" shapeId="0" xr:uid="{15B79712-59CC-4624-A2EA-67D4F00F154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C0D71D0D-A6E7-4BE0-B90E-71F3A0ED7F70}">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 reparation av affärslokaler (renovering till punkt 1.
  Lokaliteter/inköp / byggande av fastigheter)</t>
        </r>
      </text>
    </comment>
    <comment ref="K29" authorId="2" shapeId="0" xr:uid="{2456CA15-03F9-4092-88AF-81635CA723AB}">
      <text>
        <r>
          <rPr>
            <sz val="10"/>
            <color indexed="81"/>
            <rFont val="Tahoma"/>
            <family val="2"/>
          </rPr>
          <t>För att få projektet lyckas bra, borde andel av egen finansiering vara 20 % av det totala finansieringsbehovet.</t>
        </r>
      </text>
    </comment>
    <comment ref="E30" authorId="2" shapeId="0" xr:uid="{410E56E5-2EDE-4ED7-9AA0-7AEB7EFF1D8E}">
      <text>
        <r>
          <rPr>
            <sz val="10"/>
            <color indexed="81"/>
            <rFont val="Tahoma"/>
            <family val="2"/>
          </rPr>
          <t xml:space="preserve">Kostnader av företagets grundandet dvs. registreringsavgifter. </t>
        </r>
        <r>
          <rPr>
            <b/>
            <sz val="10"/>
            <color indexed="81"/>
            <rFont val="Tahoma"/>
            <family val="2"/>
          </rPr>
          <t>Registreringsavgifter:</t>
        </r>
        <r>
          <rPr>
            <sz val="10"/>
            <color indexed="81"/>
            <rFont val="Tahoma"/>
            <family val="2"/>
          </rPr>
          <t xml:space="preserve">
- aktiebolag 275 €
- enskild näringsidkare, firma 60 €
- öppet- och kommanditbolag 240 €  
</t>
        </r>
        <r>
          <rPr>
            <b/>
            <sz val="10"/>
            <color indexed="81"/>
            <rFont val="Tahoma"/>
            <family val="2"/>
          </rPr>
          <t>Företagsbilar köpta för privat bruk (naturaförmånsbil)</t>
        </r>
        <r>
          <rPr>
            <sz val="10"/>
            <color indexed="81"/>
            <rFont val="Tahoma"/>
            <family val="2"/>
          </rPr>
          <t xml:space="preserve">
Bilar köpt med leasing eller avbetalning, kostnader på punkt 25. Fordonskostnader (fordonen i privatbruk, naturaförmån), tabell K1 Kostnader
</t>
        </r>
        <r>
          <rPr>
            <b/>
            <sz val="10"/>
            <color indexed="81"/>
            <rFont val="Tahoma"/>
            <family val="2"/>
          </rPr>
          <t>Här antecknas immateriella och utvecklingsinvesteringar för Moms
0 %-företagen</t>
        </r>
        <r>
          <rPr>
            <sz val="10"/>
            <color indexed="81"/>
            <rFont val="Tahoma"/>
            <family val="2"/>
          </rPr>
          <t xml:space="preserve"> (hälso- och socialvård, försäkrings- och finansieringsbransch och företagen omsättning under 15 000 €).</t>
        </r>
      </text>
    </comment>
    <comment ref="F30" authorId="2" shapeId="0" xr:uid="{5C9239DF-D55D-495A-BDC7-3F98B4E3C70D}">
      <text>
        <r>
          <rPr>
            <sz val="10"/>
            <color indexed="81"/>
            <rFont val="Tahoma"/>
            <family val="2"/>
          </rPr>
          <t>Företagarlånet är ett personligt lån för företagaren. Med företagarlån är det möjligt att finansiera
- Placeringar i ett aktiebolags aktiekapital och/eller 
  placeringar i investerat fritt eget kapitals fond (SVOP).
- Bolagsinsatser i öppna bolag eller kommanditbolag.
- Inköp av aktier i redan verksamma företag.
- Lånets kapital 10 000 - 100 000 Euro.</t>
        </r>
      </text>
    </comment>
    <comment ref="E32" authorId="2" shapeId="0" xr:uid="{3695B904-08EE-4F4D-81C5-61186620BDC0}">
      <text>
        <r>
          <rPr>
            <sz val="10"/>
            <color indexed="81"/>
            <rFont val="Tahoma"/>
            <family val="2"/>
          </rPr>
          <t>Driftskapital = Kassamedlen, pengar i kassan. Behovet av driftskapital beror på driftskostnader samt fluktuation av försäljningen och inköpen.
Rörelsekapitalkravet för nybörjande företag minst:  
- vid detaljhandel 20 % av omsättning.
- privata tjänster 5 000 - 30 000 Euro/person (vid 
  företagsförvärv 2 000 - 10 000 Euro/person.
Det finns stora branschvariationer. För riktnings-information, se fliken Branschinformation. I början är rörelsekapitalkravet är 2-3 gånger större än för aktivt företag.</t>
        </r>
      </text>
    </comment>
    <comment ref="E35" authorId="2" shapeId="0" xr:uid="{574BC0DF-7F1E-4467-A743-D3DEEDF052DC}">
      <text>
        <r>
          <rPr>
            <sz val="10"/>
            <color indexed="81"/>
            <rFont val="Tahoma"/>
            <family val="2"/>
          </rPr>
          <t>Slutsummorna på vänstra och högra sidan bör vara lika stora. Om summan är negativ, finns det "för mycket" pengar, som fogas till punkt 6. Driftskapital.</t>
        </r>
      </text>
    </comment>
    <comment ref="K35" authorId="2" shapeId="0" xr:uid="{16AE39BE-0515-4690-8ABC-D2CACE6F18A2}">
      <text>
        <r>
          <rPr>
            <sz val="10"/>
            <color indexed="81"/>
            <rFont val="Tahoma"/>
            <family val="2"/>
          </rPr>
          <t>Bidrag och återbäring av mervärdesskatt erhålls i efterhand. Om summan är stor, är man tvungen att ordna med tillfällig finansiering. T.ex. konto med kredit.
Var också beredd för det, att inte något bidrag erhålls.</t>
        </r>
      </text>
    </comment>
    <comment ref="F45" authorId="1" shapeId="0" xr:uid="{00000000-0006-0000-0400-00001B000000}">
      <text>
        <r>
          <rPr>
            <sz val="10"/>
            <color indexed="81"/>
            <rFont val="Tahoma"/>
            <family val="2"/>
          </rPr>
          <t>Under 1. året betjänas kalkylmässiga semesterlöner, varför personalkostnaderna är större än 2. årets kostnad.</t>
        </r>
      </text>
    </comment>
    <comment ref="F51" authorId="2" shapeId="0" xr:uid="{2885FE35-97D5-440B-9791-FE8F3DBC4C56}">
      <text>
        <r>
          <rPr>
            <sz val="10"/>
            <color indexed="81"/>
            <rFont val="Tahoma"/>
            <family val="2"/>
          </rPr>
          <t xml:space="preserve">Skatten beräknas enligt procenten under. 
50 % av representationskostnaderna är avdragbara i beskattning. </t>
        </r>
      </text>
    </comment>
    <comment ref="F55" authorId="3" shapeId="0" xr:uid="{C900842B-421F-4BF8-9488-F9EBDB1D613B}">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3" shapeId="0" xr:uid="{F1B6EB8D-3DA3-4A53-83EE-820C1BC6B553}">
      <text>
        <r>
          <rPr>
            <sz val="10"/>
            <color indexed="81"/>
            <rFont val="Tahoma"/>
            <family val="2"/>
          </rPr>
          <t xml:space="preserve"> - maximiavskrivning 25 %
 - vi rekommenderar avskrivning enligt 
   ekonomisk drifttid, som vanligen är 5 - 10 år</t>
        </r>
      </text>
    </comment>
    <comment ref="F57" authorId="3" shapeId="0" xr:uid="{267CAF01-1C48-4265-B4BD-F8E8DABFDD10}">
      <text>
        <r>
          <rPr>
            <sz val="10"/>
            <color indexed="81"/>
            <rFont val="Tahoma"/>
            <family val="2"/>
          </rPr>
          <t xml:space="preserve">Nettoresultatet är resultat av den faktiska affärsverksamheten utan Icke-ordinarie engångsposter. </t>
        </r>
      </text>
    </comment>
    <comment ref="E78" authorId="2" shapeId="0" xr:uid="{908E79C4-C0D2-410D-9738-AC7912A92CB8}">
      <text>
        <r>
          <rPr>
            <sz val="10"/>
            <color indexed="81"/>
            <rFont val="Tahoma"/>
            <family val="2"/>
          </rPr>
          <t>Detta procenttal berättar, hur mycket försäljningen kan förnedra sig (positivt tal) eller måste bestiga (negativt tal), so att alla kostnaderna är betäckta.</t>
        </r>
      </text>
    </comment>
    <comment ref="F95" authorId="2" shapeId="0" xr:uid="{E3F44B44-8EF9-43AF-851A-84329C23C784}">
      <text>
        <r>
          <rPr>
            <sz val="10"/>
            <color indexed="81"/>
            <rFont val="Tahoma"/>
            <family val="2"/>
          </rPr>
          <t>Välj numret av tabellen "Ekonomiska parametrar".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Företagstolken</author>
  </authors>
  <commentList>
    <comment ref="C14" authorId="0" shapeId="0" xr:uid="{B5DABEB9-2877-4D6F-8689-DB4D512DA7A4}">
      <text>
        <r>
          <rPr>
            <sz val="10"/>
            <color indexed="81"/>
            <rFont val="Tahoma"/>
            <family val="2"/>
          </rPr>
          <t>Antalet personer i sitt heltal</t>
        </r>
      </text>
    </comment>
    <comment ref="C15" authorId="0" shapeId="0" xr:uid="{8C0B198C-2981-4CF0-8C4F-0172D75B9570}">
      <text>
        <r>
          <rPr>
            <sz val="10"/>
            <color indexed="81"/>
            <rFont val="Tahoma"/>
            <family val="2"/>
          </rPr>
          <t>Tim- eller månadslön utan bikostnader!</t>
        </r>
      </text>
    </comment>
    <comment ref="C16" authorId="0" shapeId="0" xr:uid="{121147E2-F0AC-4DB6-AD11-9AEC1A96D0E8}">
      <text>
        <r>
          <rPr>
            <sz val="10"/>
            <color indexed="81"/>
            <rFont val="Tahoma"/>
            <family val="2"/>
          </rPr>
          <t xml:space="preserve">Arbetstid 8 timmar= 172 lönetimmar
Arbetstid 7,6 timmar = 162 lönetimmar
Månadslön = 1 </t>
        </r>
      </text>
    </comment>
    <comment ref="C17" authorId="0" shapeId="0" xr:uid="{54E2DA69-A19A-42FE-B41A-76A82F0C8881}">
      <text>
        <r>
          <rPr>
            <sz val="10"/>
            <color indexed="81"/>
            <rFont val="Tahoma"/>
            <family val="2"/>
          </rPr>
          <t>Skiftarbete tillägg o.d., procentar av penninglönen. I tre-skiftarbete kan tillägg vara 30 %.</t>
        </r>
      </text>
    </comment>
    <comment ref="C19" authorId="0" shapeId="0" xr:uid="{F1C39ED1-12D3-483E-9F99-531522E52ACC}">
      <text>
        <r>
          <rPr>
            <sz val="10"/>
            <color indexed="81"/>
            <rFont val="Tahoma"/>
            <family val="2"/>
          </rPr>
          <t>Nubörjande företag, 12 lönebetalningsmånader för första året. Därefter 12,5. Semesterlönen kalkyleras automatiskt.</t>
        </r>
      </text>
    </comment>
    <comment ref="C26" authorId="0" shapeId="0" xr:uid="{0F7A7A97-0476-4A0F-AF0D-93926FB43565}">
      <text>
        <r>
          <rPr>
            <sz val="10"/>
            <color indexed="81"/>
            <rFont val="Tahoma"/>
            <family val="2"/>
          </rPr>
          <t xml:space="preserve">Arbetstid 8 timmar= 172 lönetimmar
Arbetstid 7,6 timmar = 162 lönetimmar
Månadslön = 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Företagstolken</author>
    <author>Yritystulkki</author>
    <author>Ari Järvinen</author>
  </authors>
  <commentList>
    <comment ref="B2" authorId="0" shapeId="0" xr:uid="{489CF677-5F86-482E-A868-4EDAA370D7EA}">
      <text>
        <r>
          <rPr>
            <sz val="10"/>
            <color indexed="81"/>
            <rFont val="Tahoma"/>
            <family val="2"/>
          </rPr>
          <t xml:space="preserve">Kassabudget fylls i inte automatiskt om det finns inte namn för företaget i tabellen K1 eller FS1 Kostnader. 
Programmet uppgör ett färdigt budgetförslag. Planeringsperioden är 12 månader från räkenskapsperiodens början. Om räkenskapsperioden är längre än 12 månader visas bara månaderna 1-12. Om räkenskapsperioden är kortare än 12 månader ställer du in försäljningsfördelningen till rätt månader och de onödiga månaderna till 0 %.
FULL I GULA CELLERNA! INVESTERINGARNA HAR SKRIVITS FÖR FÖRSTA MÅNADEN. FÖRÄNDRA OM BEHÖVS!  
- Kontrollera månatlig fördelning av kostnaderna samt fördelning mellan 
  kontant- och fakturaförsäljning.
- Minska delbetalningar och leasing från investeringarna i punkt 12 och 33. </t>
        </r>
      </text>
    </comment>
    <comment ref="G7" authorId="0" shapeId="0" xr:uid="{3ADF6024-2AA1-440D-8E1A-ABBA0568C3ED}">
      <text>
        <r>
          <rPr>
            <sz val="10"/>
            <color indexed="81"/>
            <rFont val="Tahoma"/>
            <family val="2"/>
          </rPr>
          <t>Kalkylmässig kassa i början = Driftskapital</t>
        </r>
      </text>
    </comment>
    <comment ref="F8" authorId="0" shapeId="0" xr:uid="{E83B8C01-13B8-4052-BFD2-24E9C977095E}">
      <text>
        <r>
          <rPr>
            <sz val="10"/>
            <color indexed="81"/>
            <rFont val="Tahoma"/>
            <family val="2"/>
          </rPr>
          <t xml:space="preserve">Skriv här kontantförsäljningens procentuellt antal av totalförsäljningen. Tänk också på vinstmarginalbaserad Moms försäljning! </t>
        </r>
      </text>
    </comment>
    <comment ref="G8" authorId="0" shapeId="0" xr:uid="{7F623721-B3AA-4A2D-9C5B-28E27D1EB383}">
      <text>
        <r>
          <rPr>
            <sz val="10"/>
            <color indexed="81"/>
            <rFont val="Tahoma"/>
            <family val="2"/>
          </rPr>
          <t xml:space="preserve">Programmet beräknar färdigt kontantförsäljningen enligt månadens procentandel.  </t>
        </r>
      </text>
    </comment>
    <comment ref="G9" authorId="0" shapeId="0" xr:uid="{F40F8BA3-BED8-45B3-ADED-9FE440AAC8C7}">
      <text>
        <r>
          <rPr>
            <sz val="10"/>
            <color indexed="81"/>
            <rFont val="Tahoma"/>
            <family val="2"/>
          </rPr>
          <t>Procentsiffran betyder månadens försäljningsandel av hela årets försäljning. Om försäljningen är jämnstor i varje månad, är siffran 8,3 %.</t>
        </r>
      </text>
    </comment>
    <comment ref="G11" authorId="0" shapeId="0" xr:uid="{2E4D9997-74B1-45A3-B2DA-CC6296966EAB}">
      <text>
        <r>
          <rPr>
            <sz val="10"/>
            <color indexed="81"/>
            <rFont val="Tahoma"/>
            <family val="2"/>
          </rPr>
          <t>Procentsiffran betyder månadens försäljningsandel av hela årets försäljning. Om försäljningen är jämnstor i varje månad, är siffran 8,3 %.</t>
        </r>
      </text>
    </comment>
    <comment ref="E12" authorId="0" shapeId="0" xr:uid="{C31D9D1C-1ED7-4365-9023-30DC07DD4860}">
      <text>
        <r>
          <rPr>
            <sz val="10"/>
            <color indexed="81"/>
            <rFont val="Tahoma"/>
            <family val="2"/>
          </rPr>
          <t>Genomsnittlig betalningstid för försäljningsfakturor. Längsta betalningstid 180 dagar!</t>
        </r>
      </text>
    </comment>
    <comment ref="G12" authorId="0" shapeId="0" xr:uid="{FF8E0D45-2464-4732-9534-5AE5F6597B03}">
      <text>
        <r>
          <rPr>
            <sz val="10"/>
            <color indexed="81"/>
            <rFont val="Tahoma"/>
            <family val="2"/>
          </rPr>
          <t xml:space="preserve">Programmet beräknar månatliga inbetalningen enligt betalningsvillkor (t.ex. 14 dagar). </t>
        </r>
      </text>
    </comment>
    <comment ref="G13" authorId="1" shapeId="0" xr:uid="{FC8FB8E4-CB16-41AA-8BB6-AC8C58BDEAF7}">
      <text>
        <r>
          <rPr>
            <sz val="10"/>
            <color indexed="81"/>
            <rFont val="Tahoma"/>
            <family val="2"/>
          </rPr>
          <t xml:space="preserve">Det totala beloppet för lån som ska lyftas. Flytta till rätt månad om behövs. Lägg till ränta på lån till punkt 26 och återbetalning av lån på punkt 30. </t>
        </r>
      </text>
    </comment>
    <comment ref="N14" authorId="0" shapeId="0" xr:uid="{892A1680-2203-449F-8449-0380D361450B}">
      <text>
        <r>
          <rPr>
            <sz val="10"/>
            <color indexed="81"/>
            <rFont val="Tahoma"/>
            <family val="2"/>
          </rPr>
          <t>Bidrag från NTM-centralen betalas antagligen under 8. månaden från början.</t>
        </r>
      </text>
    </comment>
    <comment ref="F18" authorId="0" shapeId="0" xr:uid="{3D44D208-28BB-4801-BDED-58601AAE9EC7}">
      <text>
        <r>
          <rPr>
            <sz val="10"/>
            <color indexed="81"/>
            <rFont val="Tahoma"/>
            <family val="2"/>
          </rPr>
          <t>Mervärdesskattprocent 
- 24 % allmän 
- 10 % inkvartering, motion, tidningar, persontransport, böcker, 
  e-publikationer 
- 14 % restaurangmat, livsmedel och foder
- 0 %, om företagets bransch hälso- eller och socialvård, finans-
  och försäkringstjänster
- 0 %, om företagets årsomsättning är under 15 000 Euro.
- om olika Moms-procenter i bruk, använd vägt genomsnitt-värde</t>
        </r>
      </text>
    </comment>
    <comment ref="G18" authorId="0" shapeId="0" xr:uid="{DBBE522A-F573-44AE-B267-394428B916BD}">
      <text>
        <r>
          <rPr>
            <sz val="10"/>
            <color indexed="81"/>
            <rFont val="Tahoma"/>
            <family val="2"/>
          </rPr>
          <t>Programmet antar, att hälften av månatliga inköpen betalas under samma månaden och hälften under nästa månaden (betalningsvillkor 14 dagar). Förändra om behövs!</t>
        </r>
      </text>
    </comment>
    <comment ref="F20" authorId="0" shapeId="0" xr:uid="{67D52EC0-FC4D-4734-980E-802AAEB5E8DD}">
      <text>
        <r>
          <rPr>
            <sz val="10"/>
            <color indexed="81"/>
            <rFont val="Tahoma"/>
            <family val="2"/>
          </rPr>
          <t>- 24 % Allmänt  
- 0 % Hälso- och socialvård, finans- och försäkringstjänster 
- 0 %, om företagets årsomsättning är under 15 000 euro.</t>
        </r>
      </text>
    </comment>
    <comment ref="G25" authorId="0" shapeId="0" xr:uid="{D9CDAE56-6562-40D3-8940-5EC5760C0959}">
      <text>
        <r>
          <rPr>
            <sz val="10"/>
            <color indexed="81"/>
            <rFont val="Tahoma"/>
            <family val="2"/>
          </rPr>
          <t xml:space="preserve">Antas, att alla Moms 24 %-investeringar (byggnads-, maskin-, immateriella- och utvecklingsinvesteringar) för första perioden har genomförts under 1. månaden (ej leasing och avbetalning). Korrigera månaden om behövs! </t>
        </r>
      </text>
    </comment>
    <comment ref="G31" authorId="0" shapeId="0" xr:uid="{7D3917B3-AAB2-4A9C-B87D-9469756F51CE}">
      <text>
        <r>
          <rPr>
            <sz val="10"/>
            <color indexed="81"/>
            <rFont val="Tahoma"/>
            <family val="2"/>
          </rPr>
          <t xml:space="preserve">Företaget i initialskede har vanligen inte dragbar eller avdragbar mervärdesskatt utom vid förvärv av affärsverksamheten. </t>
        </r>
      </text>
    </comment>
    <comment ref="H31" authorId="0" shapeId="0" xr:uid="{0379A7FE-2F7B-4289-8C7F-FC6EAA1FD2B8}">
      <text>
        <r>
          <rPr>
            <sz val="10"/>
            <color indexed="81"/>
            <rFont val="Tahoma"/>
            <family val="2"/>
          </rPr>
          <t xml:space="preserve">Företaget i initialskede har vanligen inte dragbar eller avdragbar mervärdesskatt utom vid förvärv av affärsverksamheten. </t>
        </r>
      </text>
    </comment>
    <comment ref="D33" authorId="0" shapeId="0" xr:uid="{98EFC208-FD19-4A2D-AF68-6AE5E4529D4C}">
      <text>
        <r>
          <rPr>
            <sz val="10"/>
            <color indexed="81"/>
            <rFont val="Tahoma"/>
            <family val="2"/>
          </rPr>
          <t>Penninglöner till FöPL-betalande företagare utan skatteavdrag.</t>
        </r>
      </text>
    </comment>
    <comment ref="F33" authorId="0" shapeId="0" xr:uid="{4D19160D-8572-439F-AD27-419816DB2172}">
      <text>
        <r>
          <rPr>
            <sz val="10"/>
            <color indexed="81"/>
            <rFont val="Tahoma"/>
            <family val="2"/>
          </rPr>
          <t>Genomsnittlig skatteavdragsprocent, som finns i skattekortet eller beräknas med Skatteräknare vid www.vero.fi.</t>
        </r>
      </text>
    </comment>
    <comment ref="M33" authorId="0" shapeId="0" xr:uid="{2B9D1D8E-6B57-46CF-B955-6ED09EAE9518}">
      <text>
        <r>
          <rPr>
            <sz val="10"/>
            <color indexed="81"/>
            <rFont val="Tahoma"/>
            <family val="2"/>
          </rPr>
          <t>I fall att semesterpenning betalas, är summan 1,5 x vanlig månadslön.</t>
        </r>
      </text>
    </comment>
    <comment ref="D34" authorId="0" shapeId="0" xr:uid="{2DAB49B7-B587-4CE4-95C4-8FF4F3356455}">
      <text>
        <r>
          <rPr>
            <sz val="10"/>
            <color indexed="81"/>
            <rFont val="Tahoma"/>
            <family val="2"/>
          </rPr>
          <t>Skattegrunden är totalsumman av penninglöner och naturaförmån.</t>
        </r>
      </text>
    </comment>
    <comment ref="D35" authorId="0" shapeId="0" xr:uid="{A0C8936A-CA39-447E-B49B-B3C97D839D7A}">
      <text>
        <r>
          <rPr>
            <sz val="10"/>
            <color indexed="81"/>
            <rFont val="Tahoma"/>
            <family val="2"/>
          </rPr>
          <t>Brutto penninglöner till arbetstagarna och företagarna utan dispositionsrätt (betalar APL-premier).</t>
        </r>
      </text>
    </comment>
    <comment ref="F35" authorId="0" shapeId="0" xr:uid="{444B57C1-6846-4B55-96A5-EB54A8E3C354}">
      <text>
        <r>
          <rPr>
            <sz val="10"/>
            <color indexed="81"/>
            <rFont val="Tahoma"/>
            <family val="2"/>
          </rPr>
          <t>Genomsnittlig skatteavdragsprocent, som finns i skattekortet eller beräknas med Skatteräknare vid www.vero.fi.</t>
        </r>
      </text>
    </comment>
    <comment ref="M35" authorId="0" shapeId="0" xr:uid="{E6AC0AD1-FF64-41B9-A4EE-48E71EE7B66E}">
      <text>
        <r>
          <rPr>
            <sz val="10"/>
            <color indexed="81"/>
            <rFont val="Tahoma"/>
            <family val="2"/>
          </rPr>
          <t>I fall att semesterpenning betalas, är summan 1,5 x vanlig månadslön.</t>
        </r>
      </text>
    </comment>
    <comment ref="D36" authorId="0" shapeId="0" xr:uid="{4EE57967-ED36-47A1-8145-CBEEF143A812}">
      <text>
        <r>
          <rPr>
            <sz val="10"/>
            <color indexed="81"/>
            <rFont val="Tahoma"/>
            <family val="2"/>
          </rPr>
          <t>Skattegrunden är totalsumman av penninglöner och naturaförmån.</t>
        </r>
      </text>
    </comment>
    <comment ref="F37" authorId="0" shapeId="0" xr:uid="{0118E33C-8504-409B-B4A8-BEEB701A21C9}">
      <text>
        <r>
          <rPr>
            <sz val="10"/>
            <color indexed="81"/>
            <rFont val="Tahoma"/>
            <family val="2"/>
          </rPr>
          <t>Av arbetstagarens penninglön avdrags i år 2022
- ArPL-avgift 7,15 % under 53-årig och över 62-årig, övriga 8,65 %
- Arbetslöshetsförsäkringsavgift (AL-avgift) 1,5 %
Sammanlagt 8,65 % under 53-årig och över 62-årig, övriga 10,15 %.</t>
        </r>
      </text>
    </comment>
    <comment ref="G38" authorId="0" shapeId="0" xr:uid="{90E80FB4-10CC-4EBA-A523-A8AB1E9CFB53}">
      <text>
        <r>
          <rPr>
            <sz val="10"/>
            <color indexed="81"/>
            <rFont val="Tahoma"/>
            <family val="2"/>
          </rPr>
          <t>Då prestationerna betalas en månad efter lönebetalningen, är första månaden blank.</t>
        </r>
      </text>
    </comment>
    <comment ref="F40" authorId="0" shapeId="0" xr:uid="{97BDFD9E-D31D-4103-8D34-99C732C5E16D}">
      <text>
        <r>
          <rPr>
            <b/>
            <sz val="10"/>
            <color indexed="81"/>
            <rFont val="Tahoma"/>
            <family val="2"/>
          </rPr>
          <t>År 2022</t>
        </r>
        <r>
          <rPr>
            <sz val="10"/>
            <color indexed="81"/>
            <rFont val="Tahoma"/>
            <family val="2"/>
          </rPr>
          <t xml:space="preserve">
Företaget betalar till försäkringsbolaget av lönen
- ArPL-premie 17,4 % 
- Olycks- och yrkessjukdomsförsäkring 0,76 %
  (för olycksbenägen bransch större, uppgår till 7 %)
- Arbetslöshetsförsäkring 0,5 %
Sammanlagt 18,66 % (förändra om behövs)</t>
        </r>
      </text>
    </comment>
    <comment ref="H42" authorId="0" shapeId="0" xr:uid="{7A201DCF-BCFB-48A7-9D66-2C3E71C7EF8A}">
      <text>
        <r>
          <rPr>
            <sz val="10"/>
            <color indexed="81"/>
            <rFont val="Tahoma"/>
            <family val="2"/>
          </rPr>
          <t>Nyföretaget betalar denna avgift vanligen under 2. månaden. Kan också delas i flera rater. Förändra om behövs.</t>
        </r>
      </text>
    </comment>
    <comment ref="L44" authorId="0" shapeId="0" xr:uid="{AF5144AE-580D-480B-89EA-291BE370B20E}">
      <text>
        <r>
          <rPr>
            <sz val="10"/>
            <color indexed="81"/>
            <rFont val="Tahoma"/>
            <family val="2"/>
          </rPr>
          <t>Låneavkortningar betalas 2 gånger/år.</t>
        </r>
      </text>
    </comment>
    <comment ref="R44" authorId="2" shapeId="0" xr:uid="{5489FBE0-C577-47E3-97BC-49FD4C57F38E}">
      <text>
        <r>
          <rPr>
            <sz val="10"/>
            <color indexed="81"/>
            <rFont val="Tahoma"/>
            <family val="2"/>
          </rPr>
          <t>Låneavkortningar betalas 2 gånger/år.</t>
        </r>
      </text>
    </comment>
    <comment ref="G51" authorId="0" shapeId="0" xr:uid="{CABFE39F-29C2-499D-9545-F613365B9822}">
      <text>
        <r>
          <rPr>
            <sz val="10"/>
            <color indexed="81"/>
            <rFont val="Tahoma"/>
            <family val="2"/>
          </rPr>
          <t>Antas, att alla Moms 0 % investeringar för första perioden har genomförts under 1. månaden. Förflytta till rätt månad.</t>
        </r>
      </text>
    </comment>
    <comment ref="R56" authorId="0" shapeId="0" xr:uid="{0609A210-B82A-43E2-BC7F-F1E0462E39D4}">
      <text>
        <r>
          <rPr>
            <sz val="10"/>
            <color indexed="81"/>
            <rFont val="Tahoma"/>
            <family val="2"/>
          </rPr>
          <t>Planeringsperiodens kassa efter sista månaden.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Ari Järvinen</author>
    <author>Yritystulkki</author>
    <author>kyyjarvar</author>
    <author>Jadelcons</author>
  </authors>
  <commentList>
    <comment ref="K2" authorId="0" shapeId="0" xr:uid="{FEF31B28-B5E9-45D7-9B52-49522AAD610F}">
      <text>
        <r>
          <rPr>
            <b/>
            <sz val="10"/>
            <color indexed="81"/>
            <rFont val="Tahoma"/>
            <family val="2"/>
          </rPr>
          <t xml:space="preserve">Välkommen att använda Företagstolkens Ekonomiplan. Vi rekommenderar att göra den första beräkningen utan bidrag. Du har att fylla i tre sidor/tabeller:
1. VERKSAMHETSKOSTNADER (tabell FS1)
</t>
        </r>
        <r>
          <rPr>
            <sz val="10"/>
            <color indexed="81"/>
            <rFont val="Tahoma"/>
            <family val="2"/>
          </rPr>
          <t>- fyll i gula cellerna 
- i affärsverksamhet finns många olika kostnader och därför många rader att fylla i
- programmet höjer priser automatiskt med 2 % (på höger, kan förändras) 
- närmare information finns på Företagstolkens web-sida, avsnitt "Ekonomiplaner" 
- förflytta dig från tabell till tabell via piltangent eller nere via tabellväljare</t>
        </r>
        <r>
          <rPr>
            <b/>
            <sz val="10"/>
            <color indexed="81"/>
            <rFont val="Tahoma"/>
            <family val="2"/>
          </rPr>
          <t xml:space="preserve">  
2. FÖRSÄLNINGSPROGNOS (tabell FS2)
</t>
        </r>
        <r>
          <rPr>
            <sz val="10"/>
            <color indexed="81"/>
            <rFont val="Tahoma"/>
            <family val="2"/>
          </rPr>
          <t>Av försäljningen av produkter/tjänster och varor uppstår företagets omsättning, med vars täckning man betalar verksamhetskostnaderna.
- fyll i gula cellerna</t>
        </r>
        <r>
          <rPr>
            <b/>
            <sz val="10"/>
            <color indexed="81"/>
            <rFont val="Tahoma"/>
            <family val="2"/>
          </rPr>
          <t xml:space="preserve"> 
3. RESULTAT OCH FINANSIERING (tabell FS3)
</t>
        </r>
        <r>
          <rPr>
            <sz val="10"/>
            <color indexed="81"/>
            <rFont val="Tahoma"/>
            <family val="2"/>
          </rPr>
          <t xml:space="preserve">I denna tabellen framgår affärsverksamhetens resultat i siffror. På nedre kanten av denna tabell finns prognossammandrag samt riskanalys. I riskanalys du kan konstatera försäljningens/kostnadernas betydelse till lånbetalningsförmåga. </t>
        </r>
        <r>
          <rPr>
            <b/>
            <sz val="10"/>
            <color indexed="81"/>
            <rFont val="Tahoma"/>
            <family val="2"/>
          </rPr>
          <t xml:space="preserve">      
4. KASSABUDGET (ej nödvändig)
</t>
        </r>
        <r>
          <rPr>
            <sz val="10"/>
            <color indexed="81"/>
            <rFont val="Tahoma"/>
            <family val="2"/>
          </rPr>
          <t xml:space="preserve">Programmet framför första årets kassabudget. Sällan är budgetförslaget noggrant och justering behövs.  </t>
        </r>
        <r>
          <rPr>
            <b/>
            <sz val="10"/>
            <color indexed="81"/>
            <rFont val="Tahoma"/>
            <family val="2"/>
          </rPr>
          <t xml:space="preserve">
TIPS FÖR IFYLLNADSARBETE!
- Fyll i bara gula cellerna.
- Observera även cellerna och anvisningar till höger.
- I utrymmet till höger kan du göra anteckningar och förutspå löne- och 
   prishöjningar.
- Förflytta dig från tabell till tabell via piltangent eller nere via 
  tabellväljarna.
- Kalkylera kostnaderna gärna för stora. Troligen det uppstår oväntade 
  kostnader. </t>
        </r>
      </text>
    </comment>
    <comment ref="C9" authorId="1" shapeId="0" xr:uid="{52ECC250-D042-4857-AD14-9CFFE803C896}">
      <text>
        <r>
          <rPr>
            <sz val="10"/>
            <color indexed="81"/>
            <rFont val="Tahoma"/>
            <family val="2"/>
          </rPr>
          <t>Förutsättning för utskrivning av kassabudget är företagets namn!</t>
        </r>
      </text>
    </comment>
    <comment ref="B11" authorId="1" shapeId="0" xr:uid="{8C9BC6DC-C827-4841-8C0B-993EBDE08C30}">
      <text>
        <r>
          <rPr>
            <sz val="10"/>
            <color indexed="81"/>
            <rFont val="Tahoma"/>
            <family val="2"/>
          </rPr>
          <t>Ifyllnadsdirektiv finns i Företagstolken på sidan "Ekonomiplaner". Punktnumret visar rätt information.</t>
        </r>
      </text>
    </comment>
    <comment ref="C11" authorId="1" shapeId="0" xr:uid="{43CB440B-9A65-4201-B6B5-2742080513BA}">
      <text>
        <r>
          <rPr>
            <sz val="10"/>
            <color indexed="81"/>
            <rFont val="Tahoma"/>
            <family val="2"/>
          </rPr>
          <t xml:space="preserve">Verksamhetskostnaderna kalkyleras med priser utan moms.  
Endast social- och hälsovårdssektorn, försäkrings och finansieringstjänster samt företagen vars årsomsättning är mindre än 15 000 € kalkylerar med Moms-priser. </t>
        </r>
      </text>
    </comment>
    <comment ref="F12" authorId="1" shapeId="0" xr:uid="{72312D1E-D9E1-4955-9397-D9C9B84DA0BF}">
      <text>
        <r>
          <rPr>
            <sz val="10"/>
            <color indexed="81"/>
            <rFont val="Tahoma"/>
            <family val="2"/>
          </rPr>
          <t xml:space="preserve">Räkenskapsperioden slutar i år </t>
        </r>
      </text>
    </comment>
    <comment ref="G12" authorId="2" shapeId="0" xr:uid="{13E2BA12-B247-4C88-A917-2D66BFF67152}">
      <text>
        <r>
          <rPr>
            <sz val="10"/>
            <color indexed="81"/>
            <rFont val="Tahoma"/>
            <family val="2"/>
          </rPr>
          <t>Kontrollera årssiffran efter räkenskapsperiodens längd!</t>
        </r>
      </text>
    </comment>
    <comment ref="F13" authorId="3" shapeId="0" xr:uid="{18AD25C3-0092-477A-8F06-08F98C520478}">
      <text>
        <r>
          <rPr>
            <sz val="10"/>
            <color indexed="81"/>
            <rFont val="Tahoma"/>
            <family val="2"/>
          </rPr>
          <t xml:space="preserve">Räkenskapsperiodens längd är vanligen 12 månader. Den första perioden kan vara mellan 6 - 18 månader. Om längden är inte 12 månader, kontrollera att kostnaderna motsvarar periodens längd. Programmet korrigerar automatiskt de följande åren! </t>
        </r>
      </text>
    </comment>
    <comment ref="F16" authorId="2" shapeId="0" xr:uid="{04BC58F2-A1D3-4086-A7E0-4C33163D9639}">
      <text>
        <r>
          <rPr>
            <sz val="10"/>
            <color indexed="81"/>
            <rFont val="Tahoma"/>
            <family val="2"/>
          </rPr>
          <t xml:space="preserve">Till enskild näringsidkare kan inte betalas lön, men lönen skall tas med för at få riktig åsikt om kostnaderna. </t>
        </r>
      </text>
    </comment>
    <comment ref="J16" authorId="2" shapeId="0" xr:uid="{31D76ECA-E2AB-437E-9EB6-CB94662D0A55}">
      <text>
        <r>
          <rPr>
            <sz val="10"/>
            <color indexed="81"/>
            <rFont val="Tahoma"/>
            <family val="2"/>
          </rPr>
          <t xml:space="preserve">Minns årlig kostnadshöjning. </t>
        </r>
      </text>
    </comment>
    <comment ref="F17" authorId="3" shapeId="0" xr:uid="{DCAD5A1B-A103-4A79-A19B-49C201FB5FCB}">
      <text>
        <r>
          <rPr>
            <sz val="10"/>
            <color indexed="81"/>
            <rFont val="Tahoma"/>
            <family val="2"/>
          </rPr>
          <t>Naturaförmåner kan användas vid Ab samt vid Öb och Kb, om åt företagarna betalas penninglön. Enskild näringsidkare kan inte använda naturaförmåner.
Naturaförmåner finns mm.  
- Telefonförmån 
- Kostförmån, "lunchförmån". Pris som restaurangen 
  debiterar, skrivs i punkt 8. Övriga personalkostnader.
- Bilförmån (glöm inte bilens anskaffningskostnaderna 
  och lägg till bilens drivningskostnaderna i punkt 25)</t>
        </r>
      </text>
    </comment>
    <comment ref="F18" authorId="1" shapeId="0" xr:uid="{1A29A96D-E4E0-4AB0-B877-D1C8C8DDA3C7}">
      <text>
        <r>
          <rPr>
            <sz val="10"/>
            <color indexed="81"/>
            <rFont val="Tahoma"/>
            <family val="2"/>
          </rPr>
          <t>Nybörjande företag, 12 lönebetalnings-månader för första året. Därefter 12,5. Semesterlönen kalkyleras automatiskt.</t>
        </r>
      </text>
    </comment>
    <comment ref="D20" authorId="2" shapeId="0" xr:uid="{00000000-0006-0000-0900-00000D000000}">
      <text>
        <r>
          <rPr>
            <sz val="10"/>
            <color indexed="81"/>
            <rFont val="Tahoma"/>
            <family val="2"/>
          </rPr>
          <t>Programmet räknar ut kostnaderna så, att lånet avkortas i lika stora rater 2 gånger i året med 6 månaders mellanrum. Friåren är beaktade.</t>
        </r>
      </text>
    </comment>
    <comment ref="F20" authorId="2" shapeId="0" xr:uid="{1DE7439B-768C-4198-BFD6-5FE97A71435B}">
      <text>
        <r>
          <rPr>
            <sz val="10"/>
            <color indexed="81"/>
            <rFont val="Tahoma"/>
            <family val="2"/>
          </rPr>
          <t>Försök inte skriva! Siffrorna i celler blir färdiga automatiskt senare.</t>
        </r>
      </text>
    </comment>
    <comment ref="F21" authorId="2" shapeId="0" xr:uid="{1D944285-9652-4FD4-9FB2-432A4869E514}">
      <text>
        <r>
          <rPr>
            <sz val="10"/>
            <color indexed="81"/>
            <rFont val="Tahoma"/>
            <family val="2"/>
          </rPr>
          <t>Försök inte skriva! Siffrorna i celler blir färdiga automatiskt senare.</t>
        </r>
      </text>
    </comment>
    <comment ref="F22" authorId="2" shapeId="0" xr:uid="{8C1F21D6-6FFC-4E7A-8CBA-BDFA686A924A}">
      <text>
        <r>
          <rPr>
            <sz val="10"/>
            <color indexed="81"/>
            <rFont val="Tahoma"/>
            <family val="2"/>
          </rPr>
          <t>Försök inte skriva! Siffrorna i celler blir färdiga automatiskt senare.</t>
        </r>
      </text>
    </comment>
    <comment ref="D25" authorId="2" shapeId="0" xr:uid="{83BAC622-71AD-4277-8AA5-21B6315DAFE0}">
      <text>
        <r>
          <rPr>
            <sz val="10"/>
            <color indexed="81"/>
            <rFont val="Tahoma"/>
            <family val="2"/>
          </rPr>
          <t>Inköpspriser exklusive moms. Undantag social- och hälsovårdssektorn och företag med en omsättning under 15 000 euro. Deras fasta kostnader kalkyleras med Moms-priser.</t>
        </r>
      </text>
    </comment>
    <comment ref="F26" authorId="2" shapeId="0" xr:uid="{19B65A9A-0532-4BED-ABA2-FEABE49A4C8A}">
      <text>
        <r>
          <rPr>
            <sz val="10"/>
            <color indexed="81"/>
            <rFont val="Tahoma"/>
            <family val="2"/>
          </rPr>
          <t>Försök inte skriva! Siffrorna i celler blir färdiga automatiskt senare.</t>
        </r>
      </text>
    </comment>
    <comment ref="F27" authorId="2" shapeId="0" xr:uid="{D46B8184-338A-4677-B65C-AF09C142F72C}">
      <text>
        <r>
          <rPr>
            <sz val="10"/>
            <color indexed="81"/>
            <rFont val="Tahoma"/>
            <family val="2"/>
          </rPr>
          <t>Försök inte skriva! Siffrorna i celler blir färdiga automatiskt senare.</t>
        </r>
      </text>
    </comment>
    <comment ref="D28" authorId="2" shapeId="0" xr:uid="{51F71A3C-E303-4619-81C6-85EA813DE725}">
      <text>
        <r>
          <rPr>
            <sz val="10"/>
            <color indexed="81"/>
            <rFont val="Tahoma"/>
            <family val="2"/>
          </rPr>
          <t xml:space="preserve">Lönekostnaderna för arbetstagarna och ArPL-företagarnare skrivs i en separat "Lönekostnader"-tabell. 
</t>
        </r>
        <r>
          <rPr>
            <b/>
            <i/>
            <sz val="10"/>
            <color indexed="81"/>
            <rFont val="Tahoma"/>
            <family val="2"/>
          </rPr>
          <t>Lönetabellen hittas längst ner på sidan: Lönekostnader</t>
        </r>
      </text>
    </comment>
    <comment ref="F31" authorId="3" shapeId="0" xr:uid="{46511939-5FCB-4F18-AE96-617973E981A3}">
      <text>
        <r>
          <rPr>
            <b/>
            <sz val="10"/>
            <color indexed="81"/>
            <rFont val="Tahoma"/>
            <family val="2"/>
          </rPr>
          <t>FöPL-betalningarna i år 2022</t>
        </r>
        <r>
          <rPr>
            <sz val="10"/>
            <color indexed="81"/>
            <rFont val="Tahoma"/>
            <family val="2"/>
          </rPr>
          <t xml:space="preserve">
 - under 53-årig och över 62-årig 24,10 % (nybörjande 
   företagare första 4 år 18,8 %) 
 - 53-62 årig 25,6 % (nybörjande företagare första 4 år 20 %)</t>
        </r>
      </text>
    </comment>
    <comment ref="F32" authorId="3" shapeId="0" xr:uid="{544A6188-F67D-4827-A20F-E2182FD7F5A9}">
      <text>
        <r>
          <rPr>
            <b/>
            <sz val="10"/>
            <color indexed="81"/>
            <rFont val="Tahoma"/>
            <family val="2"/>
          </rPr>
          <t>2022</t>
        </r>
        <r>
          <rPr>
            <sz val="10"/>
            <color indexed="81"/>
            <rFont val="Tahoma"/>
            <family val="2"/>
          </rPr>
          <t xml:space="preserve">
FöPL-betalning kalkyleras enligt arbetsinkomsten i denna cellen (alla FöPL-företagarna slgt). Kan förändras. FöPL-arbetsinkomsten bör åtminstone motsvara lön av samma arbete, minst </t>
        </r>
        <r>
          <rPr>
            <b/>
            <sz val="10"/>
            <color indexed="81"/>
            <rFont val="Tahoma"/>
            <family val="2"/>
          </rPr>
          <t xml:space="preserve"> 8 261,71 €</t>
        </r>
        <r>
          <rPr>
            <sz val="10"/>
            <color indexed="81"/>
            <rFont val="Tahoma"/>
            <family val="2"/>
          </rPr>
          <t xml:space="preserve">. Arbetslöshetspenning förutsätter dock minst arbetsinkomst </t>
        </r>
        <r>
          <rPr>
            <b/>
            <sz val="10"/>
            <color indexed="81"/>
            <rFont val="Tahoma"/>
            <family val="2"/>
          </rPr>
          <t>13 573 €</t>
        </r>
        <r>
          <rPr>
            <sz val="10"/>
            <color indexed="81"/>
            <rFont val="Tahoma"/>
            <family val="2"/>
          </rPr>
          <t>. Kan nollställas, om företagarens FöPL-försäkring betalas av annat företag. Programmet föreslår FöPL efter lönebetalning för företagarna.</t>
        </r>
      </text>
    </comment>
    <comment ref="J32" authorId="2" shapeId="0" xr:uid="{C3595959-F057-4BD4-A913-D433F941B826}">
      <text>
        <r>
          <rPr>
            <sz val="10"/>
            <color indexed="81"/>
            <rFont val="Tahoma"/>
            <family val="2"/>
          </rPr>
          <t xml:space="preserve">Minns årlig kostnadshöjning. </t>
        </r>
      </text>
    </comment>
    <comment ref="F34" authorId="3" shapeId="0" xr:uid="{94D0CF51-259B-4771-BEBE-DDB1B078C2E4}">
      <text>
        <r>
          <rPr>
            <b/>
            <sz val="10"/>
            <color indexed="81"/>
            <rFont val="Tahoma"/>
            <family val="2"/>
          </rPr>
          <t xml:space="preserve">År 2022 </t>
        </r>
        <r>
          <rPr>
            <sz val="10"/>
            <color indexed="81"/>
            <rFont val="Tahoma"/>
            <family val="2"/>
          </rPr>
          <t>är arbetsgivarens andel i genomsnitt 17,4 % av bruttolönesumman.</t>
        </r>
      </text>
    </comment>
    <comment ref="F37" authorId="3" shapeId="0" xr:uid="{71CFBAA8-5558-4950-8B9B-4EE8F325FA6A}">
      <text>
        <r>
          <rPr>
            <b/>
            <sz val="10"/>
            <color indexed="81"/>
            <rFont val="Tahoma"/>
            <family val="2"/>
          </rPr>
          <t xml:space="preserve">År 2022
</t>
        </r>
        <r>
          <rPr>
            <sz val="10"/>
            <color indexed="81"/>
            <rFont val="Tahoma"/>
            <family val="2"/>
          </rPr>
          <t>Företaget betalar av lönen
- olycks- och yrkessjukdomsförsäkring 0,76 % 
  (för olycksbenägen bransch större, uppgår till 7 %)
- Arbetslöshetsförsäkring 0,5 %
- Sjukförsäkringsavgift 1,34 %
Sammanlagt 2,6 % (förändra om behövs)</t>
        </r>
      </text>
    </comment>
    <comment ref="F38" authorId="4" shapeId="0" xr:uid="{913B9363-1921-42E6-98D7-6BD85A66E511}">
      <text>
        <r>
          <rPr>
            <sz val="10"/>
            <color indexed="81"/>
            <rFont val="Tahoma"/>
            <family val="2"/>
          </rPr>
          <t>Programmet beräknar FöPL-företagarens frivillig olycksförsäkringsavgift 1,7 % av FöPL-arbetsinkomsten och sjukdomsförsäkringsavgiften av inkomst på raden 15 samt livförsäkringen enligt storleken av de långfristiga lånen.</t>
        </r>
      </text>
    </comment>
    <comment ref="J39" authorId="2" shapeId="0" xr:uid="{2EC7DBF3-D9BB-4B65-89FB-CE47DD843A90}">
      <text>
        <r>
          <rPr>
            <sz val="10"/>
            <color indexed="81"/>
            <rFont val="Tahoma"/>
            <family val="2"/>
          </rPr>
          <t xml:space="preserve">Minns årlig kostnadshöjning. </t>
        </r>
      </text>
    </comment>
    <comment ref="F40" authorId="2" shapeId="0" xr:uid="{5F41ECD4-45E2-4F77-B82B-B05E2EE9171E}">
      <text>
        <r>
          <rPr>
            <sz val="10"/>
            <color indexed="81"/>
            <rFont val="Tahoma"/>
            <family val="2"/>
          </rPr>
          <t xml:space="preserve">T.ex. företaget har tagit för sina arbetstagare livförsäkring, reseförsäkring etc. </t>
        </r>
      </text>
    </comment>
    <comment ref="F43" authorId="3" shapeId="0" xr:uid="{CC5C6495-D695-4DD6-B907-6AD26E262275}">
      <text>
        <r>
          <rPr>
            <sz val="10"/>
            <color indexed="81"/>
            <rFont val="Tahoma"/>
            <family val="2"/>
          </rPr>
          <t xml:space="preserve">Företaget får betala åt hela personalen som skattefritt förmån t.ex. rekreations- och intresse-verksamhetsedlar max. 400 Euro per person/år. </t>
        </r>
      </text>
    </comment>
    <comment ref="F44" authorId="3" shapeId="0" xr:uid="{2175AADF-E4E8-4F38-BD9B-4E5D368291A5}">
      <text>
        <r>
          <rPr>
            <sz val="10"/>
            <color indexed="81"/>
            <rFont val="Tahoma"/>
            <family val="2"/>
          </rPr>
          <t>Kostnad vanligen 250 €/person.</t>
        </r>
      </text>
    </comment>
    <comment ref="F46" authorId="2" shapeId="0" xr:uid="{C0B85D82-A039-41FA-94FF-74F4B6EFCB12}">
      <text>
        <r>
          <rPr>
            <sz val="10"/>
            <color indexed="81"/>
            <rFont val="Tahoma"/>
            <family val="2"/>
          </rPr>
          <t xml:space="preserve">Personalens måltid, lunchsedlar, rekrytering, gåvor etc. </t>
        </r>
      </text>
    </comment>
    <comment ref="F57" authorId="2" shapeId="0" xr:uid="{00000000-0006-0000-0900-000021000000}">
      <text>
        <r>
          <rPr>
            <b/>
            <sz val="10"/>
            <color indexed="81"/>
            <rFont val="Tahoma"/>
            <family val="2"/>
          </rPr>
          <t xml:space="preserve">Försäkringsavgift 0,3 % av värdet. </t>
        </r>
        <r>
          <rPr>
            <sz val="10"/>
            <color indexed="81"/>
            <rFont val="Tahoma"/>
            <family val="2"/>
          </rPr>
          <t xml:space="preserve">Egendomen innehåller lokaliteter, maskiner, inventarier, kundens egendom i företagets lokalitet mm. </t>
        </r>
      </text>
    </comment>
    <comment ref="E59" authorId="1" shapeId="0" xr:uid="{C8198120-18BA-48CD-B4B1-CDE9EA421B05}">
      <text>
        <r>
          <rPr>
            <sz val="10"/>
            <color indexed="81"/>
            <rFont val="Tahoma"/>
            <family val="2"/>
          </rPr>
          <t>Till finansieringsbolaget återställande apparatens restvärde i procenten från anskaffningspriset. Noggrann information om leasingfinansiering, se Företagstolken 3.10.</t>
        </r>
      </text>
    </comment>
    <comment ref="F63" authorId="1" shapeId="0" xr:uid="{EE3445D6-C433-4283-9F75-05BC69717CFD}">
      <text>
        <r>
          <rPr>
            <sz val="10"/>
            <color indexed="81"/>
            <rFont val="Tahoma"/>
            <family val="2"/>
          </rPr>
          <t>T. ex. bränsleåtgång 12 liter/100 km = 0,12 liter/km eller liter/timme
T.ex. åtgång av elbil 20 kWh/100 km = 0,2 kWh/km
T.ex. Åtgång av gasbil 6 kg/100 km = 0,06 kg/km</t>
        </r>
      </text>
    </comment>
    <comment ref="F71" authorId="1" shapeId="0" xr:uid="{991CBAAA-5657-4B88-9CA1-FC0FD8E22809}">
      <text>
        <r>
          <rPr>
            <sz val="10"/>
            <color indexed="81"/>
            <rFont val="Tahoma"/>
            <family val="2"/>
          </rPr>
          <t>Alla vanliga ADB-apparater ingår i detta kategori.</t>
        </r>
      </text>
    </comment>
    <comment ref="F74" authorId="1" shapeId="0" xr:uid="{EB3AD66E-963D-4282-9CB4-BF7B96D30574}">
      <text>
        <r>
          <rPr>
            <sz val="10"/>
            <color indexed="81"/>
            <rFont val="Tahoma"/>
            <family val="2"/>
          </rPr>
          <t>Hyror för apparater och inventarier under räkenskapsperioden Moms 0 %.
Leasingkostnader för maskiner och fordon som används i affärsverksamhet samt finansieras genom fast månadsleasing under räkenskapsperioden moms 0 %. 
Om leasingfinansieringens kapital, ränta och restvärde är kända, placera informationen i tabellen Finansiering Y3 "FINANSIERING" och anskaffningspriset för objektet som ska finansieras under "FINANSIERINGSHEBOV".</t>
        </r>
      </text>
    </comment>
    <comment ref="F76" authorId="1" shapeId="0" xr:uid="{04436A0A-F021-4600-8A89-3481FB463F7A}">
      <text>
        <r>
          <rPr>
            <sz val="10"/>
            <color indexed="81"/>
            <rFont val="Tahoma"/>
            <family val="2"/>
          </rPr>
          <t>Du kan som kostnad dra av anskaffningspriset på anläggningstillgångar som förslits på en gång i följande fall: 
- Om det är fråga om en så kallad liten anskaffning. Med små
  anskaffningar avses enskilda avskrivningsbara anläggnings-
  tillgångar, det vill säga anläggningstillgångar som förslits, 
  såsom en mobiltelefon eller ett verktyg som har ett 
  anskaffningspris på högst 1200 euro. Denna typ av små 
  anskaffningar kan du dra av för sammanlagt 3600 euro per år.
- Om anläggningstillgångarnas sannolika ekonomiska brukstid är 
  högst 3 år (ingen övre gräns på priset).</t>
        </r>
      </text>
    </comment>
    <comment ref="F80" authorId="2" shapeId="0" xr:uid="{3297CF23-27BA-488C-9563-DD8B0FBC78C2}">
      <text>
        <r>
          <rPr>
            <sz val="10"/>
            <color indexed="81"/>
            <rFont val="Tahoma"/>
            <family val="2"/>
          </rPr>
          <t>Företaget får betala för arbetstagaren en måltid/heldagtraktamente.</t>
        </r>
      </text>
    </comment>
    <comment ref="F83" authorId="5" shapeId="0" xr:uid="{7F82F9B1-128C-4F19-82A5-878A38B3A1C7}">
      <text>
        <r>
          <rPr>
            <sz val="10"/>
            <color indexed="81"/>
            <rFont val="Tahoma"/>
            <family val="2"/>
          </rPr>
          <t xml:space="preserve">Här kan du också kalkylera bilens användnings-kostnaderna. Kilometerersättningen bör täcka bilen användningskostnaderna, men inte finansieringskostnaderna. </t>
        </r>
      </text>
    </comment>
    <comment ref="F84" authorId="1" shapeId="0" xr:uid="{C4782157-DE95-4AD1-BDB2-1E18F57C2CD8}">
      <text>
        <r>
          <rPr>
            <sz val="10"/>
            <color indexed="81"/>
            <rFont val="Tahoma"/>
            <family val="2"/>
          </rPr>
          <t>2022
Km-ersättning för användning av egen personbil 0,46 €/km.</t>
        </r>
      </text>
    </comment>
    <comment ref="F86" authorId="1" shapeId="0" xr:uid="{832EE2FE-D948-4F6C-8402-9FA679EF6880}">
      <text>
        <r>
          <rPr>
            <b/>
            <sz val="10"/>
            <color indexed="81"/>
            <rFont val="Tahoma"/>
            <family val="2"/>
          </rPr>
          <t>I hemlandet 2022</t>
        </r>
        <r>
          <rPr>
            <sz val="10"/>
            <color indexed="81"/>
            <rFont val="Tahoma"/>
            <family val="2"/>
          </rPr>
          <t xml:space="preserve">
Heldagtraktamente 45 €, deldagtraktamente 20 €.</t>
        </r>
      </text>
    </comment>
    <comment ref="F87" authorId="2" shapeId="0" xr:uid="{78BA80AA-0A2E-42FB-A982-2AA59FD1FA07}">
      <text>
        <r>
          <rPr>
            <sz val="10"/>
            <color indexed="81"/>
            <rFont val="Tahoma"/>
            <family val="2"/>
          </rPr>
          <t>50 % avdragbara i beskattning, dock inte i Moms-beskattning.</t>
        </r>
      </text>
    </comment>
    <comment ref="F114" authorId="1" shapeId="0" xr:uid="{E75EF59F-7AC9-4CCA-96C9-BBA04DE6D815}">
      <text>
        <r>
          <rPr>
            <sz val="10"/>
            <color indexed="81"/>
            <rFont val="Tahoma"/>
            <family val="2"/>
          </rPr>
          <t>Är inte representationskostnader.</t>
        </r>
      </text>
    </comment>
    <comment ref="F115" authorId="1" shapeId="0" xr:uid="{D906F258-9705-4509-99DE-EBEB5F55B8A5}">
      <text>
        <r>
          <rPr>
            <sz val="10"/>
            <color indexed="81"/>
            <rFont val="Tahoma"/>
            <family val="2"/>
          </rPr>
          <t xml:space="preserve">Betyder anskaffnings- och brukskostnader av naturaförmånsbilar o.d. fordon, vilka inte är i affärsbruk. Sådana kostnader är inte avdragbara i Moms-beskattning. </t>
        </r>
      </text>
    </comment>
    <comment ref="F118" authorId="2" shapeId="0" xr:uid="{8E654F3A-2976-46E5-9524-690F4DF84F41}">
      <text>
        <r>
          <rPr>
            <sz val="10"/>
            <color indexed="81"/>
            <rFont val="Tahoma"/>
            <family val="2"/>
          </rPr>
          <t>Försök inte skriva! Siffran i cellen blir färdig automatiskt senare.</t>
        </r>
      </text>
    </comment>
    <comment ref="F120" authorId="1" shapeId="0" xr:uid="{1DAA5A3D-8D26-4185-84BD-5D7686CFF205}">
      <text>
        <r>
          <rPr>
            <sz val="10"/>
            <color indexed="81"/>
            <rFont val="Tahoma"/>
            <family val="2"/>
          </rPr>
          <t xml:space="preserve">Berättar driftskapitalets behov per månad. </t>
        </r>
      </text>
    </comment>
    <comment ref="F123" authorId="1" shapeId="0" xr:uid="{07C6287A-500C-464B-B2BC-9A8038C616EA}">
      <text>
        <r>
          <rPr>
            <sz val="10"/>
            <color indexed="81"/>
            <rFont val="Tahoma"/>
            <family val="2"/>
          </rPr>
          <t>Siffrorna i cellerna förflyttas från tabell 
FS2 Försäljningsprognos!</t>
        </r>
      </text>
    </comment>
    <comment ref="D124" authorId="1" shapeId="0" xr:uid="{AF2ABE9D-234B-41EB-BDD4-C921C8CA41AE}">
      <text>
        <r>
          <rPr>
            <sz val="10"/>
            <color indexed="81"/>
            <rFont val="Tahoma"/>
            <family val="2"/>
          </rPr>
          <t>Denna rad berättar om hur väl pengarna räcker till affärsverksamhetens utgifter.</t>
        </r>
      </text>
    </comment>
    <comment ref="F125" authorId="1" shapeId="0" xr:uid="{26ADA2AD-CEA1-4B61-ABE1-0E481D04925F}">
      <text>
        <r>
          <rPr>
            <sz val="10"/>
            <color indexed="81"/>
            <rFont val="Tahoma"/>
            <family val="2"/>
          </rPr>
          <t>Detta procenttal berättar, hur mycket försäljningen kan förnedra sig (positivt tal) eller måste bestiga (negativt tal), so att alla kostnaderna är betäckta. Siffrorna i cellerna förflyttas från tabell 
FS2 Försäljningsprognos!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Henri Järvinen</author>
    <author>Företagstolken</author>
    <author>Jadelcons</author>
  </authors>
  <commentList>
    <comment ref="K3" authorId="0" shapeId="0" xr:uid="{00000000-0006-0000-0A00-000001000000}">
      <text>
        <r>
          <rPr>
            <b/>
            <sz val="10"/>
            <color indexed="81"/>
            <rFont val="Tahoma"/>
            <family val="2"/>
          </rPr>
          <t xml:space="preserve">Ifyllandsdirektiv
</t>
        </r>
        <r>
          <rPr>
            <sz val="10"/>
            <color indexed="81"/>
            <rFont val="Tahoma"/>
            <family val="2"/>
          </rPr>
          <t>- Fyll i ljus blåa cellerna.
- Priserna i euro utan mervärdesskatt.
- Prestationsfakturering och materialförsäljning kalkyleras 
  separat.
- Välj rätta Moms - procent!
- Kom ihåg att höja priserna ärligen!
- Observera även cellerna till höger.
- I utrymmet till höger kan du göra anteckningar.
- Du kan förflytta dig från tabell till tabell via piltangent eller via 
  tabellväljarna nere.</t>
        </r>
      </text>
    </comment>
    <comment ref="N3" authorId="0" shapeId="0" xr:uid="{C61B75CB-CCCF-4DFE-8DB9-5C7EBCB19B7C}">
      <text>
        <r>
          <rPr>
            <b/>
            <sz val="10"/>
            <color indexed="81"/>
            <rFont val="Tahoma"/>
            <family val="2"/>
          </rPr>
          <t xml:space="preserve">Bilaga för finansiär: 
</t>
        </r>
        <r>
          <rPr>
            <sz val="10"/>
            <color indexed="81"/>
            <rFont val="Tahoma"/>
            <family val="2"/>
          </rPr>
          <t>- Om produkter finns 1 - 5, mata ut sidan 1
- Om produkter finns 1 - 11, mata ut sidorna 1 - 2
- Om produkter finns 1 - 17, mata ut sidorna 1 - 3</t>
        </r>
      </text>
    </comment>
    <comment ref="C15" authorId="1" shapeId="0" xr:uid="{CC75A68E-EEE2-4BC1-A958-B8AE428EF1F3}">
      <text>
        <r>
          <rPr>
            <sz val="10"/>
            <color indexed="81"/>
            <rFont val="Tahoma"/>
            <family val="2"/>
          </rPr>
          <t xml:space="preserve">Skriv här momsprocenten, som uppbärs om försäljning av produkter och tjänster. 
</t>
        </r>
        <r>
          <rPr>
            <b/>
            <sz val="10"/>
            <color indexed="81"/>
            <rFont val="Tahoma"/>
            <family val="2"/>
          </rPr>
          <t xml:space="preserve">Mervärdesskattprocent </t>
        </r>
        <r>
          <rPr>
            <sz val="10"/>
            <color indexed="81"/>
            <rFont val="Tahoma"/>
            <family val="2"/>
          </rPr>
          <t xml:space="preserve">
- 24 % allmän 
- 10 % inkvartering, motion, tidningar, persontransport, böcker, 
  e-publikationer 
- 14 % restaurangmat, livsmedel och foder
- 0 %, om företagets bransch hälso- eller och socialvård, finans-
  och försäkringstjänster
- 0 %, om företagets årsomsättning är under 15 000 Euro.
</t>
        </r>
      </text>
    </comment>
    <comment ref="C18" authorId="1" shapeId="0" xr:uid="{C1D7D39A-75F5-43A8-8FAD-E903418FFB76}">
      <text>
        <r>
          <rPr>
            <sz val="10"/>
            <color indexed="81"/>
            <rFont val="Tahoma"/>
            <family val="2"/>
          </rPr>
          <t>En finsk anställd arbetar cirka 1775 timmar om året, men sällan kan alla timmar faktureras. Rätt mängd kan vara 1300 timmar.</t>
        </r>
      </text>
    </comment>
    <comment ref="C45" authorId="1" shapeId="0" xr:uid="{F726572F-4522-4890-9E34-B182AD43BD3B}">
      <text>
        <r>
          <rPr>
            <sz val="10"/>
            <color indexed="81"/>
            <rFont val="Tahoma"/>
            <family val="2"/>
          </rPr>
          <t>Försäljningsbidrag för inköpta materialen eller tjänster.</t>
        </r>
      </text>
    </comment>
    <comment ref="C114" authorId="2" shapeId="0" xr:uid="{649C1AF9-3A0D-4EFA-BA9B-3B29CBDEE3E5}">
      <text>
        <r>
          <rPr>
            <sz val="10"/>
            <color indexed="81"/>
            <rFont val="Tahoma"/>
            <family val="2"/>
          </rPr>
          <t xml:space="preserve">Skriv här momsprocenten, som uppbärs om försäljning av produkter och tjänster. 
</t>
        </r>
        <r>
          <rPr>
            <b/>
            <sz val="10"/>
            <color indexed="81"/>
            <rFont val="Tahoma"/>
            <family val="2"/>
          </rPr>
          <t xml:space="preserve">
Mervärdesskattprocent </t>
        </r>
        <r>
          <rPr>
            <sz val="10"/>
            <color indexed="81"/>
            <rFont val="Tahoma"/>
            <family val="2"/>
          </rPr>
          <t xml:space="preserve">
- 24 % allmän 
- 10 % inkvartering, motion, tidningar, persontransport, böcker, 
  e-publikationer 
- 14 % restaurangmat, livsmedel och foder
- 0 %, om företagets bransch hälso- eller och socialvård, finans-
  och försäkringstjänster
- 0 %, om företagets årsomsättning är under 15 000 Euro.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Henri Järvinen</author>
    <author>Ari Järvinen</author>
    <author>Företagstolken</author>
    <author>Jadelcons</author>
    <author>Yritystulkki</author>
  </authors>
  <commentList>
    <comment ref="N3" authorId="0" shapeId="0" xr:uid="{231D06DA-9062-417F-974D-8BCB4F7064D3}">
      <text>
        <r>
          <rPr>
            <b/>
            <sz val="10"/>
            <color indexed="81"/>
            <rFont val="Tahoma"/>
            <family val="2"/>
          </rPr>
          <t xml:space="preserve">Fyll i ljus blåa cellerna
1. BÖRJA MED ATT UPPSKATTA PENNINGBEHOVET OCH 
    PENNINGKÄLLORNA.  
</t>
        </r>
        <r>
          <rPr>
            <sz val="10"/>
            <color indexed="81"/>
            <rFont val="Tahoma"/>
            <family val="2"/>
          </rPr>
          <t xml:space="preserve"> - Först PENNINGBEHOVET (vänstra sidan av tabellen).
 - Sedan FINANSIERING 
 - </t>
        </r>
        <r>
          <rPr>
            <b/>
            <sz val="10"/>
            <color indexed="81"/>
            <rFont val="Tahoma"/>
            <family val="2"/>
          </rPr>
          <t>FINANSIERING</t>
        </r>
        <r>
          <rPr>
            <sz val="10"/>
            <color indexed="81"/>
            <rFont val="Tahoma"/>
            <family val="2"/>
          </rPr>
          <t xml:space="preserve"> berättar, hur företagsprojektet finansieras.
 - Slutsummorna på vänstra och högra sidan bör vara lika stora.
 - Om inte, korrigera differensen i kassan = punkt 6. Driftskapital.
 - Investeringssummorna, där </t>
        </r>
        <r>
          <rPr>
            <b/>
            <sz val="10"/>
            <color indexed="81"/>
            <rFont val="Tahoma"/>
            <family val="2"/>
          </rPr>
          <t>mervärdesskatten har beaktats.</t>
        </r>
        <r>
          <rPr>
            <sz val="10"/>
            <color indexed="81"/>
            <rFont val="Tahoma"/>
            <family val="2"/>
          </rPr>
          <t xml:space="preserve">
 - Det är förnuftigt ar reservera driftskapital överskattade. Det finns 
   alltid möjligt för extra amortering av lånet, men mycket svårare
   att lyfta extra lån. </t>
        </r>
        <r>
          <rPr>
            <b/>
            <sz val="10"/>
            <color indexed="81"/>
            <rFont val="Tahoma"/>
            <family val="2"/>
          </rPr>
          <t xml:space="preserve">
 2. RESULTATSKALKYL
</t>
        </r>
        <r>
          <rPr>
            <sz val="10"/>
            <color indexed="81"/>
            <rFont val="Tahoma"/>
            <family val="2"/>
          </rPr>
          <t xml:space="preserve">- Berättar företagets lönsamhet.
- Observera företagets förmåga att återbetala lånen. 
  </t>
        </r>
        <r>
          <rPr>
            <b/>
            <sz val="10"/>
            <color indexed="81"/>
            <rFont val="Tahoma"/>
            <family val="2"/>
          </rPr>
          <t>Punkt 11. Finansieringsresultat måste vara större än
  punkt 15.Lånamorteringar och avbetalningsrater slgt.</t>
        </r>
        <r>
          <rPr>
            <sz val="10"/>
            <color indexed="81"/>
            <rFont val="Tahoma"/>
            <family val="2"/>
          </rPr>
          <t xml:space="preserve">
</t>
        </r>
        <r>
          <rPr>
            <b/>
            <sz val="10"/>
            <color indexed="81"/>
            <rFont val="Tahoma"/>
            <family val="2"/>
          </rPr>
          <t xml:space="preserve">
 3. ANALYSERING 
 </t>
        </r>
        <r>
          <rPr>
            <sz val="10"/>
            <color indexed="81"/>
            <rFont val="Tahoma"/>
            <family val="2"/>
          </rPr>
          <t xml:space="preserve">På nedra kanten av sidan finns RISKANALYS och 
 BRANSCHJÄMFÖRELSE.  </t>
        </r>
      </text>
    </comment>
    <comment ref="Q3" authorId="0" shapeId="0" xr:uid="{EFAB02B2-3408-4139-AB93-AFFE46417A15}">
      <text>
        <r>
          <rPr>
            <b/>
            <sz val="10"/>
            <color indexed="81"/>
            <rFont val="Tahoma"/>
            <family val="2"/>
          </rPr>
          <t>Bilaga för finansiär: 
Mata ut sidorna 1 - 2.</t>
        </r>
        <r>
          <rPr>
            <sz val="10"/>
            <color indexed="81"/>
            <rFont val="Tahoma"/>
            <family val="2"/>
          </rPr>
          <t xml:space="preserve"> </t>
        </r>
      </text>
    </comment>
    <comment ref="B9" authorId="1" shapeId="0" xr:uid="{8B2CB410-8194-4C42-8ABB-5D69D252D792}">
      <text>
        <r>
          <rPr>
            <sz val="10"/>
            <color indexed="81"/>
            <rFont val="Tahoma"/>
            <family val="2"/>
          </rPr>
          <t>Företagets namn skrivs på tabell FS1 Kostnader.</t>
        </r>
      </text>
    </comment>
    <comment ref="E17" authorId="2" shapeId="0" xr:uid="{C29F56FE-1672-4CAF-9E11-4B60435F4E20}">
      <text>
        <r>
          <rPr>
            <sz val="10"/>
            <color indexed="81"/>
            <rFont val="Tahoma"/>
            <family val="2"/>
          </rPr>
          <t>Avskrivningsfria anskaffningar, t.ex. tomtmark, elanslutning, vattenanslutning.</t>
        </r>
      </text>
    </comment>
    <comment ref="E18" authorId="2" shapeId="0" xr:uid="{8C3666F7-52FD-4815-A745-E5E57C46DC4B}">
      <text>
        <r>
          <rPr>
            <sz val="10"/>
            <color indexed="81"/>
            <rFont val="Tahoma"/>
            <family val="2"/>
          </rPr>
          <t>Avser gammal fastighet, vars inköp inte berättigar till mervärdeskatteavdrag.</t>
        </r>
      </text>
    </comment>
    <comment ref="H18" authorId="2" shapeId="0" xr:uid="{616E6943-FF88-4F72-A468-B8268D9B4E3B}">
      <text>
        <r>
          <rPr>
            <sz val="10"/>
            <color indexed="81"/>
            <rFont val="Tahoma"/>
            <family val="2"/>
          </rPr>
          <t xml:space="preserve">Finnveras ränta för nyföretaget från 3,5 %. Räntans storlek beror på säkerhet och risker. </t>
        </r>
      </text>
    </comment>
    <comment ref="I18" authorId="2" shapeId="0" xr:uid="{6BE7D088-C7F6-45FF-97C5-4BFA806F341B}">
      <text>
        <r>
          <rPr>
            <sz val="10"/>
            <color indexed="81"/>
            <rFont val="Tahoma"/>
            <family val="2"/>
          </rPr>
          <t>Fria år från avkortningar. Antalet år antecknas i denna cell och de kan uppgå till högst 2. Vi rekommenderar högst ett år.</t>
        </r>
      </text>
    </comment>
    <comment ref="J18" authorId="2" shapeId="0" xr:uid="{44BFD9FF-F634-4176-8249-EA793E958426}">
      <text>
        <r>
          <rPr>
            <sz val="10"/>
            <color indexed="81"/>
            <rFont val="Tahoma"/>
            <family val="2"/>
          </rPr>
          <t>Den totala lånetiden antecknas i denna cell och måste vara min. 3 år.</t>
        </r>
      </text>
    </comment>
    <comment ref="K18" authorId="2" shapeId="0" xr:uid="{4815412D-1112-47BD-A927-6441C693F875}">
      <text>
        <r>
          <rPr>
            <sz val="10"/>
            <color indexed="81"/>
            <rFont val="Tahoma"/>
            <family val="2"/>
          </rPr>
          <t>Kapital minst 50 000 euro.</t>
        </r>
      </text>
    </comment>
    <comment ref="E19" authorId="2" shapeId="0" xr:uid="{E3B61931-BAB5-450A-900E-7D90EB7E2BC3}">
      <text>
        <r>
          <rPr>
            <sz val="10"/>
            <color indexed="81"/>
            <rFont val="Tahoma"/>
            <family val="2"/>
          </rPr>
          <t>Avser gammal eller ny fastighet, från vars inköp eller renovering  mervärdesskatt kan avdrags.</t>
        </r>
      </text>
    </comment>
    <comment ref="H19" authorId="2" shapeId="0" xr:uid="{65137906-E2D3-459F-A716-59373A0ACDBC}">
      <text>
        <r>
          <rPr>
            <sz val="10"/>
            <color indexed="81"/>
            <rFont val="Tahoma"/>
            <family val="2"/>
          </rPr>
          <t xml:space="preserve">Bankens ränta för nyföretag 2,5 - 4,5 %. Räntans storlek beror på säkerhet och risker. </t>
        </r>
      </text>
    </comment>
    <comment ref="I19" authorId="2" shapeId="0" xr:uid="{91D9BD3F-85BC-4E61-8BD0-168FF3A7F054}">
      <text>
        <r>
          <rPr>
            <sz val="10"/>
            <color indexed="81"/>
            <rFont val="Tahoma"/>
            <family val="2"/>
          </rPr>
          <t>Fria år från avkortningar. Antalet år antecknas i denna cell och de kan uppgå till högst 2. Vi rekommenderar högst ett år.</t>
        </r>
      </text>
    </comment>
    <comment ref="J19" authorId="2" shapeId="0" xr:uid="{B3267BE2-491F-4952-AD6B-AE33AC040D29}">
      <text>
        <r>
          <rPr>
            <sz val="10"/>
            <color indexed="81"/>
            <rFont val="Tahoma"/>
            <family val="2"/>
          </rPr>
          <t>Den totala lånetiden antecknas i denna cell och måste vara min. 3 år.</t>
        </r>
      </text>
    </comment>
    <comment ref="I20" authorId="2" shapeId="0" xr:uid="{21070B90-904E-40EA-8CD3-BDC972BC9870}">
      <text>
        <r>
          <rPr>
            <sz val="10"/>
            <color indexed="81"/>
            <rFont val="Tahoma"/>
            <family val="2"/>
          </rPr>
          <t>Fria år från avkortningar. Antalet år antecknas i denna cell och de kan uppgå till högst 2. Vi rekommenderar högst ett år.</t>
        </r>
      </text>
    </comment>
    <comment ref="J20" authorId="2" shapeId="0" xr:uid="{2C01A803-7E91-412F-9B21-E1EF4876753D}">
      <text>
        <r>
          <rPr>
            <sz val="10"/>
            <color indexed="81"/>
            <rFont val="Tahoma"/>
            <family val="2"/>
          </rPr>
          <t>Den totala lånetiden antecknas i denna cell och måste vara min. 3 år.</t>
        </r>
      </text>
    </comment>
    <comment ref="B21" authorId="2" shapeId="0" xr:uid="{EC09F728-04B2-4E96-A856-5D8F87CE5007}">
      <text>
        <r>
          <rPr>
            <sz val="10"/>
            <color indexed="81"/>
            <rFont val="Tahoma"/>
            <family val="2"/>
          </rPr>
          <t>Investeringar, vilka innehåller avdragbar Moms. T.ex. maskiner och inventarier samt övriga avskrivningsbara långvariga anskaffningar (mm. Adb-system, patenten, produktionsrättigheter).  
Skriv Moms 0 %-anskaffningar nedre i punkt 
"- skattefria anskaffning., affärsvärde".</t>
        </r>
      </text>
    </comment>
    <comment ref="D21" authorId="2" shapeId="0" xr:uid="{022327E2-20EB-4398-B8C5-4F21926455FD}">
      <text>
        <r>
          <rPr>
            <sz val="10"/>
            <color indexed="81"/>
            <rFont val="Tahoma"/>
            <family val="2"/>
          </rPr>
          <t>Bidrag för investeringar beviljas vanligen inte till transport-, handels-, entreprenörs- och byggnadsbranscher. Kontrollera från NTM-centralen. Bidrag beviljas av Moms 0 %-priset.</t>
        </r>
      </text>
    </comment>
    <comment ref="I21" authorId="3" shapeId="0" xr:uid="{B80CFF0C-CD1A-4FB2-BCD4-75F92AB186C5}">
      <text>
        <r>
          <rPr>
            <sz val="10"/>
            <color indexed="81"/>
            <rFont val="Tahoma"/>
            <family val="2"/>
          </rPr>
          <t>Avbetalningens och leasingens  betalningstid är 2 - 5 år!</t>
        </r>
      </text>
    </comment>
    <comment ref="K21" authorId="4" shapeId="0" xr:uid="{47BD30A5-6534-46A1-82E2-7EB9DA6BD72F}">
      <text>
        <r>
          <rPr>
            <sz val="10"/>
            <color indexed="81"/>
            <rFont val="Tahoma"/>
            <family val="2"/>
          </rPr>
          <t>Med leasing kan man finansiera ca.80 % av investeringens värde. Återbäring av mervärdesskatt fås månatligen i efterhand. NTM-centralens bidrag fås i efterhand av de betalda avkortningar, men högst under 3 års tid. Läs mera Företagstolken punkt 3.10 Leasingens kostnader.</t>
        </r>
      </text>
    </comment>
    <comment ref="I22" authorId="3" shapeId="0" xr:uid="{B5A90607-D78C-4B43-A72D-4C377E48224F}">
      <text>
        <r>
          <rPr>
            <sz val="10"/>
            <color indexed="81"/>
            <rFont val="Tahoma"/>
            <family val="2"/>
          </rPr>
          <t>Avbetalningens och leasingens  betalningstid är 2 - 5 år!</t>
        </r>
      </text>
    </comment>
    <comment ref="K22" authorId="2" shapeId="0" xr:uid="{23B203B1-D526-43A0-B013-2177CC0AC337}">
      <text>
        <r>
          <rPr>
            <sz val="10"/>
            <color indexed="81"/>
            <rFont val="Tahoma"/>
            <family val="2"/>
          </rPr>
          <t>Med avbetalning kan man finansiera högst 80 % av investeringens värde. Återbärning av mervärdesskatt fås genast och NTM-centralens bidrag fås genast efter investeringens färdigställande.</t>
        </r>
      </text>
    </comment>
    <comment ref="E24" authorId="2" shapeId="0" xr:uid="{9137F222-8E88-4C48-9DC3-46B54AA6B9C2}">
      <text>
        <r>
          <rPr>
            <sz val="10"/>
            <color indexed="81"/>
            <rFont val="Tahoma"/>
            <family val="2"/>
          </rPr>
          <t xml:space="preserve">Avses handelsvaror, som har köpt vid förvärv av affärsverksamheten. Handelsvarorna utan mervärdesskatt. </t>
        </r>
      </text>
    </comment>
    <comment ref="K24" authorId="2" shapeId="0" xr:uid="{29DCFF1F-4493-48B6-95AC-149488589FCD}">
      <text>
        <r>
          <rPr>
            <sz val="10"/>
            <color indexed="81"/>
            <rFont val="Tahoma"/>
            <family val="2"/>
          </rPr>
          <t>Bidrag kan betalas till investeringen, som inte innehåller Moms. OM LEASINGFINANSIERING ANVÄNDS, ÄR BELOPPET INDIKATIVT!</t>
        </r>
      </text>
    </comment>
    <comment ref="E25" authorId="2" shapeId="0" xr:uid="{EBA83CE7-E758-4EC0-BE42-9538F5ED6D10}">
      <text>
        <r>
          <rPr>
            <sz val="10"/>
            <color indexed="81"/>
            <rFont val="Tahoma"/>
            <family val="2"/>
          </rPr>
          <t>Avses varor, som man har köpt i förhand före öppnandet av affären.</t>
        </r>
      </text>
    </comment>
    <comment ref="E26" authorId="2" shapeId="0" xr:uid="{B6AB8E24-6F96-4B12-9E7E-C4A5872827FE}">
      <text>
        <r>
          <rPr>
            <sz val="10"/>
            <color indexed="81"/>
            <rFont val="Tahoma"/>
            <family val="2"/>
          </rPr>
          <t>Här antecknas anskaffningar, av vilka man inte får återbäring av mervärdesskatt. T.ex. 
- ett företag inom omvårdnadssektorn 
- affärsvärde (goodwill) vid företagsförvärv
- maskiner och inventarier vid förvärv av
  affärsverksamheten
- anskaffningar av privata personer
- anskaffningar av utomlands</t>
        </r>
      </text>
    </comment>
    <comment ref="K27" authorId="2" shapeId="0" xr:uid="{2BC19600-7687-4D4F-98EF-1F58B58D3119}">
      <text>
        <r>
          <rPr>
            <sz val="10"/>
            <color indexed="81"/>
            <rFont val="Tahoma"/>
            <family val="2"/>
          </rPr>
          <t xml:space="preserve">Moms-återbäring kalkyleras från posterna
- 1.  Lokaliteter / inköp/byggande av fastigheter
- 2. Maskiner och inventarier
- 3. Immateriella investeringar
Av bidragen minskas leasingfinansieringens andel. Återbäring fås 2 månader efter anskaffningen. </t>
        </r>
      </text>
    </comment>
    <comment ref="B28" authorId="2" shapeId="0" xr:uid="{1D16B5B1-1CAA-4212-A30F-198C3798CD0D}">
      <text>
        <r>
          <rPr>
            <sz val="10"/>
            <color indexed="81"/>
            <rFont val="Tahoma"/>
            <family val="2"/>
          </rPr>
          <t xml:space="preserve">Här antecknas övriga kortvariga anskaffningar inkl. Moms, vilka </t>
        </r>
        <r>
          <rPr>
            <b/>
            <sz val="10"/>
            <color indexed="81"/>
            <rFont val="Tahoma"/>
            <family val="2"/>
          </rPr>
          <t>minskas som kostnad inom ett år</t>
        </r>
        <r>
          <rPr>
            <sz val="10"/>
            <color indexed="81"/>
            <rFont val="Tahoma"/>
            <family val="2"/>
          </rPr>
          <t xml:space="preserve"> (ingen avskrivning). T.ex.
- marknadsföringsinvesteringar (logo, websidor, licens) 
- produktskydd kostnader
- expertarvoden (utformning av kontrakt etc.) 
- reparation av affärslokaler (renovering till punkt 1.
  Lokaliteter/inköp / byggande av fastigheter)</t>
        </r>
      </text>
    </comment>
    <comment ref="K29" authorId="2" shapeId="0" xr:uid="{DEA2BFBF-0AC7-4394-BFDF-EEC5AB3E8802}">
      <text>
        <r>
          <rPr>
            <sz val="10"/>
            <color indexed="81"/>
            <rFont val="Tahoma"/>
            <family val="2"/>
          </rPr>
          <t>För att få projektet lyckas bra, borde andel av egen finansiering vara 20 % av det totala finansieringsbehovet.</t>
        </r>
      </text>
    </comment>
    <comment ref="E30" authorId="2" shapeId="0" xr:uid="{8DF7F5F2-CA62-4C11-BF61-39101AE055E8}">
      <text>
        <r>
          <rPr>
            <sz val="10"/>
            <color indexed="81"/>
            <rFont val="Tahoma"/>
            <family val="2"/>
          </rPr>
          <t xml:space="preserve">Kostnader av företagets grundandet dvs. registreringsavgifter. </t>
        </r>
        <r>
          <rPr>
            <b/>
            <sz val="10"/>
            <color indexed="81"/>
            <rFont val="Tahoma"/>
            <family val="2"/>
          </rPr>
          <t>Registreringsavgifter:</t>
        </r>
        <r>
          <rPr>
            <sz val="10"/>
            <color indexed="81"/>
            <rFont val="Tahoma"/>
            <family val="2"/>
          </rPr>
          <t xml:space="preserve">
- aktiebolag 275 €
- enskild näringsidkare, firma 60 €
- öppet- och kommanditbolag 240 €  
</t>
        </r>
        <r>
          <rPr>
            <b/>
            <sz val="10"/>
            <color indexed="81"/>
            <rFont val="Tahoma"/>
            <family val="2"/>
          </rPr>
          <t>Företagsbilar köpta för privat bruk (naturaförmånsbil)</t>
        </r>
        <r>
          <rPr>
            <sz val="10"/>
            <color indexed="81"/>
            <rFont val="Tahoma"/>
            <family val="2"/>
          </rPr>
          <t xml:space="preserve">
Bilar köpt med leasing eller avbetalning, kostnader på punkt 25. Fordonskostnader (fordonen i privatbruk, naturaförmån), tabekk FS1 Kostnader
</t>
        </r>
        <r>
          <rPr>
            <b/>
            <sz val="10"/>
            <color indexed="81"/>
            <rFont val="Tahoma"/>
            <family val="2"/>
          </rPr>
          <t>Här antecknas immateriella och utvecklingsinvesteringar för Moms
0 %-företagen</t>
        </r>
        <r>
          <rPr>
            <sz val="10"/>
            <color indexed="81"/>
            <rFont val="Tahoma"/>
            <family val="2"/>
          </rPr>
          <t xml:space="preserve"> (hälso- och socialvård, försäkrings- och finansieringsbransch och företagen omsättning under 15 000 €).</t>
        </r>
      </text>
    </comment>
    <comment ref="F30" authorId="2" shapeId="0" xr:uid="{5553914B-2062-41D0-8330-30B89B225125}">
      <text>
        <r>
          <rPr>
            <sz val="10"/>
            <color indexed="81"/>
            <rFont val="Tahoma"/>
            <family val="2"/>
          </rPr>
          <t>Företagarlånet är ett personligt lån för företagaren. Med företagarlån är det möjligt att finansiera
- Placeringar i ett aktiebolags aktiekapital och/eller 
  placeringar i investerat fritt eget kapitals fond 
  (SVOP).
- Bolagsinsatser i öppna bolag eller kommanditbolag.
- Inköp av aktier i redan verksamma företag.
- Lånets kapital 10 000 - 100 000 euro.</t>
        </r>
      </text>
    </comment>
    <comment ref="E32" authorId="2" shapeId="0" xr:uid="{15063FE4-877B-48E5-B1B0-5D7CB82EE427}">
      <text>
        <r>
          <rPr>
            <sz val="10"/>
            <color indexed="81"/>
            <rFont val="Tahoma"/>
            <family val="2"/>
          </rPr>
          <t>Driftskapital = Kassamedlen, pengar i kassan. Behovet av driftskapital beror på driftskostnader samt fluktuation av försäljningen och inköpen.
Rörelsekapitalkravet för nybörjande företag minst:  
- industri och produktion 10 000 - 60 000 €/person 
  (vid företagsförvärv 4 000 - 20 000 €/person).
- byggande 15 000 - 50 000 €/person 
  (vid företagsförvärv 5 000 - 18 000 €/person) 
- parti- och detaljhandel ca.20 % av omsättning
- tjänster för företag 15 000 - 30 000 €/person
Det finns stora branschvariationer. För riktnings-information, se fliken Branschinformation. I början är rörelsekapitalkravet är 2-3 gånger större än för aktivt företag.</t>
        </r>
      </text>
    </comment>
    <comment ref="E35" authorId="2" shapeId="0" xr:uid="{D0E1F005-E5D3-4F9F-9B5D-4E41185FA12E}">
      <text>
        <r>
          <rPr>
            <sz val="10"/>
            <color indexed="81"/>
            <rFont val="Tahoma"/>
            <family val="2"/>
          </rPr>
          <t>Slutsummorna på vänstra och högra sidan bör vara lika stora. Om summan är negativ, finns det "för mycket" pengar, som fogas till punkt 6. Driftskapital.</t>
        </r>
      </text>
    </comment>
    <comment ref="K35" authorId="2" shapeId="0" xr:uid="{B0C3B0F3-3D0E-42EE-A2A2-504BE3B42610}">
      <text>
        <r>
          <rPr>
            <sz val="10"/>
            <color indexed="81"/>
            <rFont val="Tahoma"/>
            <family val="2"/>
          </rPr>
          <t xml:space="preserve">Bidrag och återbäring av mervärdesskatt erhålls i efterhand. Om summan är stor, är man tvungen att ordna med tillfällig finansiering. T.ex. konto med kredit.
</t>
        </r>
        <r>
          <rPr>
            <b/>
            <sz val="10"/>
            <color indexed="81"/>
            <rFont val="Tahoma"/>
            <family val="2"/>
          </rPr>
          <t>Var också beredd för det, att inte något bidrag erhålls.</t>
        </r>
      </text>
    </comment>
    <comment ref="F45" authorId="1" shapeId="0" xr:uid="{14DEC65B-F68E-45F6-917D-B8791F6D8641}">
      <text>
        <r>
          <rPr>
            <sz val="10"/>
            <color indexed="81"/>
            <rFont val="Tahoma"/>
            <family val="2"/>
          </rPr>
          <t>Under 1. året betjänas kalkylmässiga semesterlöner, varför personalkostnaderna är större än 2. årets kostnad.</t>
        </r>
      </text>
    </comment>
    <comment ref="F51" authorId="2" shapeId="0" xr:uid="{147485C3-AD01-40A6-A43C-4FA38610657F}">
      <text>
        <r>
          <rPr>
            <sz val="10"/>
            <color indexed="81"/>
            <rFont val="Tahoma"/>
            <family val="2"/>
          </rPr>
          <t xml:space="preserve">Skatten beräknas enligt procenten under. 50 % av representationskostnaderna är avdragbara i beskattning. </t>
        </r>
      </text>
    </comment>
    <comment ref="F55" authorId="4" shapeId="0" xr:uid="{7A790526-1616-4182-AFC8-6DE5012AC973}">
      <text>
        <r>
          <rPr>
            <sz val="10"/>
            <color indexed="81"/>
            <rFont val="Tahoma"/>
            <family val="2"/>
          </rPr>
          <t xml:space="preserve"> - Produktions- och förrådsbyggnader, butiker, 
   maximiavskrivning 7 %, ca.15 år
 - Bostads-, kontors- och dylika byggnader, 
   maximiavskrivning  4 %, ca.25 år
 - Behållaren, lätta anläggningar mm. 20 %</t>
        </r>
      </text>
    </comment>
    <comment ref="F56" authorId="4" shapeId="0" xr:uid="{F6246EBE-4BF8-408E-B5AD-2E618A587C23}">
      <text>
        <r>
          <rPr>
            <sz val="10"/>
            <color indexed="81"/>
            <rFont val="Tahoma"/>
            <family val="2"/>
          </rPr>
          <t xml:space="preserve"> - maximiavskrivning 25 %
 - vi rekommenderar avskrivning enligt 
   ekonomisk drifttid, som vanligen är 5 - 10 år</t>
        </r>
      </text>
    </comment>
    <comment ref="F95" authorId="2" shapeId="0" xr:uid="{5F7CB513-88E5-422D-B005-2B8464EACB42}">
      <text>
        <r>
          <rPr>
            <sz val="10"/>
            <color indexed="81"/>
            <rFont val="Tahoma"/>
            <family val="2"/>
          </rPr>
          <t>Välj numret av tabellen "Ekonomiska parametrar".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<sst xmlns="http://schemas.openxmlformats.org/spreadsheetml/2006/main" count="2380" uniqueCount="876">
  <si>
    <t xml:space="preserve"> </t>
  </si>
  <si>
    <t>1. VUOSI</t>
  </si>
  <si>
    <t xml:space="preserve">2. VUOSI </t>
  </si>
  <si>
    <t>TULOVERON MÄÄRÄ ENNUSTEEN MUKAISELLA MYYNNILLÄ</t>
  </si>
  <si>
    <t>1.</t>
  </si>
  <si>
    <t>2.</t>
  </si>
  <si>
    <t>3.</t>
  </si>
  <si>
    <t>4.</t>
  </si>
  <si>
    <t>5.</t>
  </si>
  <si>
    <t>6.</t>
  </si>
  <si>
    <t>7.</t>
  </si>
  <si>
    <t>8.</t>
  </si>
  <si>
    <t>9.</t>
  </si>
  <si>
    <t>10.</t>
  </si>
  <si>
    <t>3. VUOSI</t>
  </si>
  <si>
    <t>Kaupan laskelma</t>
  </si>
  <si>
    <t>Teollisuuden laskelma</t>
  </si>
  <si>
    <t xml:space="preserve"> - rakennusten kirjanpitoarvo kauden alussa</t>
  </si>
  <si>
    <t xml:space="preserve"> - rakennusten poistoprosentti</t>
  </si>
  <si>
    <t xml:space="preserve"> - koneiden ja kaluston kirjanpitoarvo kauden alussa</t>
  </si>
  <si>
    <t xml:space="preserve"> - koneiden ja kaluston poistoprosentti</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</si>
  <si>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</si>
  <si>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</si>
  <si>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</si>
  <si>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</si>
  <si>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</si>
  <si>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</si>
  <si>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</si>
  <si>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</si>
  <si>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</si>
  <si>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Finnvera</t>
  </si>
  <si>
    <t>Lainat</t>
  </si>
  <si>
    <t>Laina 1</t>
  </si>
  <si>
    <t>Laina 2</t>
  </si>
  <si>
    <t>KORKOKULUT VUODESSA</t>
  </si>
  <si>
    <t>2. VUOSI</t>
  </si>
  <si>
    <t>1 VAPAAV.</t>
  </si>
  <si>
    <t>2 VAPAAV.</t>
  </si>
  <si>
    <t>EI VAPAATA</t>
  </si>
  <si>
    <t>LAINAN LYHENNYKSET VUODESSA</t>
  </si>
  <si>
    <t>LAINAKULUT VUODESSA</t>
  </si>
  <si>
    <t>LAINAA JÄLJELLÄ KAUDEN LOPUSSA</t>
  </si>
  <si>
    <t>Tuki-%</t>
  </si>
  <si>
    <t>Tuot. 1 - 5</t>
  </si>
  <si>
    <t>Tuot. 1 - 11</t>
  </si>
  <si>
    <t>Tuott. 1 -17</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</si>
  <si>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</si>
  <si>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</si>
  <si>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</si>
  <si>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</si>
  <si>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</si>
  <si>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</si>
  <si>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</si>
  <si>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</si>
  <si>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</si>
  <si>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</si>
  <si>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</si>
  <si>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</si>
  <si>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</si>
  <si>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</si>
  <si>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</si>
  <si>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</si>
  <si>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</si>
  <si>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</si>
  <si>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</si>
  <si>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</si>
  <si>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</si>
  <si>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</si>
  <si>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</si>
  <si>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</si>
  <si>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</si>
  <si>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</si>
  <si>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</si>
  <si>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</si>
  <si>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</si>
  <si>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</si>
  <si>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</si>
  <si>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</si>
  <si>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</si>
  <si>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</si>
  <si>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YHT</t>
  </si>
  <si>
    <t xml:space="preserve"> Muut kiinteät kulut sis. Alv</t>
  </si>
  <si>
    <t xml:space="preserve"> Lehdet</t>
  </si>
  <si>
    <t xml:space="preserve"> Muut jäsenmaksut</t>
  </si>
  <si>
    <t>YEL-YRITTÄJÄT</t>
  </si>
  <si>
    <t>Rahapalkat</t>
  </si>
  <si>
    <t>Luontaisedut</t>
  </si>
  <si>
    <t>Pidätyksen  alaiset palkat</t>
  </si>
  <si>
    <t>Veronpidätys</t>
  </si>
  <si>
    <t>TT-vakuutusmaksupidätys</t>
  </si>
  <si>
    <t>Nettopalkat</t>
  </si>
  <si>
    <t>Tilityksen Verottajalle</t>
  </si>
  <si>
    <t>TYÖNTEKIJÄT</t>
  </si>
  <si>
    <t>TyEL ja TT-maksu työntekijä</t>
  </si>
  <si>
    <t>Nettopalkka</t>
  </si>
  <si>
    <t>ARVONLISÄVERON LASKENTA</t>
  </si>
  <si>
    <t>MYYNNIN ALV</t>
  </si>
  <si>
    <t>ALV %</t>
  </si>
  <si>
    <t xml:space="preserve"> - maksettava alv</t>
  </si>
  <si>
    <t>MYYNNIN ALV YHT.</t>
  </si>
  <si>
    <t>OSTOJEN ALV</t>
  </si>
  <si>
    <t xml:space="preserve"> - vähennettävä alv</t>
  </si>
  <si>
    <t>VÄHENNETTÄVÄ ALV</t>
  </si>
  <si>
    <t>MAKSETTAVA ALV</t>
  </si>
  <si>
    <t xml:space="preserve"> Työterveyshuolto, vap.eht. hlöstökulut</t>
  </si>
  <si>
    <t xml:space="preserve"> Yrittäjän työttömyyskassamaksut</t>
  </si>
  <si>
    <t>Verottomat</t>
  </si>
  <si>
    <t xml:space="preserve"> Yrittäjäyhdistyksen yms. jäsenmaksut</t>
  </si>
  <si>
    <t>Rahoituksen kokonaiskulut</t>
  </si>
  <si>
    <t>3.1</t>
  </si>
  <si>
    <t>3.2</t>
  </si>
  <si>
    <t>3.3</t>
  </si>
  <si>
    <t>3.6</t>
  </si>
  <si>
    <t>3.7</t>
  </si>
  <si>
    <t>3.8</t>
  </si>
  <si>
    <t>3.9</t>
  </si>
  <si>
    <t>3.10</t>
  </si>
  <si>
    <t>3.11</t>
  </si>
  <si>
    <t>3.12</t>
  </si>
  <si>
    <t>3.13</t>
  </si>
  <si>
    <t>3.14</t>
  </si>
  <si>
    <t>3.15</t>
  </si>
  <si>
    <t>3.16</t>
  </si>
  <si>
    <t>3.17</t>
  </si>
  <si>
    <t>3.18</t>
  </si>
  <si>
    <t>3.19</t>
  </si>
  <si>
    <t>3.20</t>
  </si>
  <si>
    <t>3.21</t>
  </si>
  <si>
    <t>1/20XY - 12/20XY</t>
  </si>
  <si>
    <t>Toimiala</t>
  </si>
  <si>
    <t>Leasing-käisttelykul/kk</t>
  </si>
  <si>
    <t>Jäännösarvon korko vuodessa</t>
  </si>
  <si>
    <t>Tilinhoitomaksu/kk</t>
  </si>
  <si>
    <t>3.4</t>
  </si>
  <si>
    <t>3.22</t>
  </si>
  <si>
    <t xml:space="preserve"> Kokous- ja neuvottelukulut</t>
  </si>
  <si>
    <t xml:space="preserve"> Työvaatteet, suojavälineet</t>
  </si>
  <si>
    <t xml:space="preserve"> Toimistotarvikkeet</t>
  </si>
  <si>
    <t xml:space="preserve"> Hallintopalvelut (kirjanpito yms.)</t>
  </si>
  <si>
    <t>Muut kiinteät kulut 23 %</t>
  </si>
  <si>
    <t xml:space="preserve"> Tutkimus- ja tuotekehitys</t>
  </si>
  <si>
    <t xml:space="preserve"> Edustustukulut</t>
  </si>
  <si>
    <t>Muut kiinteät alv 0</t>
  </si>
  <si>
    <t>19.1</t>
  </si>
  <si>
    <t>19.2</t>
  </si>
  <si>
    <t>19.3</t>
  </si>
  <si>
    <t>19.4</t>
  </si>
  <si>
    <t>19.5</t>
  </si>
  <si>
    <t>Poma alv 24 %</t>
  </si>
  <si>
    <t>LOMAPALKKAVELAT</t>
  </si>
  <si>
    <t>Lomapalkat = pidätyksen alaiset palkat</t>
  </si>
  <si>
    <t xml:space="preserve"> - josta lomapalkkavaraus</t>
  </si>
  <si>
    <t>Lomapalkkavelka</t>
  </si>
  <si>
    <t>Laskennallinen sivukuluvelka % lomapakkavelasta</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</si>
  <si>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</si>
  <si>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</si>
  <si>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</si>
  <si>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</si>
  <si>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</si>
  <si>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</si>
  <si>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</si>
  <si>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</si>
  <si>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</si>
  <si>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</si>
  <si>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</si>
  <si>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</si>
  <si>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</si>
  <si>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</si>
  <si>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</si>
  <si>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</si>
  <si>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</si>
  <si>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</si>
  <si>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K1 - TAULUKKO</t>
  </si>
  <si>
    <t>YP1 - TAULUKKO</t>
  </si>
  <si>
    <t>K1</t>
  </si>
  <si>
    <t>YP1</t>
  </si>
  <si>
    <t>Lisätään K3/YP3 rivi 44</t>
  </si>
  <si>
    <t xml:space="preserve"> Taulukosta K1 tai YP1 kohta 8</t>
  </si>
  <si>
    <t>3.24</t>
  </si>
  <si>
    <t>3.25</t>
  </si>
  <si>
    <t>3.23</t>
  </si>
  <si>
    <t>3.26</t>
  </si>
  <si>
    <t>3.5</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</si>
  <si>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</si>
  <si>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</si>
  <si>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</si>
  <si>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</si>
  <si>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</si>
  <si>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</si>
  <si>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</si>
  <si>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</si>
  <si>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</si>
  <si>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</si>
  <si>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</si>
  <si>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</si>
  <si>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</si>
  <si>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</si>
  <si>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</si>
  <si>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</si>
  <si>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</si>
  <si>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</si>
  <si>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</si>
  <si>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</si>
  <si>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</si>
  <si>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</si>
  <si>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</si>
  <si>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</si>
  <si>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</si>
  <si>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</si>
  <si>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</si>
  <si>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</si>
  <si>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</si>
  <si>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</si>
  <si>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</si>
  <si>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</si>
  <si>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</si>
  <si>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</si>
  <si>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</si>
  <si>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</si>
  <si>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</si>
  <si>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</si>
  <si>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</si>
  <si>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</si>
  <si>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</si>
  <si>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</si>
  <si>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Lyhennys kaudella</t>
  </si>
  <si>
    <t>(siirtyy K3 ELY:n kohtaan)</t>
  </si>
  <si>
    <t>(siirtyy YP3 ELY:n kohtaan)</t>
  </si>
  <si>
    <t>Pääoma/kauden loppu</t>
  </si>
  <si>
    <t>Lainat+osam. PO</t>
  </si>
  <si>
    <t>Finnvera+lainat yht. PO kauden lopussa</t>
  </si>
  <si>
    <t>Lyhennykset kaudella</t>
  </si>
  <si>
    <t>Korot kaudella tilik. 6 kk</t>
  </si>
  <si>
    <t>Korot kaudella  yht.</t>
  </si>
  <si>
    <t>LAINAT JA OSAMAKSUT YHTEENSÄ</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</si>
  <si>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</si>
  <si>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</si>
  <si>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</si>
  <si>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</si>
  <si>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</si>
  <si>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</si>
  <si>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Taulukosta K1 tai YP1 kohta 16</t>
  </si>
  <si>
    <t>Tjänsten erbjuds av:</t>
  </si>
  <si>
    <t>Guide</t>
  </si>
  <si>
    <t>KONSUMENTTJÄNSTER</t>
  </si>
  <si>
    <t>K1 VERKSAMHETSKOSTNADER</t>
  </si>
  <si>
    <t>Företagets namn</t>
  </si>
  <si>
    <t>IFYLLNADSDIREKTIV</t>
  </si>
  <si>
    <t>VINK FÖR UTSKRIFT</t>
  </si>
  <si>
    <t>Räkenskapsperiodens längd (månader)</t>
  </si>
  <si>
    <t>FöPL-företagarnas penninglöner under räkenskapsperioden</t>
  </si>
  <si>
    <t xml:space="preserve"> - FöPL-företagarnas naturaförmån / månad</t>
  </si>
  <si>
    <t xml:space="preserve"> - antalet arbetsmånader</t>
  </si>
  <si>
    <t>Låneavkortningar och räntor för företagets lån under räkenskapsperioden</t>
  </si>
  <si>
    <t xml:space="preserve"> - varav räntans andel</t>
  </si>
  <si>
    <t xml:space="preserve"> - lånets kapital i slutet av perioden</t>
  </si>
  <si>
    <t>FÖRETAGETS NETTOAVKASTNINGSMÅLSÄTTNING</t>
  </si>
  <si>
    <t>Avbetalningens årskostnader under räkenskapsperioden</t>
  </si>
  <si>
    <t xml:space="preserve"> - med avbetalning finansieras</t>
  </si>
  <si>
    <t>Penninglönekostnader (ArPL - anställda och ArPL - företagare)</t>
  </si>
  <si>
    <t>Pensionsavgifter under räkenskapsperioden</t>
  </si>
  <si>
    <t xml:space="preserve"> 6.1 Företagarpensionsavgift (FöPL-avgift)</t>
  </si>
  <si>
    <t xml:space="preserve"> - FöPL-betalningsprocent som används i uträkningen</t>
  </si>
  <si>
    <t xml:space="preserve"> - FöPL-betalningens årslön = lönen i punkt 1 (kan förändras)</t>
  </si>
  <si>
    <t xml:space="preserve"> 6.2 ArPL-avgift och övriga pensionsavgifter</t>
  </si>
  <si>
    <t xml:space="preserve"> - ArPL-försäkringens betalningsprocent sammanlagt </t>
  </si>
  <si>
    <t xml:space="preserve"> - frivilliga pensionsavgifter</t>
  </si>
  <si>
    <t>Övriga lönebikostnader under räkenskapsperioden</t>
  </si>
  <si>
    <t xml:space="preserve"> - FöPL-företagarnas arbetslöshetskassa-avgifter </t>
  </si>
  <si>
    <t xml:space="preserve"> - övriga ArPL-personernas personförsäkringsavgifter </t>
  </si>
  <si>
    <t xml:space="preserve"> - utbildning av personal</t>
  </si>
  <si>
    <t xml:space="preserve"> - rekreations- och intresseverksamhet</t>
  </si>
  <si>
    <t xml:space="preserve"> - arbetshälsovård </t>
  </si>
  <si>
    <t xml:space="preserve"> - arbetskläder och skyddsmedel </t>
  </si>
  <si>
    <t xml:space="preserve"> - övriga frivilliga personalkostnader</t>
  </si>
  <si>
    <t>Övriga personalkostnader under räkenskapsperioden</t>
  </si>
  <si>
    <t xml:space="preserve"> - hyror och vederlag</t>
  </si>
  <si>
    <t xml:space="preserve"> - hyra/vederlag i månaden (Euro)</t>
  </si>
  <si>
    <t xml:space="preserve"> - el och gas </t>
  </si>
  <si>
    <t xml:space="preserve"> - vatten och avloppsvatten</t>
  </si>
  <si>
    <t xml:space="preserve"> - värme </t>
  </si>
  <si>
    <t xml:space="preserve"> - städning och rengöring, underhållskostnader för uteområden </t>
  </si>
  <si>
    <t xml:space="preserve"> - avfallsservice</t>
  </si>
  <si>
    <t xml:space="preserve"> - bevakning, låsning, övriga kostnader</t>
  </si>
  <si>
    <t xml:space="preserve"> - värdet på den egendom som skall brandförsäkras</t>
  </si>
  <si>
    <t xml:space="preserve"> - fastighetsskatt</t>
  </si>
  <si>
    <t xml:space="preserve"> Leasingfinansieringens årskostnader under räkenskapsperioden</t>
  </si>
  <si>
    <t xml:space="preserve"> - med leasing finansieras</t>
  </si>
  <si>
    <t xml:space="preserve"> - service och reparationer, däck, utrustning</t>
  </si>
  <si>
    <t xml:space="preserve"> - försäkrings-, besiktnings- och bruksavgifter etc.</t>
  </si>
  <si>
    <t xml:space="preserve"> - övriga maskinkostnader</t>
  </si>
  <si>
    <t>Utgifter för bilar/arbetsmaskiner (affärsbruk) under räkenskapsperioden</t>
  </si>
  <si>
    <t xml:space="preserve"> - apparat- och programhyror (Obs. Leasingkostnaderna i punkt 10)</t>
  </si>
  <si>
    <t xml:space="preserve"> - program och uppdatering </t>
  </si>
  <si>
    <t xml:space="preserve"> - förvärv av ADB-apparater (brukstid &lt; 3 år)</t>
  </si>
  <si>
    <t xml:space="preserve"> - övriga Adb-kostnader </t>
  </si>
  <si>
    <t>Kostnader av ADB-apparater och -program under räkenskapsperioden</t>
  </si>
  <si>
    <t xml:space="preserve"> - service och reparationer</t>
  </si>
  <si>
    <t xml:space="preserve"> - övriga maskin- och inventariekostnader</t>
  </si>
  <si>
    <t>Övriga maskin- och apparaturkostnader under räkenskapsperioden</t>
  </si>
  <si>
    <t xml:space="preserve"> - körkilometer per år</t>
  </si>
  <si>
    <t xml:space="preserve"> - kilometerersättning € / km</t>
  </si>
  <si>
    <t xml:space="preserve"> - till resekostnader berättigade arbetsdagar st./år</t>
  </si>
  <si>
    <t xml:space="preserve"> - dagtraktamente euro / dag</t>
  </si>
  <si>
    <t xml:space="preserve"> - resebiljetter och inkvarteringskostnader</t>
  </si>
  <si>
    <t xml:space="preserve"> - måltid under resan </t>
  </si>
  <si>
    <t xml:space="preserve"> - övriga resekostnader</t>
  </si>
  <si>
    <t xml:space="preserve"> - reklambyråtjänster, trycksaker</t>
  </si>
  <si>
    <t xml:space="preserve"> - direkt- och annonsreklam</t>
  </si>
  <si>
    <t xml:space="preserve"> -  TV-, radio- och internetreklam</t>
  </si>
  <si>
    <t xml:space="preserve"> - mässa, utställning, sales promotion</t>
  </si>
  <si>
    <t xml:space="preserve"> - övriga marknadsföringskostnader (bl.a. Gramex)</t>
  </si>
  <si>
    <t xml:space="preserve"> - varumärken, patenten, certifikaten o.d.</t>
  </si>
  <si>
    <t xml:space="preserve"> - övriga utvecklingskostnader </t>
  </si>
  <si>
    <t xml:space="preserve"> - hyror av arbetskraft </t>
  </si>
  <si>
    <t xml:space="preserve"> - ekonomiförvaltningstjänster, revision</t>
  </si>
  <si>
    <t xml:space="preserve"> - lag-, indrivnings och konsulttjänster, övriga administrationskostnader</t>
  </si>
  <si>
    <t xml:space="preserve"> - böcker, tidningar </t>
  </si>
  <si>
    <t xml:space="preserve"> - medlemsavgifter av Företagarförening o.d.</t>
  </si>
  <si>
    <t xml:space="preserve"> - övriga medlemsavgifter </t>
  </si>
  <si>
    <t xml:space="preserve"> - telefon- och mobiltelefonkostnader</t>
  </si>
  <si>
    <t xml:space="preserve"> - dataöverföringskostnader </t>
  </si>
  <si>
    <t xml:space="preserve"> - post- och kurirkostnader</t>
  </si>
  <si>
    <t xml:space="preserve"> - kostnader av penningrörelse</t>
  </si>
  <si>
    <t xml:space="preserve"> - ansvars- och avbrottsförsäkring, maskinskada</t>
  </si>
  <si>
    <t xml:space="preserve"> - övriga försäkringar</t>
  </si>
  <si>
    <t>FÖRSÄLJNINGSINKOMSTER TÄCKER KOSTNADERNA</t>
  </si>
  <si>
    <t>SÄKERHETSMARGINAL I JÄMFÖRELSE MED FÖRSÄLJNING</t>
  </si>
  <si>
    <t>OMSÄTTNING</t>
  </si>
  <si>
    <t>Mervärdesskattesumma</t>
  </si>
  <si>
    <t>FÖRSÄLJNING SAMMANLAGT</t>
  </si>
  <si>
    <t>Resekostnader under räkenskapsperioden</t>
  </si>
  <si>
    <t>Reseersättningar under räkenskapsperioden</t>
  </si>
  <si>
    <t>Representationskostnader under räkenskapsperioden</t>
  </si>
  <si>
    <t>Marknadsföringskostnader under räkenskapsperioden</t>
  </si>
  <si>
    <t>Forsknings- och produktutvecklingskostnader under räkenskapsperioden</t>
  </si>
  <si>
    <t>Administrationstjänster under räkenskapsperioden</t>
  </si>
  <si>
    <t>Faktainsamling under räkenskapsperioden</t>
  </si>
  <si>
    <t>Datakommunikation och penningrörelse under räkenskapsperioden</t>
  </si>
  <si>
    <t>Försäkringar under räkenskapsperioden</t>
  </si>
  <si>
    <t>Kontorstillbehör under räkenskapsperioden</t>
  </si>
  <si>
    <t>Mötes- och förhandlingskostnader under räkenskapsperioden</t>
  </si>
  <si>
    <t>Företagets inkomstskatter under räkenskapsperioden</t>
  </si>
  <si>
    <t xml:space="preserve">ÖPPETHÅLLNING VECKOR/ÅR </t>
  </si>
  <si>
    <t xml:space="preserve">ÖPPETHÅLLNING DAGAR/VECKA </t>
  </si>
  <si>
    <t>(FÖRVERKLIGAD) FÖRSÄLJNING PER DAG</t>
  </si>
  <si>
    <t>Ansvar av programmets rättighet och resultaten</t>
  </si>
  <si>
    <t xml:space="preserve">Användaren är medveten, att programmet kan innehålla fel och ge felaktiga resultaten. </t>
  </si>
  <si>
    <t xml:space="preserve">Resultaten är riktningsgivande och användaren har eget ansvar om tolkning av resultaten. </t>
  </si>
  <si>
    <t xml:space="preserve"> Om summan är negativ, är man tvungen att finansiera med andra inkomster!</t>
  </si>
  <si>
    <t>Kostnadsstegrings-%</t>
  </si>
  <si>
    <t>Anteckningar (cellområdet kan användas liksom i Excel-program)</t>
  </si>
  <si>
    <t>Lönehöjnings-%</t>
  </si>
  <si>
    <t>K2 FÖRSÄLJNINGSPROGNOS</t>
  </si>
  <si>
    <t>Period 1</t>
  </si>
  <si>
    <t>Period 2</t>
  </si>
  <si>
    <t>Period 3</t>
  </si>
  <si>
    <t>Räkenskapsperiodens längd</t>
  </si>
  <si>
    <t xml:space="preserve"> - försäljningspris / st. Inkl. Moms</t>
  </si>
  <si>
    <t xml:space="preserve"> - försäljningsmängd i enheter</t>
  </si>
  <si>
    <t xml:space="preserve"> - produktens totalförsäljning utan Moms</t>
  </si>
  <si>
    <t xml:space="preserve"> - inköps-/självkostnadspris inkl. Moms.</t>
  </si>
  <si>
    <t xml:space="preserve"> - svinn på inköpsmaterial, procent</t>
  </si>
  <si>
    <t xml:space="preserve"> - försäljningsbidrags-%</t>
  </si>
  <si>
    <t xml:space="preserve"> - inköpspris Moms. 0 %/st. inkl. Svinn</t>
  </si>
  <si>
    <t xml:space="preserve"> - Inköp slgt Moms. 0 %</t>
  </si>
  <si>
    <t>Utförare</t>
  </si>
  <si>
    <t>Datum</t>
  </si>
  <si>
    <t>K3 RESULTAT</t>
  </si>
  <si>
    <t>PENNINGBEHOV OCH PENNINGSKÄLLOR</t>
  </si>
  <si>
    <t>FINANSIERINGSBEHOV inkl. MOMS</t>
  </si>
  <si>
    <t>EURO</t>
  </si>
  <si>
    <t xml:space="preserve"> 1. Lokaliteter sammanlagt</t>
  </si>
  <si>
    <t>Bidrag-%</t>
  </si>
  <si>
    <t xml:space="preserve"> - varulager/förvärv av affärsverksamheten</t>
  </si>
  <si>
    <t xml:space="preserve"> - varulager i början, garantihyra</t>
  </si>
  <si>
    <t>Sammanlagt</t>
  </si>
  <si>
    <t>Penningbehov - Penningkällor, differens</t>
  </si>
  <si>
    <t>Långivare</t>
  </si>
  <si>
    <t>Ränta-%</t>
  </si>
  <si>
    <t>Betalningstid</t>
  </si>
  <si>
    <t>Kapital</t>
  </si>
  <si>
    <t xml:space="preserve"> - företagarnas placeringar</t>
  </si>
  <si>
    <t>RESULTATSKALKYL</t>
  </si>
  <si>
    <t>RÄKENSKAPSPERIODENS LÄNGD (Månader)</t>
  </si>
  <si>
    <t>Personal i medeltal</t>
  </si>
  <si>
    <t xml:space="preserve"> Försäljningsintäkter</t>
  </si>
  <si>
    <t xml:space="preserve">  - mervärdesskatt</t>
  </si>
  <si>
    <t xml:space="preserve"> Omsättning</t>
  </si>
  <si>
    <t xml:space="preserve"> Material och förnödenheter</t>
  </si>
  <si>
    <t xml:space="preserve"> Personalkostnader</t>
  </si>
  <si>
    <t xml:space="preserve"> Hyror</t>
  </si>
  <si>
    <t xml:space="preserve"> Marknadsföring</t>
  </si>
  <si>
    <t xml:space="preserve"> Övriga kostnader av affärsverksamhet</t>
  </si>
  <si>
    <t xml:space="preserve"> Driftsbidrag</t>
  </si>
  <si>
    <t xml:space="preserve"> Finansieringskostnader</t>
  </si>
  <si>
    <t xml:space="preserve"> Skatten</t>
  </si>
  <si>
    <t xml:space="preserve"> - inkomstskatteprocent</t>
  </si>
  <si>
    <t xml:space="preserve"> Finansieringsresultat</t>
  </si>
  <si>
    <t xml:space="preserve"> Avskrivningar</t>
  </si>
  <si>
    <t xml:space="preserve"> - avskrivningsprocent av byggnader</t>
  </si>
  <si>
    <t xml:space="preserve"> - avskrivningsprocent av maskiner och inventarier</t>
  </si>
  <si>
    <t xml:space="preserve"> Nettoresultat</t>
  </si>
  <si>
    <t xml:space="preserve"> Totalresultat</t>
  </si>
  <si>
    <t xml:space="preserve"> - skattefria anskaffning., affärsvärde</t>
  </si>
  <si>
    <t xml:space="preserve"> Affärslokaler ytan hyror/vederlag</t>
  </si>
  <si>
    <t xml:space="preserve"> Övriga personalkostnader</t>
  </si>
  <si>
    <t xml:space="preserve"> Bilar/arbetsmaskiner, affärsbruk</t>
  </si>
  <si>
    <t xml:space="preserve"> Kostnader av ADB-apparater och -program</t>
  </si>
  <si>
    <t xml:space="preserve"> Övriga maskin- och apparaturutgifter</t>
  </si>
  <si>
    <t>PROGNOSSAMMANDRAG (euro)</t>
  </si>
  <si>
    <t>Försäljningsbidrag (euro)</t>
  </si>
  <si>
    <t xml:space="preserve">Försäljningsinkomster täcker kostnaderna </t>
  </si>
  <si>
    <t>Säkerhetsmarginal procentar av försäljning</t>
  </si>
  <si>
    <t>Omsättning (euro)</t>
  </si>
  <si>
    <t>Omsättning/person (euro)</t>
  </si>
  <si>
    <t>Personalkostnader/person (euro)</t>
  </si>
  <si>
    <t>Alternativ 1</t>
  </si>
  <si>
    <t>Omsättningen förverkligas</t>
  </si>
  <si>
    <t>Utgifterna förverkligas</t>
  </si>
  <si>
    <t>Finansieringsresultat (ej exakt)</t>
  </si>
  <si>
    <t>Alternativ 2</t>
  </si>
  <si>
    <t>BRANSCHJÄMFÖRELSE</t>
  </si>
  <si>
    <t>Välj från tabellen "Ekonomiska parametrar" branschen, som bäst motsvarar ditt eget företag</t>
  </si>
  <si>
    <t>Jämförelse till numret</t>
  </si>
  <si>
    <t>Företagets bransch</t>
  </si>
  <si>
    <t>Ansvar av programmets rättighet och resultatet</t>
  </si>
  <si>
    <t>Övriga kostnader av affärsverksamheten, utredning gällande 1. räkenskapsperioden</t>
  </si>
  <si>
    <t>Driftsbidrag-%</t>
  </si>
  <si>
    <t>FT5 Nyföretagets ekonomiplan</t>
  </si>
  <si>
    <t xml:space="preserve">KASSABUDGET </t>
  </si>
  <si>
    <t>FT5 EKONOMIPLAN</t>
  </si>
  <si>
    <t xml:space="preserve"> - antalet personer</t>
  </si>
  <si>
    <t xml:space="preserve"> - timlön/månadslön</t>
  </si>
  <si>
    <t xml:space="preserve"> - arbetstimmar/månad/pers. (månadslön=1)</t>
  </si>
  <si>
    <t xml:space="preserve"> - lönetillägg, procentar av penninglönen</t>
  </si>
  <si>
    <t xml:space="preserve"> - naturaförmån per månad/ person</t>
  </si>
  <si>
    <t xml:space="preserve"> - antalet lönebetalningsmånader / person</t>
  </si>
  <si>
    <t xml:space="preserve"> - beskattningsbara inkomster per år</t>
  </si>
  <si>
    <t xml:space="preserve"> - penninglöner per år</t>
  </si>
  <si>
    <t xml:space="preserve"> Arbetsuppgift 2 (heltid)</t>
  </si>
  <si>
    <t xml:space="preserve"> Arbetsuppgift 7 (del- eller heltid)</t>
  </si>
  <si>
    <t xml:space="preserve"> Penninglöner sammanlagt</t>
  </si>
  <si>
    <t xml:space="preserve"> Naturaförmån sammanlagt</t>
  </si>
  <si>
    <t xml:space="preserve"> Beskattningsbara inkomster slgt</t>
  </si>
  <si>
    <t xml:space="preserve"> Arbetsuppgift 3 (heltid)</t>
  </si>
  <si>
    <t xml:space="preserve"> Arbetsuppgift 4 (heltid)</t>
  </si>
  <si>
    <t>Oknings-%</t>
  </si>
  <si>
    <t xml:space="preserve">DELTID ELLER HELTID UPPGIFTER </t>
  </si>
  <si>
    <t xml:space="preserve">TJÄNSTER FÖR FÖRETAG OCH SAMFUND </t>
  </si>
  <si>
    <t>FS1 VERKSAMHETSKOSTNADER</t>
  </si>
  <si>
    <t xml:space="preserve"> - FöPL-företagarnas penninglöner/månad brutto</t>
  </si>
  <si>
    <t xml:space="preserve"> - FöPL-företagarnas naturaförmåner / månad</t>
  </si>
  <si>
    <t>FS2 FÖRSÄLJNINGSPROGNOS</t>
  </si>
  <si>
    <t xml:space="preserve">  faktureringspris/enhet Moms 0 %</t>
  </si>
  <si>
    <t xml:space="preserve"> - antal (t.ex. Faktureringstimmar)</t>
  </si>
  <si>
    <t>Produkt-/underleverans försälj. 1</t>
  </si>
  <si>
    <t xml:space="preserve"> - inköpspris/enhet Moms 0 %</t>
  </si>
  <si>
    <t xml:space="preserve"> - inköps-/försäljningsmängd i enheter</t>
  </si>
  <si>
    <t xml:space="preserve"> - försäljningspris/enhet Moms 0 %</t>
  </si>
  <si>
    <t xml:space="preserve"> - försäljningsbidrags - %</t>
  </si>
  <si>
    <t>Försäljning av pres./mat. 1 - 5</t>
  </si>
  <si>
    <t>Omsättning av pres./mat. 1 - 5</t>
  </si>
  <si>
    <t>Försäljning av pres./mat. 1 - 11</t>
  </si>
  <si>
    <t>Omsättning av pres./mat. 1 - 11</t>
  </si>
  <si>
    <t xml:space="preserve"> Prestation 12 Omsättning</t>
  </si>
  <si>
    <t xml:space="preserve"> Prestation 13 Omsättning</t>
  </si>
  <si>
    <t xml:space="preserve"> Prestation 14 Omsättning</t>
  </si>
  <si>
    <t xml:space="preserve"> Prestation 15 Omsättning</t>
  </si>
  <si>
    <t xml:space="preserve"> Prestation 16 Omsättning</t>
  </si>
  <si>
    <t xml:space="preserve"> Prestation 17 Omsättning</t>
  </si>
  <si>
    <t>Produkt-/underleverans försälj. 12</t>
  </si>
  <si>
    <t>Produkt-/underleverans försälj. 15</t>
  </si>
  <si>
    <t>Produkt-/underleverans försälj. 16</t>
  </si>
  <si>
    <t>Produkt-/underleverans försälj. 17</t>
  </si>
  <si>
    <t>Försäljning av pres./mat. 1 - 17</t>
  </si>
  <si>
    <t>Omsättning av pres./mat. 1 - 17</t>
  </si>
  <si>
    <t>Ökning av antalet - %</t>
  </si>
  <si>
    <t>Produkt-/underleverans försälj. 13</t>
  </si>
  <si>
    <t>Produkt-/underleverans försälj. 14</t>
  </si>
  <si>
    <t xml:space="preserve"> - inköps-/försäljnings mängd i enheter</t>
  </si>
  <si>
    <t>FS3 RESULTAT</t>
  </si>
  <si>
    <t xml:space="preserve"> 2. Maskiner, inventarier slgt</t>
  </si>
  <si>
    <t>Bidragen och återbäring av Moms, slgt</t>
  </si>
  <si>
    <t xml:space="preserve"> - Företagarlån från Finnvera</t>
  </si>
  <si>
    <t>FS3 Kannattavuus, rahoitus</t>
  </si>
  <si>
    <t>FÖRSÄLJNINGSBIDRAG ENLIGT FÖRSÄLJNINGSPROGNOSEN</t>
  </si>
  <si>
    <t>INTÄKTER</t>
  </si>
  <si>
    <t>INTÄKTER SAMMANLAGT</t>
  </si>
  <si>
    <t>UTGIFTER</t>
  </si>
  <si>
    <t>Moms-%</t>
  </si>
  <si>
    <t>JAN</t>
  </si>
  <si>
    <t>FEB</t>
  </si>
  <si>
    <t>MARS</t>
  </si>
  <si>
    <t>APR</t>
  </si>
  <si>
    <t>MAJ</t>
  </si>
  <si>
    <t>JUNI</t>
  </si>
  <si>
    <t>JULI</t>
  </si>
  <si>
    <t>AUG</t>
  </si>
  <si>
    <t>SEP</t>
  </si>
  <si>
    <t>OKT</t>
  </si>
  <si>
    <t>NOV</t>
  </si>
  <si>
    <t>DEC</t>
  </si>
  <si>
    <t>SLGT</t>
  </si>
  <si>
    <t xml:space="preserve">           KASSA I BÖRJAN</t>
  </si>
  <si>
    <t xml:space="preserve"> - procentuellt försäljning per månad </t>
  </si>
  <si>
    <t xml:space="preserve"> Fakturaförsäljning</t>
  </si>
  <si>
    <t xml:space="preserve"> - betalningsvillkor</t>
  </si>
  <si>
    <t>dagar</t>
  </si>
  <si>
    <t xml:space="preserve"> Råvaru- och materialinköp, köpta tjänster</t>
  </si>
  <si>
    <t xml:space="preserve"> Lokalhyror</t>
  </si>
  <si>
    <t xml:space="preserve"> Leasing- och inventariehyror</t>
  </si>
  <si>
    <t xml:space="preserve"> El-, värme- och vattenkostnader</t>
  </si>
  <si>
    <t xml:space="preserve"> Datakommunikation och bankförbindelser</t>
  </si>
  <si>
    <t xml:space="preserve"> Marknadsföring och reklam</t>
  </si>
  <si>
    <t xml:space="preserve"> Investeringar inkl. Moms </t>
  </si>
  <si>
    <t xml:space="preserve"> Bil/arbetsmaskinkostnader (Moms-avdragbara)</t>
  </si>
  <si>
    <t xml:space="preserve"> Städning- och avfallskostnader</t>
  </si>
  <si>
    <t xml:space="preserve"> Inventarieanskaffningar (brukstid &lt; 3 år) </t>
  </si>
  <si>
    <t xml:space="preserve"> Förvärv av ADB-apparater (brukstid &lt; 3 år)</t>
  </si>
  <si>
    <t xml:space="preserve"> Övriga fasta kostnader inkl. Moms</t>
  </si>
  <si>
    <t xml:space="preserve"> Betalbar mervärdesskatt</t>
  </si>
  <si>
    <t xml:space="preserve"> Nettolöner</t>
  </si>
  <si>
    <t xml:space="preserve"> FöPL - penninglön brutto</t>
  </si>
  <si>
    <t xml:space="preserve"> FöPL- naturaförmån</t>
  </si>
  <si>
    <t xml:space="preserve"> Brutto penninglön / arbetstagarna</t>
  </si>
  <si>
    <t xml:space="preserve"> Naturaförmån / arbetstagarna</t>
  </si>
  <si>
    <t xml:space="preserve"> ArPL- och arbetslöshetsavg./arbetstagarna</t>
  </si>
  <si>
    <t xml:space="preserve"> Arbetsgivarprestationerna</t>
  </si>
  <si>
    <t xml:space="preserve"> ArPL- och obligatoriska arbetstagarförsäkringar</t>
  </si>
  <si>
    <t xml:space="preserve"> Frivilliga pensionsavgifter</t>
  </si>
  <si>
    <t xml:space="preserve"> Övriga försäkringar, bruksavgifter</t>
  </si>
  <si>
    <t xml:space="preserve"> Övriga fasta kostnader Moms 0 %</t>
  </si>
  <si>
    <t xml:space="preserve"> Låneräntor</t>
  </si>
  <si>
    <t xml:space="preserve"> Inkomstskatt och fastighetsskatt</t>
  </si>
  <si>
    <t xml:space="preserve"> Resekostnader, reseersättningar, privatfordon</t>
  </si>
  <si>
    <t xml:space="preserve"> Låneavkortningar</t>
  </si>
  <si>
    <t xml:space="preserve"> Dividender, privata uttag</t>
  </si>
  <si>
    <t xml:space="preserve"> Avbetalningens månadsavgift</t>
  </si>
  <si>
    <t xml:space="preserve"> Investeringar Moms 0 %</t>
  </si>
  <si>
    <t xml:space="preserve"> Placeringar</t>
  </si>
  <si>
    <t xml:space="preserve"> INTÄKTER - UTGIFTER</t>
  </si>
  <si>
    <t>Inkl. Moms</t>
  </si>
  <si>
    <t>Moms 0 %</t>
  </si>
  <si>
    <t xml:space="preserve"> Programmet hämtar siffrorna från följande tabeller</t>
  </si>
  <si>
    <t xml:space="preserve"> Programmet uträknar enligt försäljningsprognosen.</t>
  </si>
  <si>
    <t xml:space="preserve"> Totalförsäljning (period 12 månader), Tabell K3 eller FS3, Resultatskalkyl punkt 1</t>
  </si>
  <si>
    <t xml:space="preserve"> Bidrag, Tabell K3 eller FS3, Resultatskalkyl punkt 9</t>
  </si>
  <si>
    <t xml:space="preserve"> Tabell K1 eller FS1 punkt 8</t>
  </si>
  <si>
    <t xml:space="preserve"> Tabell K1 eller FS1 punkt 10 och punkt 13</t>
  </si>
  <si>
    <t xml:space="preserve"> Tabell K1 eller FS1 punkt 9</t>
  </si>
  <si>
    <t xml:space="preserve"> Tabell K1 eller FS1 punkt 21</t>
  </si>
  <si>
    <t xml:space="preserve"> Tabell K1 eller FS1 punkt 17</t>
  </si>
  <si>
    <t xml:space="preserve"> Tabell K1 eller FS1 punkt 11</t>
  </si>
  <si>
    <t xml:space="preserve"> Tabell K1 eller FS1 punkt 13</t>
  </si>
  <si>
    <t xml:space="preserve"> Tabell K1 eller FS1 punkt 12</t>
  </si>
  <si>
    <t xml:space="preserve"> Tabell K1 eller FS1 punkt 1</t>
  </si>
  <si>
    <t xml:space="preserve"> Tabell K1 eller FS1 punkt 6</t>
  </si>
  <si>
    <t xml:space="preserve"> Tabell "Lönekostnader"</t>
  </si>
  <si>
    <t xml:space="preserve"> Tabell K1 eller FS1 punkt 5</t>
  </si>
  <si>
    <t xml:space="preserve"> Tabell K1 eller FS1 punkt 2</t>
  </si>
  <si>
    <t xml:space="preserve"> Tabell K1 eller FS1 punkt 14 och 15</t>
  </si>
  <si>
    <t xml:space="preserve"> Tabell K1 eller FS1 punkt 25</t>
  </si>
  <si>
    <t xml:space="preserve"> Tabell K1 eller FS1 punkt 4</t>
  </si>
  <si>
    <t xml:space="preserve"> Kontantförsäljning, andels-%</t>
  </si>
  <si>
    <t>Personer/</t>
  </si>
  <si>
    <t>Omsättn./</t>
  </si>
  <si>
    <t>Drifts-</t>
  </si>
  <si>
    <t>Personal-</t>
  </si>
  <si>
    <t>företag</t>
  </si>
  <si>
    <t>person</t>
  </si>
  <si>
    <t>utgifter</t>
  </si>
  <si>
    <t>Slakt, produktion av köttprodukter</t>
  </si>
  <si>
    <t xml:space="preserve">Bagerier </t>
  </si>
  <si>
    <t xml:space="preserve">Tillverkning av övriga textilvaror </t>
  </si>
  <si>
    <t xml:space="preserve">Tillverkning av kläder </t>
  </si>
  <si>
    <t>Sågning, hyvling och impregnering av trä</t>
  </si>
  <si>
    <t>Tillverkning av byggnadssnickar-produkter</t>
  </si>
  <si>
    <t xml:space="preserve">Tryckning och därtill hörande tjänster </t>
  </si>
  <si>
    <t>Tillverkning av plastprodukter</t>
  </si>
  <si>
    <t xml:space="preserve">Tillverkning av metallkonstruktioner </t>
  </si>
  <si>
    <t>Beläggning och överdragning av metall; metallegoarbeten</t>
  </si>
  <si>
    <t>Tillverkning av maskiner och anordningar</t>
  </si>
  <si>
    <t>Tillverkning av jord- och skogsbruksmaskiner</t>
  </si>
  <si>
    <t>Tillverkning av möbler</t>
  </si>
  <si>
    <t>Tillverkning av köksinredningar och -möbler</t>
  </si>
  <si>
    <t>Mark- och grundarbeten</t>
  </si>
  <si>
    <t>Byggande av bostadshus och andra byggnader</t>
  </si>
  <si>
    <t>Byggnadssnickeriarbeten</t>
  </si>
  <si>
    <t>Måleriarbeten</t>
  </si>
  <si>
    <t xml:space="preserve">Underhåll och reparation av motorfordon </t>
  </si>
  <si>
    <t xml:space="preserve">Handel med reservdelar och tillbehör till motorfordon </t>
  </si>
  <si>
    <t>Handel samt reparation av motorcyklar</t>
  </si>
  <si>
    <t>Reparation av hushållsartiklar och personliga artiklar</t>
  </si>
  <si>
    <t>Chartertrafik med buss</t>
  </si>
  <si>
    <t>Vägtransport, godstrafik</t>
  </si>
  <si>
    <t>Hotellverksamhet</t>
  </si>
  <si>
    <t>Övrig catering- och centralköksverksamhet</t>
  </si>
  <si>
    <t>Bokförings- och bokslutstjänster</t>
  </si>
  <si>
    <t>Reklambyråer</t>
  </si>
  <si>
    <t>Rengöring och lokalvård</t>
  </si>
  <si>
    <t>Skötsel och underhåll av grönytor</t>
  </si>
  <si>
    <t>Fysioterapi</t>
  </si>
  <si>
    <t>Boendetjänster för äldre och funktionshindrade personer</t>
  </si>
  <si>
    <t>KALKYLMÄSSIG KASSA I BÖRJAN</t>
  </si>
  <si>
    <t>Årskostnader Euro</t>
  </si>
  <si>
    <t>LAINAT JA LAINOJEN KOROT YHTEENSÄ</t>
  </si>
  <si>
    <t>Lainat+korot Yht, 6 kk</t>
  </si>
  <si>
    <r>
      <t>RISKANALYS</t>
    </r>
    <r>
      <rPr>
        <b/>
        <sz val="9"/>
        <color theme="1"/>
        <rFont val="Verdana"/>
        <family val="2"/>
      </rPr>
      <t xml:space="preserve"> (omsättningens och utgifternas verkan till lånbetalningsförmåga)</t>
    </r>
  </si>
  <si>
    <t xml:space="preserve"> - Föl-företagarnas beskattningsbara inkomster</t>
  </si>
  <si>
    <t>Osamaksut, PO:t alussa</t>
  </si>
  <si>
    <t xml:space="preserve"> Tabell K1 eller FS1 punkt 9 och 22</t>
  </si>
  <si>
    <t xml:space="preserve"> - skattefria fastigheter</t>
  </si>
  <si>
    <t xml:space="preserve"> - inköp/byggande av fastigheter</t>
  </si>
  <si>
    <t xml:space="preserve"> 3. Immateriella investering</t>
  </si>
  <si>
    <t xml:space="preserve"> - jordområden</t>
  </si>
  <si>
    <t xml:space="preserve"> 3. Immateriella investeringar</t>
  </si>
  <si>
    <t xml:space="preserve"> KASSA I SLUTET AV PERIODEN</t>
  </si>
  <si>
    <t xml:space="preserve"> Finnvera</t>
  </si>
  <si>
    <t xml:space="preserve"> Bank</t>
  </si>
  <si>
    <t>Nr</t>
  </si>
  <si>
    <t>Finansieringsbehov - Finansiering, differens</t>
  </si>
  <si>
    <t xml:space="preserve"> - övriga bidragen t.ex. BusinessFinland</t>
  </si>
  <si>
    <t xml:space="preserve"> Företagsbidrag, övriga intäkter</t>
  </si>
  <si>
    <t>Läkarcentral, privata läkartjänster</t>
  </si>
  <si>
    <t xml:space="preserve"> - Övriga ArPL-personernas personförsäkringsavgifter </t>
  </si>
  <si>
    <t xml:space="preserve">Övriga Moms-avdragbara affärskostnader </t>
  </si>
  <si>
    <t xml:space="preserve">Övriga inte Moms-avdragbara affärskostnader </t>
  </si>
  <si>
    <t>ALLA FASTA KOSTNADER  (punkterna 4 - 28)</t>
  </si>
  <si>
    <t>BEHOVET AV FÖRSÄLJNINGSBIDRAG (punkt 3 + punkt 29)</t>
  </si>
  <si>
    <t xml:space="preserve"> Taulukosta K1 tai YP1 kohta 26</t>
  </si>
  <si>
    <t>alv 24</t>
  </si>
  <si>
    <t xml:space="preserve"> alv 0</t>
  </si>
  <si>
    <t xml:space="preserve"> Taulukosta K1 tai YP1 kohta 27</t>
  </si>
  <si>
    <t>Taulukosta K1 tai YP1 kohta 8</t>
  </si>
  <si>
    <t xml:space="preserve"> - offentl. investeringsstöd (NTM, Leader)</t>
  </si>
  <si>
    <t xml:space="preserve"> - övriga bidragen t.ex. marknadsföring.</t>
  </si>
  <si>
    <t xml:space="preserve"> - övriga bidragen t.ex. Marknadsföring</t>
  </si>
  <si>
    <t xml:space="preserve"> 4. Immateriella ja utvecklingsinv. Moms 0 % </t>
  </si>
  <si>
    <t xml:space="preserve"> 5. Utvecklingsinvesteringar inkl. Moms</t>
  </si>
  <si>
    <t xml:space="preserve"> 6. Övrigt driftskapital</t>
  </si>
  <si>
    <t xml:space="preserve"> 7. Långfristiga lån sammanlagt</t>
  </si>
  <si>
    <t xml:space="preserve"> 8. Leasing</t>
  </si>
  <si>
    <t xml:space="preserve"> 9. Avbetalning</t>
  </si>
  <si>
    <t xml:space="preserve"> 10. Företagsbidragen</t>
  </si>
  <si>
    <t xml:space="preserve"> 11. Återbäring av mervärdesskatt</t>
  </si>
  <si>
    <t xml:space="preserve"> 12. Egen finansiering, sammanlagt</t>
  </si>
  <si>
    <t>DIREKTIV</t>
  </si>
  <si>
    <t>Restauranger och motsvarande verksamhet</t>
  </si>
  <si>
    <t>Behovet av driftskapital per månad (reservera minst 2 - 3 månader)</t>
  </si>
  <si>
    <t>Mängförändrings-%</t>
  </si>
  <si>
    <t>Ändrings-%</t>
  </si>
  <si>
    <t>Prisförändrings-%</t>
  </si>
  <si>
    <t>Förändring av inköpspriset</t>
  </si>
  <si>
    <t>Försäljningprisets ändrings-%</t>
  </si>
  <si>
    <t xml:space="preserve"> 6. Driftskapital</t>
  </si>
  <si>
    <r>
      <t>Låneamorteringar och avbetalningsrater slgt</t>
    </r>
    <r>
      <rPr>
        <b/>
        <sz val="8"/>
        <rFont val="Arial"/>
        <family val="2"/>
      </rPr>
      <t xml:space="preserve">   (borde vara mindre än punkt 11. Finansieringsresultat)</t>
    </r>
  </si>
  <si>
    <t xml:space="preserve"> - Arbetstagarens sjukdomsförsäkr., arbetslösh. och livförsäkringsavgift-%</t>
  </si>
  <si>
    <t xml:space="preserve"> - FöPL-företagarnas sjukdomsförsäkrings- och livförsäkringsavgifter</t>
  </si>
  <si>
    <t>Låneamorteringar och avbetalningsrater slgt   (borde vara mindre än punkt 11. Finansieringsresultat)</t>
  </si>
  <si>
    <t xml:space="preserve"> FöPL-premier, sjukdomsförsäkr.- och livförsäkringsavgifter</t>
  </si>
  <si>
    <t xml:space="preserve"> Omsättning för produkter 1 - 17</t>
  </si>
  <si>
    <t xml:space="preserve"> Försäljning produkter 1 - 11</t>
  </si>
  <si>
    <t xml:space="preserve"> Omsättning för produkter 1 - 11</t>
  </si>
  <si>
    <t xml:space="preserve"> Försäljning produkter 1 - 5</t>
  </si>
  <si>
    <t xml:space="preserve"> Omsättning för produkter 1 - 5</t>
  </si>
  <si>
    <t xml:space="preserve">  </t>
  </si>
  <si>
    <t>bidrag-%</t>
  </si>
  <si>
    <t>kapital-%</t>
  </si>
  <si>
    <t>Förändring av omsätt.</t>
  </si>
  <si>
    <t>Statistik nummer</t>
  </si>
  <si>
    <t>VVS installation</t>
  </si>
  <si>
    <t>Elarbeten och elentreprenader</t>
  </si>
  <si>
    <t>Takbehandlingar, montering</t>
  </si>
  <si>
    <t>Däckhandel</t>
  </si>
  <si>
    <t>Klädaffär</t>
  </si>
  <si>
    <t>Skoaffär</t>
  </si>
  <si>
    <t>Blomsteraffär</t>
  </si>
  <si>
    <t>Järnhandel</t>
  </si>
  <si>
    <t xml:space="preserve">Frisersalonger </t>
  </si>
  <si>
    <t>Skönhetsvård</t>
  </si>
  <si>
    <t xml:space="preserve">IT-tjänster </t>
  </si>
  <si>
    <t>Ingenjörsbyråer, tekniska konsulter</t>
  </si>
  <si>
    <t xml:space="preserve">Tandläkartjänster </t>
  </si>
  <si>
    <t>Gym</t>
  </si>
  <si>
    <t>Barns daghem</t>
  </si>
  <si>
    <t>Landskapstjänster, gröna byggnader</t>
  </si>
  <si>
    <t xml:space="preserve"> Industri och tillverkning</t>
  </si>
  <si>
    <t xml:space="preserve"> Byggande</t>
  </si>
  <si>
    <t xml:space="preserve"> Detaljhandel</t>
  </si>
  <si>
    <t xml:space="preserve"> Övriga tjänster</t>
  </si>
  <si>
    <t xml:space="preserve">FASTA KOSTNADER MOMS 0 % </t>
  </si>
  <si>
    <t>År</t>
  </si>
  <si>
    <t>KÄYTTÖKATE % LIIKEVAIHDOSTA</t>
  </si>
  <si>
    <t>OMSÄTTNING/PERSON OCH DRIFTSKAPITAL/PERSON 1000 €</t>
  </si>
  <si>
    <t>K3 Kannattavuus, rahoitus</t>
  </si>
  <si>
    <t xml:space="preserve">JOS TOIMIALOJA ON TULLUT LISÄÄ TAI VÄHENNETTY, TARKISTA HAKURIVIMÄÄRÄ OIKEIN! </t>
  </si>
  <si>
    <t>Driftskapital/</t>
  </si>
  <si>
    <t>person €</t>
  </si>
  <si>
    <t>Kafé</t>
  </si>
  <si>
    <t>Ekonomiska parametrar (medianvärde) i företagen i förhållande till omsättningen inom vissa branscher. Källa Finnvera Oyj</t>
  </si>
  <si>
    <t xml:space="preserve"> - små anskaffningar och skaffningar brukstid är högst 3 år</t>
  </si>
  <si>
    <t xml:space="preserve"> - antalet FöPL-företagare</t>
  </si>
  <si>
    <t xml:space="preserve"> UTGIFTER SAMMANLAGT </t>
  </si>
  <si>
    <t xml:space="preserve"> Lyft av lån</t>
  </si>
  <si>
    <t xml:space="preserve"> Skriv branschen av ditt företag</t>
  </si>
  <si>
    <t xml:space="preserve"> Skriv branschen av dit företag</t>
  </si>
  <si>
    <t xml:space="preserve"> Prestation 1 Omsättning</t>
  </si>
  <si>
    <t xml:space="preserve"> Produkt 5 (Vinstmarginalbaserad Moms)</t>
  </si>
  <si>
    <t xml:space="preserve"> - produktens omsättning</t>
  </si>
  <si>
    <t xml:space="preserve"> - inköpspris Moms 0 %/st. inkl. Svinn</t>
  </si>
  <si>
    <t xml:space="preserve"> - Inköp slgt Moms 0 %</t>
  </si>
  <si>
    <t xml:space="preserve"> Produkt 11 (Vinstmarginalbaserad Moms)</t>
  </si>
  <si>
    <t xml:space="preserve"> Produkt 17 (Vinstmarginalbaserad Moms)</t>
  </si>
  <si>
    <t>Alv-% ka.</t>
  </si>
  <si>
    <t>Materialanvändning Slgt 1 - 5 Moms 0 %</t>
  </si>
  <si>
    <t>Materialanvändning Slgt 1 - 17 Moms 0 %</t>
  </si>
  <si>
    <t>Lisätään K3/YP3 rivi 45</t>
  </si>
  <si>
    <t>Liikevaihto/hlö</t>
  </si>
  <si>
    <t>02200</t>
  </si>
  <si>
    <t>Drivning av virke</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</si>
  <si>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</si>
  <si>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</si>
  <si>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</si>
  <si>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</si>
  <si>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</si>
  <si>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</si>
  <si>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</si>
  <si>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</si>
  <si>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</si>
  <si>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</si>
  <si>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</si>
  <si>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</si>
  <si>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61 ehdollinen muotoilu</t>
  </si>
  <si>
    <t>rivi 79 ehdollinen muotoilu</t>
  </si>
  <si>
    <t>rivi 88 ehdollinen muotoilu</t>
  </si>
  <si>
    <t>E33 - 35 Kaava Pyöristä</t>
  </si>
  <si>
    <t>C36 Siiretty kaava rahoitustarve = 0</t>
  </si>
  <si>
    <t>Tulostussivu 4: lisää muistiinpanoalue ja ohje</t>
  </si>
  <si>
    <t>K3 ja Y3, toimialataulu</t>
  </si>
  <si>
    <t>Lisätty 56 Puunkorjuu /Drivning</t>
  </si>
  <si>
    <t xml:space="preserve"> - hyror av apparater och inventarier, leasingfin. med en fast månadsbetalning</t>
  </si>
  <si>
    <t xml:space="preserve"> - betalningsmånader</t>
  </si>
  <si>
    <t xml:space="preserve"> - betalningsmånader </t>
  </si>
  <si>
    <t xml:space="preserve"> - mässa, utställning, Sales promotion</t>
  </si>
  <si>
    <t xml:space="preserve"> - övriga marknadsföringskostnader (bl.a. Grämes)</t>
  </si>
  <si>
    <t xml:space="preserve"> Materialanvändning inkl. Moms slgt prod. 1 - 5</t>
  </si>
  <si>
    <t xml:space="preserve"> Materialanvändning Moms 0% slgt prod. 1 - 5</t>
  </si>
  <si>
    <t xml:space="preserve"> Medelförsäljningsbidrags-% prod. 1 - 5</t>
  </si>
  <si>
    <t xml:space="preserve"> Medelförsäljningsbidrags-% prod. 1 -17</t>
  </si>
  <si>
    <t xml:space="preserve"> Materialanvändning inkl. Moms slgt prod. 1 - 11</t>
  </si>
  <si>
    <t xml:space="preserve"> Materialanvändning Moms 0% slgt prod. 1 - 11</t>
  </si>
  <si>
    <t>Materialanvändning Slgt 1 - 5 inkl. Moms</t>
  </si>
  <si>
    <t>Materialanvändning Slgt 1 -11 inkl. Moms</t>
  </si>
  <si>
    <t>K3 ja Y</t>
  </si>
  <si>
    <t>Lisätty kiinteä kk-maksu lesingtekstit</t>
  </si>
  <si>
    <t xml:space="preserve"> Övriga kostnader av affärsverksamheten, utredning gällande 1. räkenskapsperioden</t>
  </si>
  <si>
    <t xml:space="preserve"> - körkilometer/driftstimmar per år </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</si>
  <si>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</si>
  <si>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</si>
  <si>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</si>
  <si>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</si>
  <si>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</si>
  <si>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</si>
  <si>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</si>
  <si>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</si>
  <si>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</si>
  <si>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</si>
  <si>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</si>
  <si>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</si>
  <si>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</si>
  <si>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</si>
  <si>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</si>
  <si>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</si>
  <si>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</si>
  <si>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</si>
  <si>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</si>
  <si>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</si>
  <si>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</si>
  <si>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</si>
  <si>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</si>
  <si>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</si>
  <si>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</si>
  <si>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</si>
  <si>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</si>
  <si>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 xml:space="preserve"> Tillverkning av maskiner</t>
  </si>
  <si>
    <t xml:space="preserve">Tillverkning av motorfordon och släpvagnar </t>
  </si>
  <si>
    <t>Biläffär</t>
  </si>
  <si>
    <t>LÖNEKOSTNADER OCH ARBETSUPPGIFTER</t>
  </si>
  <si>
    <t>Driftskapital/hlö</t>
  </si>
  <si>
    <t>HJ</t>
  </si>
  <si>
    <t>Kone- ja autokulut lisätty sähkö ja kaasu</t>
  </si>
  <si>
    <t>Tilastot ja haku päivitetty</t>
  </si>
  <si>
    <t xml:space="preserve"> Tabell K3 eller FS3 punkt 10</t>
  </si>
  <si>
    <t xml:space="preserve"> Tabell K1 eller FS1 punkter 9, 11 och 22</t>
  </si>
  <si>
    <t>Materialanvändning Slgt 1 - 11 Moms 0 %</t>
  </si>
  <si>
    <t xml:space="preserve">Karlebynejdens Utveckling Ab
</t>
  </si>
  <si>
    <t>Företag</t>
  </si>
  <si>
    <t>Tjänsten erbjuds av</t>
  </si>
  <si>
    <t>5. Marg.</t>
  </si>
  <si>
    <t>11 marg,</t>
  </si>
  <si>
    <t>17 Marg.</t>
  </si>
  <si>
    <t>Myyntituotot</t>
  </si>
  <si>
    <t>Maksettava alv yhteensä</t>
  </si>
  <si>
    <t>Tuote 5 alv myyntiimarginaali</t>
  </si>
  <si>
    <t>Tuote 11 alv myyntiimarginaali</t>
  </si>
  <si>
    <t>Tuote 11 alv:n peruste</t>
  </si>
  <si>
    <t>Tuote 17 alv myyntiimarginaali</t>
  </si>
  <si>
    <t>Tuote 17 alv:n peruste</t>
  </si>
  <si>
    <t>Tuote 5 alv:n peruste</t>
  </si>
  <si>
    <t xml:space="preserve"> Tabell K1 eller FS1 raderna 35 och 40</t>
  </si>
  <si>
    <t>Fordonskostnader (fordonen i privatbruk, naturaförmån)</t>
  </si>
  <si>
    <t xml:space="preserve"> Fordonskostnader (fordonen i privatbruk, naturaförmån)</t>
  </si>
  <si>
    <t xml:space="preserve"> - inköpspris/enhet</t>
  </si>
  <si>
    <t xml:space="preserve"> FINANSIERING</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</si>
  <si>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</si>
  <si>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</si>
  <si>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</si>
  <si>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</si>
  <si>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</si>
  <si>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Affärslokaler ytan hyror/vederlag</t>
  </si>
  <si>
    <t>Övriga personalkostnader</t>
  </si>
  <si>
    <t>Bilar/arbetsmaskiner, affärsbruk</t>
  </si>
  <si>
    <t>Kostnader av ADB-apparater och -program</t>
  </si>
  <si>
    <t>Övriga maskin- och apparaturutgifter</t>
  </si>
  <si>
    <t xml:space="preserve"> 21 Resekostnader, reseersättningar</t>
  </si>
  <si>
    <t xml:space="preserve"> 22 Administr. kostn, kontor, försäkringar</t>
  </si>
  <si>
    <t xml:space="preserve"> 23 Tidningar, facklitteratur, medlemsavgifter</t>
  </si>
  <si>
    <t xml:space="preserve"> 24 Datakommunikation, penningrörelse</t>
  </si>
  <si>
    <t xml:space="preserve"> 25 Övriga kostnader</t>
  </si>
  <si>
    <t xml:space="preserve"> FINANSIERINGSBEHOV inkl. MOMS</t>
  </si>
  <si>
    <t xml:space="preserve"> Inköpsprisen inkl. Moms prod. 1 - 17</t>
  </si>
  <si>
    <t xml:space="preserve"> Inköpsprisen Moms 0 % slgt prod. 1 - 17</t>
  </si>
  <si>
    <t>ARVONLISÄVERON MÄÄRÄ MYYNTI</t>
  </si>
  <si>
    <t xml:space="preserve"> Materialanvändning av försjäljning Moms 0 %, tabella K2 ocj FS2, utan marg.</t>
  </si>
  <si>
    <t>Aineet, ei marg.verottevia,0 %</t>
  </si>
  <si>
    <t>Marginaaliverotettavat myynti yhteensä</t>
  </si>
  <si>
    <t>Liikevaihto marginal. Tuotteet</t>
  </si>
  <si>
    <t>Tuotemyynti ilman marg.veroa</t>
  </si>
  <si>
    <t>Liikev. ilman marg.verot tuotteet</t>
  </si>
  <si>
    <t>Ostot alv 0 % ilman marg.verot. tuotteet  tilikauden myynneistä</t>
  </si>
  <si>
    <t>Tuotteet Ainekäyttö-% ilman marg.veroa liikevaihdosta</t>
  </si>
  <si>
    <t>Ostot ilm. marg.verot tuotteita sis. Alv</t>
  </si>
  <si>
    <t>Tuote 6 käteisostot alv 0 % marginaalialv</t>
  </si>
  <si>
    <t>Kaikki ostot yhteensä</t>
  </si>
  <si>
    <t xml:space="preserve"> - jordområden, anslutningsavg. mm.</t>
  </si>
  <si>
    <t xml:space="preserve"> - åtgång av bränsle / el / gas </t>
  </si>
  <si>
    <t xml:space="preserve"> - enhetspris på bränsle (liter) / el (kWh) / gas (kg) </t>
  </si>
  <si>
    <t>Kostnader av affärslokaler under räkenskapsperioden</t>
  </si>
  <si>
    <t>Produkt-/underleverans försälj.</t>
  </si>
  <si>
    <t xml:space="preserve"> Prestation Omsättning</t>
  </si>
  <si>
    <t xml:space="preserve"> Marginaaliverotettavat ostot</t>
  </si>
  <si>
    <t>Uppdateringsdatum 4.4.2022</t>
  </si>
  <si>
    <t xml:space="preserve"> Försäljning produkter 1 - 17</t>
  </si>
  <si>
    <t xml:space="preserve"> Medelförsäljningsbidrags-% prod. 1 - 11</t>
  </si>
  <si>
    <t xml:space="preserve"> Inköpen, marginalbeskattade produkter</t>
  </si>
  <si>
    <t>Lunchrestaurang Ab</t>
  </si>
  <si>
    <t xml:space="preserve"> Betalterminal 30 €/månad</t>
  </si>
  <si>
    <t>Lunch</t>
  </si>
  <si>
    <t>2023 100 lunch / dag</t>
  </si>
  <si>
    <t>Kaffe</t>
  </si>
  <si>
    <t xml:space="preserve"> Söta bakverk</t>
  </si>
  <si>
    <t>Smörgåser, fyllda rullar</t>
  </si>
  <si>
    <t>Glass</t>
  </si>
  <si>
    <t xml:space="preserve"> 40 kop / dag, 300 dagar</t>
  </si>
  <si>
    <t>26 st / dag, 300 dagar</t>
  </si>
  <si>
    <t>10 st / dag, 300 dagar</t>
  </si>
  <si>
    <t>Läsk</t>
  </si>
  <si>
    <t xml:space="preserve"> Möbler etc.</t>
  </si>
  <si>
    <t xml:space="preserve"> Maträtter</t>
  </si>
  <si>
    <t xml:space="preserve"> Restaurangarbetare</t>
  </si>
  <si>
    <t>Semestervikarie</t>
  </si>
  <si>
    <t xml:space="preserve"> Köksutrustning</t>
  </si>
  <si>
    <t xml:space="preserve"> Hemsidor 1500 €, renovering 4000 €</t>
  </si>
  <si>
    <t xml:space="preserve"> Första reklam, broschyrer, logo, neonskylt</t>
  </si>
  <si>
    <t>150 m2, hyra 12 €/m2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</si>
</sst>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40B]"/>
  </numFmts>
  <fonts count="122" x14ac:knownFonts="1">
    <font>
      <sz val="10"/>
      <name val="Arial"/>
    </font>
    <font>
      <sz val="10"/>
      <color theme="1"/>
      <name val="Arial"/>
      <family val="2"/>
    </font>
    <font>
      <sz val="11"/>
      <color theme="1"/>
      <name val="Calibri"/>
      <family val="2"/>
      <scheme val="minor"/>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sz val="10"/>
      <color indexed="81"/>
      <name val="Tahoma"/>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sz val="12"/>
      <color indexed="10"/>
      <name val="Arial"/>
      <family val="2"/>
    </font>
    <font>
      <b/>
      <sz val="12"/>
      <color indexed="9"/>
      <name val="Arial"/>
      <family val="2"/>
    </font>
    <font>
      <b/>
      <sz val="14"/>
      <color indexed="9"/>
      <name val="Arial"/>
      <family val="2"/>
    </font>
    <font>
      <sz val="8"/>
      <name val="Arial"/>
      <family val="2"/>
    </font>
    <font>
      <b/>
      <u/>
      <sz val="10"/>
      <name val="Arial"/>
      <family val="2"/>
    </font>
    <font>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b/>
      <i/>
      <sz val="10"/>
      <name val="Verdana"/>
      <family val="2"/>
    </font>
    <font>
      <b/>
      <sz val="8"/>
      <name val="Verdana"/>
      <family val="2"/>
    </font>
    <font>
      <b/>
      <sz val="10"/>
      <name val="Tahoma"/>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z val="9"/>
      <color indexed="3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sz val="9"/>
      <color rgb="FF000066"/>
      <name val="Arial"/>
      <family val="2"/>
    </font>
    <font>
      <sz val="10"/>
      <color rgb="FF000066"/>
      <name val="Arial"/>
      <family val="2"/>
    </font>
    <font>
      <sz val="9"/>
      <color rgb="FF002060"/>
      <name val="Arial"/>
      <family val="2"/>
    </font>
    <font>
      <sz val="10"/>
      <color rgb="FF002060"/>
      <name val="Arial"/>
      <family val="2"/>
    </font>
    <font>
      <b/>
      <sz val="11"/>
      <color theme="1"/>
      <name val="Verdana"/>
      <family val="2"/>
    </font>
    <font>
      <b/>
      <sz val="9"/>
      <color theme="1"/>
      <name val="Verdana"/>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3"/>
      <name val="Calibri"/>
      <family val="2"/>
      <scheme val="minor"/>
    </font>
    <font>
      <sz val="11"/>
      <color theme="3"/>
      <name val="Calibri"/>
      <family val="2"/>
      <scheme val="minor"/>
    </font>
    <font>
      <b/>
      <sz val="12"/>
      <color rgb="FFFF0000"/>
      <name val="Arial"/>
      <family val="2"/>
    </font>
    <font>
      <b/>
      <sz val="11"/>
      <color theme="1"/>
      <name val="Calibri"/>
      <family val="2"/>
      <scheme val="minor"/>
    </font>
    <font>
      <b/>
      <sz val="11"/>
      <color indexed="8"/>
      <name val="Calibri"/>
      <family val="2"/>
      <scheme val="minor"/>
    </font>
    <font>
      <b/>
      <sz val="12"/>
      <color rgb="FFFF0000"/>
      <name val="Calibri"/>
      <family val="2"/>
      <scheme val="minor"/>
    </font>
    <font>
      <sz val="12"/>
      <name val="Calibri"/>
      <family val="2"/>
      <scheme val="minor"/>
    </font>
    <font>
      <b/>
      <sz val="9"/>
      <color theme="0"/>
      <name val="Arial"/>
      <family val="2"/>
    </font>
    <font>
      <b/>
      <sz val="11"/>
      <color rgb="FFFF0000"/>
      <name val="Arial"/>
      <family val="2"/>
    </font>
    <font>
      <sz val="11"/>
      <color rgb="FFFF0000"/>
      <name val="Calibri"/>
      <family val="2"/>
      <scheme val="minor"/>
    </font>
    <font>
      <sz val="10"/>
      <color indexed="81"/>
      <name val="Tahoma"/>
      <family val="2"/>
    </font>
    <font>
      <b/>
      <i/>
      <sz val="10"/>
      <color indexed="81"/>
      <name val="Tahoma"/>
      <family val="2"/>
    </font>
    <font>
      <b/>
      <sz val="14"/>
      <color theme="4" tint="-0.249977111117893"/>
      <name val="Calibri"/>
      <family val="2"/>
      <scheme val="minor"/>
    </font>
    <font>
      <b/>
      <sz val="10"/>
      <color theme="4" tint="-0.249977111117893"/>
      <name val="Arial"/>
      <family val="2"/>
    </font>
    <font>
      <b/>
      <i/>
      <sz val="9"/>
      <color rgb="FFFF0000"/>
      <name val="Arial"/>
      <family val="2"/>
    </font>
    <font>
      <i/>
      <sz val="9"/>
      <color indexed="30"/>
      <name val="Arial"/>
      <family val="2"/>
    </font>
    <font>
      <b/>
      <sz val="10"/>
      <color theme="0"/>
      <name val="Calibri"/>
      <family val="2"/>
      <scheme val="minor"/>
    </font>
    <font>
      <sz val="9"/>
      <color indexed="8"/>
      <name val="Calibri"/>
      <family val="2"/>
      <scheme val="minor"/>
    </font>
    <font>
      <sz val="9"/>
      <name val="Calibri"/>
      <family val="2"/>
      <scheme val="minor"/>
    </font>
    <font>
      <sz val="11"/>
      <color theme="0"/>
      <name val="Calibri"/>
      <family val="2"/>
      <scheme val="minor"/>
    </font>
    <font>
      <sz val="10"/>
      <color indexed="8"/>
      <name val="Tahoma"/>
      <family val="2"/>
    </font>
    <font>
      <b/>
      <sz val="10"/>
      <color theme="0"/>
      <name val="Arial"/>
      <family val="2"/>
    </font>
    <font>
      <sz val="10"/>
      <color theme="0"/>
      <name val="Arial"/>
      <family val="2"/>
    </font>
    <font>
      <b/>
      <sz val="12"/>
      <color theme="0"/>
      <name val="Arial"/>
      <family val="2"/>
    </font>
    <font>
      <sz val="9"/>
      <color theme="0"/>
      <name val="Arial"/>
      <family val="2"/>
    </font>
    <font>
      <b/>
      <sz val="12"/>
      <color theme="0"/>
      <name val="Calibri"/>
      <family val="2"/>
      <scheme val="minor"/>
    </font>
    <font>
      <sz val="10"/>
      <name val="Calibri"/>
      <family val="2"/>
      <scheme val="minor"/>
    </font>
    <font>
      <b/>
      <sz val="10"/>
      <color theme="1"/>
      <name val="Calibri"/>
      <family val="2"/>
      <scheme val="minor"/>
    </font>
    <font>
      <sz val="10"/>
      <color theme="3"/>
      <name val="Arial"/>
      <family val="2"/>
    </font>
    <font>
      <b/>
      <sz val="8"/>
      <color theme="0"/>
      <name val="Arial"/>
      <family val="2"/>
    </font>
    <font>
      <b/>
      <sz val="9"/>
      <color rgb="FF00B0F0"/>
      <name val="Arial"/>
      <family val="2"/>
    </font>
    <font>
      <sz val="9"/>
      <color rgb="FF00B0F0"/>
      <name val="Arial"/>
      <family val="2"/>
    </font>
    <font>
      <sz val="14"/>
      <name val="Arial"/>
      <family val="2"/>
    </font>
    <font>
      <b/>
      <u/>
      <sz val="9"/>
      <color indexed="12"/>
      <name val="Arial"/>
      <family val="2"/>
    </font>
  </fonts>
  <fills count="3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FFCC66"/>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0" tint="-0.14999847407452621"/>
        <bgColor indexed="31"/>
      </patternFill>
    </fill>
  </fills>
  <borders count="132">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style="double">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thin">
        <color indexed="64"/>
      </left>
      <right style="thin">
        <color indexed="64"/>
      </right>
      <top style="thin">
        <color theme="3" tint="0.59996337778862885"/>
      </top>
      <bottom/>
      <diagonal/>
    </border>
    <border>
      <left style="thin">
        <color indexed="64"/>
      </left>
      <right style="thin">
        <color indexed="64"/>
      </right>
      <top/>
      <bottom style="thin">
        <color theme="3" tint="0.59996337778862885"/>
      </bottom>
      <diagonal/>
    </border>
    <border>
      <left style="thin">
        <color indexed="64"/>
      </left>
      <right/>
      <top style="thin">
        <color theme="3" tint="0.59996337778862885"/>
      </top>
      <bottom/>
      <diagonal/>
    </border>
    <border>
      <left style="thin">
        <color indexed="64"/>
      </left>
      <right/>
      <top/>
      <bottom style="thin">
        <color theme="3" tint="0.59996337778862885"/>
      </bottom>
      <diagonal/>
    </border>
    <border>
      <left style="medium">
        <color indexed="64"/>
      </left>
      <right style="medium">
        <color indexed="64"/>
      </right>
      <top/>
      <bottom style="thin">
        <color rgb="FF99CCFF"/>
      </bottom>
      <diagonal/>
    </border>
    <border>
      <left style="hair">
        <color indexed="8"/>
      </left>
      <right style="hair">
        <color indexed="8"/>
      </right>
      <top/>
      <bottom/>
      <diagonal/>
    </border>
    <border>
      <left style="hair">
        <color indexed="8"/>
      </left>
      <right/>
      <top/>
      <bottom/>
      <diagonal/>
    </border>
    <border>
      <left style="hair">
        <color indexed="8"/>
      </left>
      <right/>
      <top/>
      <bottom style="thin">
        <color indexed="64"/>
      </bottom>
      <diagonal/>
    </border>
    <border>
      <left style="hair">
        <color indexed="8"/>
      </left>
      <right style="hair">
        <color indexed="8"/>
      </right>
      <top/>
      <bottom style="thin">
        <color indexed="64"/>
      </bottom>
      <diagonal/>
    </border>
    <border>
      <left style="hair">
        <color indexed="8"/>
      </left>
      <right style="thin">
        <color indexed="64"/>
      </right>
      <top/>
      <bottom/>
      <diagonal/>
    </border>
    <border>
      <left style="hair">
        <color indexed="8"/>
      </left>
      <right style="thin">
        <color indexed="64"/>
      </right>
      <top/>
      <bottom style="thin">
        <color indexed="64"/>
      </bottom>
      <diagonal/>
    </border>
    <border>
      <left/>
      <right style="hair">
        <color indexed="8"/>
      </right>
      <top/>
      <bottom/>
      <diagonal/>
    </border>
    <border>
      <left/>
      <right style="hair">
        <color indexed="8"/>
      </right>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rgb="FF99CCFF"/>
      </bottom>
      <diagonal/>
    </border>
    <border>
      <left style="thin">
        <color indexed="64"/>
      </left>
      <right style="medium">
        <color indexed="64"/>
      </right>
      <top style="thin">
        <color indexed="64"/>
      </top>
      <bottom/>
      <diagonal/>
    </border>
    <border>
      <left/>
      <right/>
      <top style="dashed">
        <color indexed="64"/>
      </top>
      <bottom style="dashed">
        <color indexed="64"/>
      </bottom>
      <diagonal/>
    </border>
  </borders>
  <cellStyleXfs count="4">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cellStyleXfs>
  <cellXfs count="2030">
    <xf numFmtId="0" fontId="0" fillId="0" borderId="0" xfId="0"/>
    <xf numFmtId="0" fontId="6" fillId="0" borderId="0" xfId="0" applyFont="1"/>
    <xf numFmtId="0" fontId="7" fillId="0" borderId="0" xfId="0" applyFont="1"/>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7"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5"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2" fillId="0" borderId="0" xfId="0" applyFont="1"/>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6" fillId="0" borderId="0" xfId="0" applyNumberFormat="1" applyFont="1" applyProtection="1">
      <protection hidden="1"/>
    </xf>
    <xf numFmtId="0" fontId="10" fillId="3" borderId="0" xfId="0" applyFont="1" applyFill="1"/>
    <xf numFmtId="14" fontId="8" fillId="0" borderId="0" xfId="0" applyNumberFormat="1" applyFont="1"/>
    <xf numFmtId="0" fontId="26"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Alignment="1">
      <alignment horizontal="right"/>
    </xf>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7" fillId="0" borderId="85" xfId="0" applyFont="1" applyBorder="1" applyProtection="1">
      <protection hidden="1"/>
    </xf>
    <xf numFmtId="3" fontId="17" fillId="0" borderId="86" xfId="0" applyNumberFormat="1" applyFont="1" applyBorder="1" applyProtection="1">
      <protection hidden="1"/>
    </xf>
    <xf numFmtId="0" fontId="17" fillId="0" borderId="87" xfId="0" applyFont="1" applyBorder="1" applyProtection="1">
      <protection hidden="1"/>
    </xf>
    <xf numFmtId="0" fontId="17" fillId="0" borderId="88" xfId="0" applyFont="1" applyBorder="1" applyProtection="1">
      <protection hidden="1"/>
    </xf>
    <xf numFmtId="0" fontId="17" fillId="0" borderId="89" xfId="0" applyFont="1" applyBorder="1" applyProtection="1">
      <protection hidden="1"/>
    </xf>
    <xf numFmtId="0" fontId="16" fillId="0" borderId="8" xfId="0" applyFont="1" applyBorder="1"/>
    <xf numFmtId="0" fontId="17" fillId="0" borderId="0" xfId="0" applyFont="1" applyProtection="1">
      <protection hidden="1"/>
    </xf>
    <xf numFmtId="0" fontId="16" fillId="0" borderId="0" xfId="0" applyFont="1" applyProtection="1">
      <protection hidden="1"/>
    </xf>
    <xf numFmtId="0" fontId="17" fillId="0" borderId="10" xfId="0" applyFont="1" applyBorder="1"/>
    <xf numFmtId="0" fontId="16" fillId="0" borderId="0" xfId="0" applyFont="1"/>
    <xf numFmtId="3" fontId="17" fillId="0" borderId="0" xfId="0" applyNumberFormat="1" applyFont="1" applyProtection="1">
      <protection hidden="1"/>
    </xf>
    <xf numFmtId="0" fontId="17" fillId="0" borderId="90" xfId="0" applyFont="1" applyBorder="1" applyAlignment="1" applyProtection="1">
      <alignment horizontal="left"/>
      <protection hidden="1"/>
    </xf>
    <xf numFmtId="0" fontId="17" fillId="0" borderId="87" xfId="0" applyFont="1" applyBorder="1" applyAlignment="1" applyProtection="1">
      <alignment horizontal="left"/>
      <protection hidden="1"/>
    </xf>
    <xf numFmtId="0" fontId="17" fillId="0" borderId="88" xfId="0" applyFont="1" applyBorder="1" applyAlignment="1" applyProtection="1">
      <alignment horizontal="left"/>
      <protection hidden="1"/>
    </xf>
    <xf numFmtId="164" fontId="17" fillId="0" borderId="86" xfId="0" applyNumberFormat="1" applyFont="1" applyBorder="1" applyProtection="1">
      <protection hidden="1"/>
    </xf>
    <xf numFmtId="0" fontId="6" fillId="0" borderId="0" xfId="0" applyFont="1" applyProtection="1">
      <protection hidden="1"/>
    </xf>
    <xf numFmtId="3" fontId="17" fillId="4" borderId="86" xfId="0" applyNumberFormat="1" applyFont="1" applyFill="1" applyBorder="1" applyProtection="1">
      <protection hidden="1"/>
    </xf>
    <xf numFmtId="3" fontId="17" fillId="4" borderId="0" xfId="0" applyNumberFormat="1" applyFont="1" applyFill="1" applyProtection="1">
      <protection hidden="1"/>
    </xf>
    <xf numFmtId="164" fontId="17" fillId="4" borderId="86" xfId="0" applyNumberFormat="1" applyFont="1" applyFill="1" applyBorder="1" applyProtection="1">
      <protection hidden="1"/>
    </xf>
    <xf numFmtId="164" fontId="17" fillId="4" borderId="0" xfId="0" applyNumberFormat="1" applyFont="1" applyFill="1" applyProtection="1">
      <protection hidden="1"/>
    </xf>
    <xf numFmtId="3" fontId="17" fillId="0" borderId="0" xfId="0" applyNumberFormat="1" applyFont="1"/>
    <xf numFmtId="164" fontId="17" fillId="0" borderId="0" xfId="0" applyNumberFormat="1" applyFont="1"/>
    <xf numFmtId="0" fontId="10" fillId="0" borderId="0" xfId="0" applyFont="1"/>
    <xf numFmtId="0" fontId="5" fillId="0" borderId="0" xfId="0" applyFont="1" applyProtection="1">
      <protection hidden="1"/>
    </xf>
    <xf numFmtId="4" fontId="5" fillId="3" borderId="0" xfId="0" applyNumberFormat="1" applyFont="1" applyFill="1" applyAlignment="1">
      <alignment horizontal="center"/>
    </xf>
    <xf numFmtId="4" fontId="16"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16" fillId="0" borderId="8" xfId="0" applyFont="1" applyBorder="1" applyProtection="1">
      <protection hidden="1"/>
    </xf>
    <xf numFmtId="0" fontId="8" fillId="0" borderId="14" xfId="0" applyFont="1" applyBorder="1" applyAlignment="1" applyProtection="1">
      <alignment horizontal="center"/>
      <protection hidden="1"/>
    </xf>
    <xf numFmtId="0" fontId="6" fillId="0" borderId="0" xfId="0" applyFont="1" applyAlignment="1" applyProtection="1">
      <alignment horizontal="center" vertical="center"/>
      <protection hidden="1"/>
    </xf>
    <xf numFmtId="3" fontId="58"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7"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1" xfId="0" quotePrefix="1" applyNumberFormat="1" applyFont="1" applyBorder="1" applyAlignment="1">
      <alignment horizontal="right"/>
    </xf>
    <xf numFmtId="1" fontId="0" fillId="0" borderId="22" xfId="0" applyNumberFormat="1" applyBorder="1"/>
    <xf numFmtId="1" fontId="0" fillId="0" borderId="7" xfId="0" applyNumberForma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5" fillId="0" borderId="21" xfId="0" applyFont="1" applyBorder="1" applyAlignment="1">
      <alignment horizontal="right"/>
    </xf>
    <xf numFmtId="0" fontId="6" fillId="0" borderId="21" xfId="0" quotePrefix="1" applyFont="1" applyBorder="1" applyAlignment="1">
      <alignment horizontal="right"/>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7" fillId="0" borderId="15"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7" fillId="0" borderId="10" xfId="2" applyFont="1" applyBorder="1" applyAlignment="1">
      <alignment horizontal="right"/>
    </xf>
    <xf numFmtId="0" fontId="0" fillId="0" borderId="27" xfId="0" applyBorder="1"/>
    <xf numFmtId="0" fontId="9" fillId="0" borderId="28" xfId="0" applyFont="1" applyBorder="1"/>
    <xf numFmtId="0" fontId="0" fillId="0" borderId="28" xfId="0" applyBorder="1"/>
    <xf numFmtId="0" fontId="0" fillId="0" borderId="13" xfId="0" applyBorder="1"/>
    <xf numFmtId="0" fontId="0" fillId="0" borderId="19" xfId="0" applyBorder="1"/>
    <xf numFmtId="10" fontId="0" fillId="0" borderId="0" xfId="2" applyNumberFormat="1" applyFont="1"/>
    <xf numFmtId="0" fontId="0" fillId="0" borderId="29" xfId="0" applyBorder="1"/>
    <xf numFmtId="8" fontId="0" fillId="0" borderId="0" xfId="0" applyNumberFormat="1"/>
    <xf numFmtId="0" fontId="6" fillId="0" borderId="19" xfId="0" applyFont="1" applyBorder="1"/>
    <xf numFmtId="0" fontId="0" fillId="0" borderId="30" xfId="0" applyBorder="1"/>
    <xf numFmtId="0" fontId="0" fillId="0" borderId="31" xfId="0" applyBorder="1"/>
    <xf numFmtId="0" fontId="0" fillId="0" borderId="32" xfId="0" applyBorder="1"/>
    <xf numFmtId="0" fontId="9" fillId="0" borderId="19" xfId="0" applyFont="1" applyBorder="1"/>
    <xf numFmtId="0" fontId="6" fillId="0" borderId="28" xfId="0" applyFont="1" applyBorder="1"/>
    <xf numFmtId="0" fontId="0" fillId="0" borderId="19" xfId="0" applyBorder="1" applyProtection="1">
      <protection hidden="1"/>
    </xf>
    <xf numFmtId="3" fontId="0" fillId="0" borderId="29" xfId="0" applyNumberFormat="1" applyBorder="1"/>
    <xf numFmtId="0" fontId="6" fillId="0" borderId="0" xfId="0" applyFont="1" applyAlignment="1">
      <alignment horizontal="left" vertical="center"/>
    </xf>
    <xf numFmtId="0" fontId="9" fillId="0" borderId="28" xfId="0" applyFont="1" applyBorder="1" applyProtection="1">
      <protection hidden="1"/>
    </xf>
    <xf numFmtId="0" fontId="9" fillId="0" borderId="0" xfId="0" applyFont="1" applyProtection="1">
      <protection hidden="1"/>
    </xf>
    <xf numFmtId="0" fontId="58" fillId="0" borderId="0" xfId="0" applyFont="1"/>
    <xf numFmtId="1" fontId="0" fillId="6" borderId="0" xfId="0" applyNumberFormat="1" applyFill="1"/>
    <xf numFmtId="3" fontId="0" fillId="6" borderId="0" xfId="0" applyNumberFormat="1" applyFill="1"/>
    <xf numFmtId="165" fontId="6" fillId="0" borderId="0" xfId="0" applyNumberFormat="1" applyFont="1" applyAlignment="1">
      <alignment horizontal="center"/>
    </xf>
    <xf numFmtId="3" fontId="0" fillId="6" borderId="0" xfId="0" applyNumberFormat="1" applyFill="1" applyProtection="1">
      <protection hidden="1"/>
    </xf>
    <xf numFmtId="0" fontId="37" fillId="0" borderId="0" xfId="0" applyFont="1" applyAlignment="1">
      <alignment horizontal="right" vertical="center"/>
    </xf>
    <xf numFmtId="14" fontId="37" fillId="0" borderId="0" xfId="0" applyNumberFormat="1" applyFont="1" applyAlignment="1">
      <alignment horizontal="right" vertical="center"/>
    </xf>
    <xf numFmtId="0" fontId="37" fillId="0" borderId="0" xfId="0" applyFont="1" applyAlignment="1" applyProtection="1">
      <alignment horizontal="right"/>
      <protection hidden="1"/>
    </xf>
    <xf numFmtId="0" fontId="0" fillId="0" borderId="6" xfId="0" applyBorder="1"/>
    <xf numFmtId="0" fontId="0" fillId="0" borderId="20" xfId="0" applyBorder="1"/>
    <xf numFmtId="0" fontId="0" fillId="0" borderId="9" xfId="0" applyBorder="1"/>
    <xf numFmtId="3" fontId="17" fillId="0" borderId="33" xfId="0" applyNumberFormat="1" applyFont="1" applyBorder="1" applyAlignment="1">
      <alignment horizontal="center"/>
    </xf>
    <xf numFmtId="3" fontId="17" fillId="0" borderId="10" xfId="0" applyNumberFormat="1" applyFont="1" applyBorder="1" applyAlignment="1">
      <alignment horizontal="center"/>
    </xf>
    <xf numFmtId="3" fontId="17" fillId="0" borderId="12" xfId="0" applyNumberFormat="1" applyFont="1" applyBorder="1" applyAlignment="1">
      <alignment horizontal="center"/>
    </xf>
    <xf numFmtId="0" fontId="16" fillId="0" borderId="0" xfId="0" applyFont="1" applyAlignment="1">
      <alignment horizontal="center" vertical="center"/>
    </xf>
    <xf numFmtId="0" fontId="16" fillId="7" borderId="19" xfId="0" applyFont="1" applyFill="1" applyBorder="1" applyAlignment="1" applyProtection="1">
      <alignment vertical="center"/>
      <protection hidden="1"/>
    </xf>
    <xf numFmtId="0" fontId="0" fillId="0" borderId="11" xfId="0" applyBorder="1"/>
    <xf numFmtId="0" fontId="0" fillId="0" borderId="8" xfId="0" applyBorder="1"/>
    <xf numFmtId="0" fontId="17" fillId="0" borderId="0" xfId="0" applyFont="1" applyAlignment="1" applyProtection="1">
      <alignment vertical="center"/>
      <protection hidden="1"/>
    </xf>
    <xf numFmtId="0" fontId="0" fillId="0" borderId="0" xfId="0" applyAlignment="1">
      <alignment vertical="center"/>
    </xf>
    <xf numFmtId="0" fontId="60" fillId="0" borderId="0" xfId="0" applyFont="1" applyAlignment="1">
      <alignment horizontal="center" vertical="center"/>
    </xf>
    <xf numFmtId="0" fontId="38" fillId="3" borderId="0" xfId="0" applyFont="1" applyFill="1"/>
    <xf numFmtId="0" fontId="39" fillId="3" borderId="0" xfId="0" applyFont="1" applyFill="1"/>
    <xf numFmtId="49" fontId="6" fillId="3" borderId="0" xfId="0" applyNumberFormat="1" applyFont="1" applyFill="1" applyAlignment="1">
      <alignment horizontal="right" vertical="center"/>
    </xf>
    <xf numFmtId="0" fontId="42" fillId="0" borderId="0" xfId="0" applyFont="1"/>
    <xf numFmtId="3" fontId="43" fillId="0" borderId="0" xfId="0" applyNumberFormat="1" applyFont="1"/>
    <xf numFmtId="3" fontId="6" fillId="0" borderId="0" xfId="0" applyNumberFormat="1" applyFont="1" applyAlignment="1">
      <alignment horizontal="right"/>
    </xf>
    <xf numFmtId="3" fontId="5" fillId="0" borderId="0" xfId="0" applyNumberFormat="1" applyFont="1" applyAlignment="1">
      <alignment horizontal="right"/>
    </xf>
    <xf numFmtId="0" fontId="44" fillId="0" borderId="0" xfId="0" applyFont="1" applyAlignment="1">
      <alignment horizontal="center"/>
    </xf>
    <xf numFmtId="0" fontId="33" fillId="0" borderId="0" xfId="0" applyFont="1" applyAlignment="1">
      <alignment horizontal="right"/>
    </xf>
    <xf numFmtId="0" fontId="6" fillId="8" borderId="36" xfId="0" applyFont="1" applyFill="1" applyBorder="1" applyProtection="1">
      <protection hidden="1"/>
    </xf>
    <xf numFmtId="0" fontId="6" fillId="8" borderId="37" xfId="0" applyFont="1" applyFill="1" applyBorder="1" applyAlignment="1" applyProtection="1">
      <alignment horizontal="center" vertical="center"/>
      <protection hidden="1"/>
    </xf>
    <xf numFmtId="0" fontId="0" fillId="8" borderId="38" xfId="0" applyFill="1" applyBorder="1" applyAlignment="1" applyProtection="1">
      <alignment horizontal="center"/>
      <protection hidden="1"/>
    </xf>
    <xf numFmtId="0" fontId="6" fillId="0" borderId="18" xfId="0" applyFont="1" applyBorder="1" applyProtection="1">
      <protection hidden="1"/>
    </xf>
    <xf numFmtId="3" fontId="0" fillId="0" borderId="39"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8" xfId="0" applyFont="1" applyBorder="1" applyAlignment="1" applyProtection="1">
      <alignment horizontal="left"/>
      <protection hidden="1"/>
    </xf>
    <xf numFmtId="3" fontId="45" fillId="0" borderId="39" xfId="0" applyNumberFormat="1" applyFont="1" applyBorder="1" applyAlignment="1" applyProtection="1">
      <alignment horizontal="right"/>
      <protection hidden="1"/>
    </xf>
    <xf numFmtId="3" fontId="0" fillId="0" borderId="20" xfId="0" applyNumberFormat="1" applyBorder="1" applyAlignment="1" applyProtection="1">
      <alignment horizontal="right"/>
      <protection hidden="1"/>
    </xf>
    <xf numFmtId="3" fontId="45" fillId="0" borderId="39" xfId="0" applyNumberFormat="1" applyFont="1" applyBorder="1" applyProtection="1">
      <protection hidden="1"/>
    </xf>
    <xf numFmtId="3" fontId="0" fillId="0" borderId="20" xfId="0" applyNumberFormat="1" applyBorder="1" applyProtection="1">
      <protection hidden="1"/>
    </xf>
    <xf numFmtId="0" fontId="6" fillId="0" borderId="22" xfId="0" applyFont="1" applyBorder="1" applyAlignment="1" applyProtection="1">
      <alignment horizontal="left"/>
      <protection hidden="1"/>
    </xf>
    <xf numFmtId="166" fontId="6" fillId="0" borderId="22" xfId="0" applyNumberFormat="1" applyFont="1" applyBorder="1" applyAlignment="1" applyProtection="1">
      <alignment horizontal="center"/>
      <protection hidden="1"/>
    </xf>
    <xf numFmtId="3" fontId="45" fillId="0" borderId="22" xfId="0" applyNumberFormat="1" applyFont="1" applyBorder="1" applyProtection="1">
      <protection hidden="1"/>
    </xf>
    <xf numFmtId="3" fontId="0" fillId="0" borderId="22" xfId="0" applyNumberFormat="1" applyBorder="1" applyProtection="1">
      <protection hidden="1"/>
    </xf>
    <xf numFmtId="3" fontId="6" fillId="0" borderId="39" xfId="0" applyNumberFormat="1" applyFont="1" applyBorder="1" applyAlignment="1" applyProtection="1">
      <alignment horizontal="right"/>
      <protection hidden="1"/>
    </xf>
    <xf numFmtId="0" fontId="6" fillId="0" borderId="91" xfId="0" applyFont="1" applyBorder="1" applyProtection="1">
      <protection hidden="1"/>
    </xf>
    <xf numFmtId="2" fontId="6" fillId="0" borderId="92" xfId="0" applyNumberFormat="1" applyFont="1" applyBorder="1" applyAlignment="1" applyProtection="1">
      <alignment horizontal="center" vertical="center"/>
      <protection hidden="1"/>
    </xf>
    <xf numFmtId="3" fontId="0" fillId="0" borderId="93" xfId="0" applyNumberFormat="1" applyBorder="1" applyAlignment="1" applyProtection="1">
      <alignment horizontal="right"/>
      <protection hidden="1"/>
    </xf>
    <xf numFmtId="0" fontId="6" fillId="0" borderId="94" xfId="0" applyFont="1" applyBorder="1" applyAlignment="1" applyProtection="1">
      <alignment horizontal="left"/>
      <protection hidden="1"/>
    </xf>
    <xf numFmtId="166" fontId="0" fillId="0" borderId="95" xfId="0" applyNumberFormat="1" applyBorder="1" applyAlignment="1" applyProtection="1">
      <alignment horizontal="center"/>
      <protection hidden="1"/>
    </xf>
    <xf numFmtId="3" fontId="0" fillId="0" borderId="96" xfId="0" applyNumberFormat="1" applyBorder="1" applyProtection="1">
      <protection hidden="1"/>
    </xf>
    <xf numFmtId="0" fontId="6" fillId="0" borderId="97" xfId="0" applyFont="1" applyBorder="1" applyAlignment="1" applyProtection="1">
      <alignment horizontal="left"/>
      <protection hidden="1"/>
    </xf>
    <xf numFmtId="3" fontId="45" fillId="0" borderId="98" xfId="0" applyNumberFormat="1" applyFont="1" applyBorder="1" applyProtection="1">
      <protection hidden="1"/>
    </xf>
    <xf numFmtId="3" fontId="0" fillId="0" borderId="99" xfId="0" applyNumberFormat="1" applyBorder="1" applyProtection="1">
      <protection hidden="1"/>
    </xf>
    <xf numFmtId="0" fontId="6" fillId="9" borderId="40" xfId="0" applyFont="1" applyFill="1" applyBorder="1" applyProtection="1">
      <protection hidden="1"/>
    </xf>
    <xf numFmtId="166" fontId="6" fillId="9" borderId="41" xfId="0" applyNumberFormat="1" applyFont="1" applyFill="1" applyBorder="1" applyAlignment="1" applyProtection="1">
      <alignment horizontal="center"/>
      <protection hidden="1"/>
    </xf>
    <xf numFmtId="3" fontId="45" fillId="9" borderId="42" xfId="0" applyNumberFormat="1" applyFont="1" applyFill="1" applyBorder="1" applyAlignment="1" applyProtection="1">
      <alignment horizontal="center"/>
      <protection hidden="1"/>
    </xf>
    <xf numFmtId="0" fontId="0" fillId="0" borderId="43" xfId="0" applyBorder="1" applyProtection="1">
      <protection hidden="1"/>
    </xf>
    <xf numFmtId="0" fontId="6" fillId="0" borderId="44" xfId="0" applyFont="1" applyBorder="1" applyProtection="1">
      <protection hidden="1"/>
    </xf>
    <xf numFmtId="166" fontId="0" fillId="0" borderId="31" xfId="0" applyNumberFormat="1" applyBorder="1" applyAlignment="1" applyProtection="1">
      <alignment horizontal="center"/>
      <protection hidden="1"/>
    </xf>
    <xf numFmtId="166" fontId="0" fillId="0" borderId="0" xfId="0" applyNumberFormat="1" applyAlignment="1" applyProtection="1">
      <alignment horizontal="center"/>
      <protection hidden="1"/>
    </xf>
    <xf numFmtId="3" fontId="45" fillId="0" borderId="0" xfId="0" applyNumberFormat="1" applyFont="1" applyProtection="1">
      <protection hidden="1"/>
    </xf>
    <xf numFmtId="0" fontId="6" fillId="0" borderId="16" xfId="0" applyFont="1" applyBorder="1" applyProtection="1">
      <protection hidden="1"/>
    </xf>
    <xf numFmtId="166" fontId="0" fillId="0" borderId="8" xfId="0" applyNumberFormat="1" applyBorder="1" applyAlignment="1" applyProtection="1">
      <alignment horizontal="center"/>
      <protection hidden="1"/>
    </xf>
    <xf numFmtId="0" fontId="0" fillId="9" borderId="6" xfId="0" applyFill="1" applyBorder="1" applyAlignment="1" applyProtection="1">
      <alignment horizontal="center"/>
      <protection hidden="1"/>
    </xf>
    <xf numFmtId="0" fontId="41" fillId="0" borderId="45" xfId="0" applyFont="1" applyBorder="1" applyProtection="1">
      <protection hidden="1"/>
    </xf>
    <xf numFmtId="166" fontId="41" fillId="0" borderId="27" xfId="0" applyNumberFormat="1" applyFont="1" applyBorder="1" applyAlignment="1" applyProtection="1">
      <alignment horizontal="center"/>
      <protection hidden="1"/>
    </xf>
    <xf numFmtId="0" fontId="41" fillId="0" borderId="46" xfId="0" applyFont="1" applyBorder="1" applyProtection="1">
      <protection hidden="1"/>
    </xf>
    <xf numFmtId="166" fontId="41" fillId="0" borderId="30" xfId="0" applyNumberFormat="1" applyFont="1" applyBorder="1" applyAlignment="1" applyProtection="1">
      <alignment horizontal="center"/>
      <protection hidden="1"/>
    </xf>
    <xf numFmtId="0" fontId="41" fillId="0" borderId="18" xfId="0" applyFont="1" applyBorder="1" applyProtection="1">
      <protection hidden="1"/>
    </xf>
    <xf numFmtId="166" fontId="41" fillId="0" borderId="19" xfId="0" applyNumberFormat="1" applyFont="1" applyBorder="1" applyAlignment="1" applyProtection="1">
      <alignment horizontal="center"/>
      <protection hidden="1"/>
    </xf>
    <xf numFmtId="0" fontId="0" fillId="0" borderId="8" xfId="0" applyBorder="1" applyProtection="1">
      <protection hidden="1"/>
    </xf>
    <xf numFmtId="0" fontId="41" fillId="0" borderId="0" xfId="0" applyFont="1" applyProtection="1">
      <protection hidden="1"/>
    </xf>
    <xf numFmtId="0" fontId="6" fillId="7" borderId="0" xfId="0" applyFont="1" applyFill="1" applyAlignment="1" applyProtection="1">
      <alignment horizontal="center" vertical="center"/>
      <protection hidden="1"/>
    </xf>
    <xf numFmtId="3" fontId="61" fillId="0" borderId="0" xfId="0" applyNumberFormat="1" applyFont="1" applyProtection="1">
      <protection hidden="1"/>
    </xf>
    <xf numFmtId="0" fontId="6" fillId="0" borderId="14" xfId="0" applyFont="1" applyBorder="1"/>
    <xf numFmtId="0" fontId="0" fillId="0" borderId="14" xfId="0" applyBorder="1"/>
    <xf numFmtId="3" fontId="0" fillId="0" borderId="14" xfId="0" applyNumberFormat="1" applyBorder="1"/>
    <xf numFmtId="3" fontId="6" fillId="0" borderId="14" xfId="0" applyNumberFormat="1" applyFont="1" applyBorder="1"/>
    <xf numFmtId="3" fontId="45" fillId="0" borderId="0" xfId="0" applyNumberFormat="1" applyFont="1" applyAlignment="1" applyProtection="1">
      <alignment horizontal="right"/>
      <protection hidden="1"/>
    </xf>
    <xf numFmtId="0" fontId="6" fillId="7" borderId="101" xfId="0" applyFont="1" applyFill="1" applyBorder="1" applyAlignment="1" applyProtection="1">
      <alignment horizontal="center" vertical="center"/>
      <protection hidden="1"/>
    </xf>
    <xf numFmtId="166" fontId="6" fillId="0" borderId="101" xfId="0" applyNumberFormat="1" applyFont="1" applyBorder="1" applyAlignment="1" applyProtection="1">
      <alignment horizontal="center" vertical="center"/>
      <protection hidden="1"/>
    </xf>
    <xf numFmtId="2" fontId="6" fillId="10" borderId="101" xfId="0" applyNumberFormat="1" applyFont="1" applyFill="1" applyBorder="1" applyAlignment="1" applyProtection="1">
      <alignment horizontal="center" vertical="center"/>
      <protection hidden="1"/>
    </xf>
    <xf numFmtId="166" fontId="41" fillId="0" borderId="0" xfId="0" applyNumberFormat="1" applyFont="1" applyAlignment="1" applyProtection="1">
      <alignment horizontal="center"/>
      <protection hidden="1"/>
    </xf>
    <xf numFmtId="3" fontId="45" fillId="0" borderId="0" xfId="0" applyNumberFormat="1" applyFont="1" applyAlignment="1" applyProtection="1">
      <alignment horizontal="center"/>
      <protection hidden="1"/>
    </xf>
    <xf numFmtId="166" fontId="41" fillId="0" borderId="18" xfId="0" applyNumberFormat="1" applyFont="1" applyBorder="1" applyAlignment="1" applyProtection="1">
      <alignment horizontal="center"/>
      <protection hidden="1"/>
    </xf>
    <xf numFmtId="167" fontId="45" fillId="0" borderId="0" xfId="0" applyNumberFormat="1" applyFont="1" applyProtection="1">
      <protection hidden="1"/>
    </xf>
    <xf numFmtId="167" fontId="0" fillId="0" borderId="0" xfId="0" applyNumberFormat="1" applyProtection="1">
      <protection hidden="1"/>
    </xf>
    <xf numFmtId="0" fontId="38" fillId="0" borderId="0" xfId="0" applyFont="1"/>
    <xf numFmtId="0" fontId="17" fillId="0" borderId="14" xfId="0" applyFont="1" applyBorder="1" applyAlignment="1">
      <alignment horizontal="left"/>
    </xf>
    <xf numFmtId="0" fontId="0" fillId="0" borderId="40" xfId="0" applyBorder="1"/>
    <xf numFmtId="0" fontId="0" fillId="0" borderId="18" xfId="0" applyBorder="1"/>
    <xf numFmtId="3" fontId="0" fillId="0" borderId="18" xfId="0" applyNumberFormat="1" applyBorder="1"/>
    <xf numFmtId="0" fontId="6" fillId="0" borderId="18" xfId="0" applyFont="1" applyBorder="1"/>
    <xf numFmtId="0" fontId="7" fillId="0" borderId="16" xfId="0" applyFont="1" applyBorder="1"/>
    <xf numFmtId="3" fontId="7" fillId="0" borderId="8" xfId="0" applyNumberFormat="1" applyFont="1" applyBorder="1"/>
    <xf numFmtId="0" fontId="17" fillId="0" borderId="90"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7" fillId="0" borderId="14" xfId="2" applyFont="1" applyBorder="1" applyAlignment="1">
      <alignment horizontal="right"/>
    </xf>
    <xf numFmtId="1" fontId="0" fillId="6" borderId="14" xfId="0" applyNumberFormat="1" applyFill="1" applyBorder="1"/>
    <xf numFmtId="10" fontId="0" fillId="0" borderId="14" xfId="0" applyNumberFormat="1" applyBorder="1"/>
    <xf numFmtId="3" fontId="0" fillId="6" borderId="14" xfId="0" applyNumberFormat="1" applyFill="1" applyBorder="1"/>
    <xf numFmtId="1" fontId="0" fillId="0" borderId="14" xfId="0" applyNumberFormat="1" applyBorder="1"/>
    <xf numFmtId="10" fontId="6" fillId="0" borderId="14" xfId="0" applyNumberFormat="1" applyFont="1" applyBorder="1"/>
    <xf numFmtId="0" fontId="6" fillId="0" borderId="14" xfId="0" applyFont="1" applyBorder="1" applyAlignment="1">
      <alignment horizontal="right"/>
    </xf>
    <xf numFmtId="164" fontId="36" fillId="6" borderId="14" xfId="2" applyNumberFormat="1" applyFont="1" applyFill="1" applyBorder="1"/>
    <xf numFmtId="3" fontId="7" fillId="0" borderId="14" xfId="0" applyNumberFormat="1" applyFont="1" applyBorder="1"/>
    <xf numFmtId="1" fontId="7" fillId="0" borderId="14" xfId="0" applyNumberFormat="1" applyFont="1" applyBorder="1"/>
    <xf numFmtId="9" fontId="0" fillId="0" borderId="14" xfId="2" applyFont="1" applyBorder="1"/>
    <xf numFmtId="0" fontId="62" fillId="0" borderId="14" xfId="0" applyFont="1" applyBorder="1"/>
    <xf numFmtId="1" fontId="62" fillId="0" borderId="14" xfId="0" applyNumberFormat="1" applyFont="1" applyBorder="1"/>
    <xf numFmtId="0" fontId="63" fillId="0" borderId="0" xfId="0" applyFont="1"/>
    <xf numFmtId="0" fontId="64" fillId="0" borderId="0" xfId="0" applyFont="1"/>
    <xf numFmtId="0" fontId="46" fillId="0" borderId="0" xfId="0" applyFont="1"/>
    <xf numFmtId="0" fontId="66" fillId="0" borderId="0" xfId="0" applyFont="1" applyAlignment="1">
      <alignment horizontal="center"/>
    </xf>
    <xf numFmtId="0" fontId="7" fillId="0" borderId="0" xfId="0" applyFont="1" applyAlignment="1" applyProtection="1">
      <alignment horizontal="right"/>
      <protection hidden="1"/>
    </xf>
    <xf numFmtId="164" fontId="17" fillId="11" borderId="14" xfId="0" applyNumberFormat="1" applyFont="1" applyFill="1" applyBorder="1" applyAlignment="1" applyProtection="1">
      <alignment horizontal="center"/>
      <protection locked="0"/>
    </xf>
    <xf numFmtId="3" fontId="17" fillId="11" borderId="14" xfId="0" applyNumberFormat="1" applyFont="1" applyFill="1" applyBorder="1" applyAlignment="1" applyProtection="1">
      <alignment horizontal="center"/>
      <protection locked="0"/>
    </xf>
    <xf numFmtId="0" fontId="17" fillId="0" borderId="33" xfId="0" applyFont="1" applyBorder="1" applyAlignment="1" applyProtection="1">
      <alignment vertical="center"/>
      <protection hidden="1"/>
    </xf>
    <xf numFmtId="0" fontId="17" fillId="0" borderId="12" xfId="0" applyFont="1" applyBorder="1" applyAlignment="1" applyProtection="1">
      <alignment vertical="center"/>
      <protection hidden="1"/>
    </xf>
    <xf numFmtId="0" fontId="16" fillId="7" borderId="33" xfId="0" applyFont="1" applyFill="1" applyBorder="1" applyAlignment="1" applyProtection="1">
      <alignment vertical="center"/>
      <protection hidden="1"/>
    </xf>
    <xf numFmtId="0" fontId="16" fillId="7" borderId="12" xfId="0" applyFont="1" applyFill="1" applyBorder="1" applyAlignment="1" applyProtection="1">
      <alignment vertical="center"/>
      <protection hidden="1"/>
    </xf>
    <xf numFmtId="0" fontId="16" fillId="0" borderId="12" xfId="0" applyFont="1" applyBorder="1" applyAlignment="1" applyProtection="1">
      <alignment vertical="center"/>
      <protection hidden="1"/>
    </xf>
    <xf numFmtId="0" fontId="17" fillId="0" borderId="10" xfId="0" applyFont="1" applyBorder="1" applyAlignment="1" applyProtection="1">
      <alignment vertical="center"/>
      <protection hidden="1"/>
    </xf>
    <xf numFmtId="3" fontId="17" fillId="0" borderId="12" xfId="0" applyNumberFormat="1" applyFont="1" applyBorder="1" applyAlignment="1" applyProtection="1">
      <alignment vertical="center"/>
      <protection hidden="1"/>
    </xf>
    <xf numFmtId="0" fontId="16" fillId="7" borderId="53" xfId="0" applyFont="1" applyFill="1" applyBorder="1" applyAlignment="1" applyProtection="1">
      <alignment vertical="center"/>
      <protection hidden="1"/>
    </xf>
    <xf numFmtId="0" fontId="16" fillId="7" borderId="54" xfId="0" applyFont="1" applyFill="1" applyBorder="1" applyAlignment="1" applyProtection="1">
      <alignment vertical="center"/>
      <protection hidden="1"/>
    </xf>
    <xf numFmtId="0" fontId="7" fillId="0" borderId="0" xfId="0" applyFont="1" applyAlignment="1">
      <alignment vertical="center"/>
    </xf>
    <xf numFmtId="1" fontId="0" fillId="0" borderId="0" xfId="0" applyNumberFormat="1" applyAlignment="1" applyProtection="1">
      <alignment horizontal="center"/>
      <protection hidden="1"/>
    </xf>
    <xf numFmtId="167" fontId="0" fillId="0" borderId="0" xfId="0" applyNumberFormat="1"/>
    <xf numFmtId="3" fontId="61" fillId="0" borderId="0" xfId="0" applyNumberFormat="1" applyFont="1" applyAlignment="1" applyProtection="1">
      <alignment vertical="top"/>
      <protection hidden="1"/>
    </xf>
    <xf numFmtId="0" fontId="47" fillId="0" borderId="10" xfId="0" applyFont="1" applyBorder="1" applyAlignment="1">
      <alignment horizontal="left"/>
    </xf>
    <xf numFmtId="0" fontId="47" fillId="0" borderId="14" xfId="0" applyFont="1" applyBorder="1" applyAlignment="1">
      <alignment horizontal="center"/>
    </xf>
    <xf numFmtId="0" fontId="47" fillId="0" borderId="33" xfId="0" applyFont="1" applyBorder="1" applyAlignment="1">
      <alignment horizontal="center"/>
    </xf>
    <xf numFmtId="0" fontId="47" fillId="0" borderId="62" xfId="0" applyFont="1" applyBorder="1" applyAlignment="1">
      <alignment horizontal="center"/>
    </xf>
    <xf numFmtId="0" fontId="17" fillId="0" borderId="19" xfId="0" applyFont="1" applyBorder="1" applyAlignment="1" applyProtection="1">
      <alignment horizontal="center"/>
      <protection hidden="1"/>
    </xf>
    <xf numFmtId="3" fontId="17" fillId="0" borderId="14" xfId="0" applyNumberFormat="1" applyFont="1" applyBorder="1" applyProtection="1">
      <protection hidden="1"/>
    </xf>
    <xf numFmtId="3" fontId="67" fillId="7" borderId="14" xfId="0" applyNumberFormat="1" applyFont="1" applyFill="1" applyBorder="1" applyProtection="1">
      <protection hidden="1"/>
    </xf>
    <xf numFmtId="3" fontId="67" fillId="7" borderId="39" xfId="0" applyNumberFormat="1" applyFont="1" applyFill="1" applyBorder="1" applyProtection="1">
      <protection hidden="1"/>
    </xf>
    <xf numFmtId="164" fontId="17" fillId="0" borderId="14" xfId="0" applyNumberFormat="1" applyFont="1" applyBorder="1" applyAlignment="1">
      <alignment horizontal="center"/>
    </xf>
    <xf numFmtId="0" fontId="17" fillId="0" borderId="14" xfId="0" applyFont="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49" fontId="17" fillId="7" borderId="39" xfId="0" applyNumberFormat="1" applyFont="1" applyFill="1" applyBorder="1" applyAlignment="1">
      <alignment vertical="top"/>
    </xf>
    <xf numFmtId="3" fontId="6" fillId="0" borderId="14" xfId="0" applyNumberFormat="1" applyFont="1" applyBorder="1" applyProtection="1">
      <protection hidden="1"/>
    </xf>
    <xf numFmtId="0" fontId="49" fillId="3" borderId="0" xfId="0" applyFont="1" applyFill="1" applyAlignment="1" applyProtection="1">
      <alignment horizontal="left" vertical="center"/>
      <protection hidden="1"/>
    </xf>
    <xf numFmtId="0" fontId="63"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50" fillId="0" borderId="0" xfId="0" applyFont="1" applyProtection="1">
      <protection hidden="1"/>
    </xf>
    <xf numFmtId="0" fontId="50" fillId="0" borderId="0" xfId="0" applyFont="1"/>
    <xf numFmtId="0" fontId="16" fillId="0" borderId="0" xfId="0" applyFont="1" applyAlignment="1">
      <alignment horizontal="right"/>
    </xf>
    <xf numFmtId="0" fontId="68" fillId="0" borderId="0" xfId="0" applyFont="1" applyAlignment="1">
      <alignment horizontal="center"/>
    </xf>
    <xf numFmtId="0" fontId="4" fillId="0" borderId="14" xfId="0" applyFont="1" applyBorder="1" applyProtection="1">
      <protection hidden="1"/>
    </xf>
    <xf numFmtId="3" fontId="48" fillId="8" borderId="14" xfId="0" applyNumberFormat="1" applyFont="1" applyFill="1" applyBorder="1" applyProtection="1">
      <protection locked="0"/>
    </xf>
    <xf numFmtId="3" fontId="48" fillId="8" borderId="102" xfId="0" applyNumberFormat="1" applyFont="1" applyFill="1" applyBorder="1" applyProtection="1">
      <protection locked="0"/>
    </xf>
    <xf numFmtId="0" fontId="48" fillId="0" borderId="14" xfId="0" applyFont="1" applyBorder="1" applyAlignment="1">
      <alignment horizontal="right"/>
    </xf>
    <xf numFmtId="3" fontId="48" fillId="8" borderId="39" xfId="0" applyNumberFormat="1" applyFont="1" applyFill="1" applyBorder="1" applyProtection="1">
      <protection locked="0"/>
    </xf>
    <xf numFmtId="3" fontId="48" fillId="8" borderId="103" xfId="0" applyNumberFormat="1" applyFont="1" applyFill="1" applyBorder="1" applyProtection="1">
      <protection locked="0"/>
    </xf>
    <xf numFmtId="3" fontId="45" fillId="0" borderId="2" xfId="0" applyNumberFormat="1" applyFont="1" applyBorder="1" applyProtection="1">
      <protection hidden="1"/>
    </xf>
    <xf numFmtId="3" fontId="0" fillId="0" borderId="66" xfId="0" applyNumberFormat="1" applyBorder="1" applyProtection="1">
      <protection hidden="1"/>
    </xf>
    <xf numFmtId="3" fontId="45" fillId="0" borderId="63" xfId="0" applyNumberFormat="1" applyFont="1" applyBorder="1" applyProtection="1">
      <protection hidden="1"/>
    </xf>
    <xf numFmtId="3" fontId="0" fillId="0" borderId="67" xfId="0" applyNumberFormat="1" applyBorder="1" applyProtection="1">
      <protection hidden="1"/>
    </xf>
    <xf numFmtId="3" fontId="45" fillId="0" borderId="8" xfId="0" applyNumberFormat="1" applyFont="1" applyBorder="1" applyProtection="1">
      <protection hidden="1"/>
    </xf>
    <xf numFmtId="3" fontId="0" fillId="0" borderId="2" xfId="0" applyNumberFormat="1" applyBorder="1" applyProtection="1">
      <protection hidden="1"/>
    </xf>
    <xf numFmtId="3" fontId="0" fillId="0" borderId="68" xfId="0" applyNumberFormat="1" applyBorder="1" applyProtection="1">
      <protection hidden="1"/>
    </xf>
    <xf numFmtId="3" fontId="0" fillId="0" borderId="39" xfId="0" applyNumberFormat="1" applyBorder="1" applyProtection="1">
      <protection hidden="1"/>
    </xf>
    <xf numFmtId="3" fontId="0" fillId="0" borderId="69" xfId="0" applyNumberFormat="1" applyBorder="1" applyProtection="1">
      <protection hidden="1"/>
    </xf>
    <xf numFmtId="3" fontId="0" fillId="0" borderId="48" xfId="0" applyNumberFormat="1" applyBorder="1" applyProtection="1">
      <protection hidden="1"/>
    </xf>
    <xf numFmtId="3" fontId="0" fillId="0" borderId="17" xfId="0" applyNumberFormat="1" applyBorder="1" applyProtection="1">
      <protection hidden="1"/>
    </xf>
    <xf numFmtId="0" fontId="16" fillId="0" borderId="0" xfId="0" applyFont="1" applyAlignment="1">
      <alignment horizontal="center"/>
    </xf>
    <xf numFmtId="3" fontId="7" fillId="0" borderId="0" xfId="0" applyNumberFormat="1" applyFont="1" applyAlignment="1" applyProtection="1">
      <alignment vertical="center"/>
      <protection hidden="1"/>
    </xf>
    <xf numFmtId="0" fontId="16" fillId="0" borderId="8" xfId="0" applyFont="1" applyBorder="1" applyAlignment="1">
      <alignment horizontal="center"/>
    </xf>
    <xf numFmtId="1" fontId="16" fillId="0" borderId="14" xfId="0" applyNumberFormat="1" applyFont="1" applyBorder="1" applyAlignment="1">
      <alignment horizontal="center"/>
    </xf>
    <xf numFmtId="0" fontId="16" fillId="0" borderId="14" xfId="0" applyFont="1" applyBorder="1" applyAlignment="1">
      <alignment horizontal="center"/>
    </xf>
    <xf numFmtId="0" fontId="17" fillId="0" borderId="12"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7"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7" fillId="7" borderId="0" xfId="0" applyFont="1" applyFill="1" applyProtection="1">
      <protection hidden="1"/>
    </xf>
    <xf numFmtId="0" fontId="17" fillId="7" borderId="0" xfId="0" applyFont="1" applyFill="1" applyAlignment="1" applyProtection="1">
      <alignment vertical="center"/>
      <protection hidden="1"/>
    </xf>
    <xf numFmtId="0" fontId="17" fillId="7" borderId="0" xfId="0" applyFont="1" applyFill="1"/>
    <xf numFmtId="0" fontId="17" fillId="0" borderId="31" xfId="0" applyFont="1" applyBorder="1" applyAlignment="1" applyProtection="1">
      <alignment vertical="center"/>
      <protection hidden="1"/>
    </xf>
    <xf numFmtId="0" fontId="17" fillId="0" borderId="32" xfId="0" applyFont="1" applyBorder="1" applyAlignment="1" applyProtection="1">
      <alignment vertical="center"/>
      <protection hidden="1"/>
    </xf>
    <xf numFmtId="3" fontId="6" fillId="0" borderId="2" xfId="0" applyNumberFormat="1" applyFont="1" applyBorder="1" applyProtection="1">
      <protection hidden="1"/>
    </xf>
    <xf numFmtId="167" fontId="58" fillId="0" borderId="0" xfId="0" applyNumberFormat="1" applyFont="1" applyAlignment="1">
      <alignment horizontal="center" vertical="center"/>
    </xf>
    <xf numFmtId="166" fontId="51" fillId="0" borderId="104" xfId="0" applyNumberFormat="1" applyFont="1" applyBorder="1" applyAlignment="1" applyProtection="1">
      <alignment horizontal="right"/>
      <protection hidden="1"/>
    </xf>
    <xf numFmtId="0" fontId="17" fillId="3" borderId="0" xfId="0" applyFont="1" applyFill="1"/>
    <xf numFmtId="0" fontId="48" fillId="0" borderId="33" xfId="0" applyFont="1" applyBorder="1" applyAlignment="1">
      <alignment horizontal="left"/>
    </xf>
    <xf numFmtId="0" fontId="48" fillId="0" borderId="33" xfId="0" applyFont="1" applyBorder="1" applyAlignment="1" applyProtection="1">
      <alignment horizontal="left"/>
      <protection hidden="1"/>
    </xf>
    <xf numFmtId="0" fontId="48" fillId="0" borderId="27" xfId="0" applyFont="1" applyBorder="1" applyAlignment="1">
      <alignment horizontal="left"/>
    </xf>
    <xf numFmtId="49" fontId="4" fillId="3" borderId="0" xfId="0" applyNumberFormat="1" applyFont="1" applyFill="1"/>
    <xf numFmtId="0" fontId="4" fillId="3" borderId="0" xfId="0" applyFont="1" applyFill="1"/>
    <xf numFmtId="0" fontId="48" fillId="0" borderId="0" xfId="0" applyFont="1" applyAlignment="1" applyProtection="1">
      <alignment horizontal="left"/>
      <protection hidden="1"/>
    </xf>
    <xf numFmtId="0" fontId="47" fillId="0" borderId="33" xfId="0" applyFont="1" applyBorder="1" applyAlignment="1">
      <alignment horizontal="center" vertical="center"/>
    </xf>
    <xf numFmtId="49" fontId="61" fillId="0" borderId="2" xfId="0" applyNumberFormat="1" applyFont="1" applyBorder="1" applyAlignment="1">
      <alignment horizontal="center" vertical="center"/>
    </xf>
    <xf numFmtId="49" fontId="48" fillId="0" borderId="14" xfId="0" applyNumberFormat="1" applyFont="1" applyBorder="1" applyAlignment="1">
      <alignment horizontal="center" vertical="center"/>
    </xf>
    <xf numFmtId="49" fontId="61" fillId="0" borderId="39"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47" fillId="0" borderId="105" xfId="0" applyFont="1" applyBorder="1" applyAlignment="1">
      <alignment horizontal="center" vertical="center"/>
    </xf>
    <xf numFmtId="3" fontId="16" fillId="0" borderId="11" xfId="0" applyNumberFormat="1" applyFont="1" applyBorder="1" applyAlignment="1">
      <alignment vertical="center"/>
    </xf>
    <xf numFmtId="0" fontId="17" fillId="0" borderId="8" xfId="0" applyFont="1" applyBorder="1" applyAlignment="1">
      <alignment vertical="center"/>
    </xf>
    <xf numFmtId="3" fontId="17" fillId="11" borderId="71" xfId="0" applyNumberFormat="1" applyFont="1" applyFill="1" applyBorder="1" applyAlignment="1" applyProtection="1">
      <alignment horizontal="center" vertical="center"/>
      <protection locked="0"/>
    </xf>
    <xf numFmtId="164" fontId="8" fillId="11" borderId="33" xfId="0" applyNumberFormat="1" applyFont="1" applyFill="1" applyBorder="1" applyAlignment="1" applyProtection="1">
      <alignment horizontal="center" vertical="center"/>
      <protection locked="0"/>
    </xf>
    <xf numFmtId="164" fontId="8" fillId="11" borderId="14"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1" fontId="5" fillId="0" borderId="31" xfId="0" applyNumberFormat="1" applyFont="1" applyBorder="1" applyAlignment="1">
      <alignment horizontal="center" vertical="center"/>
    </xf>
    <xf numFmtId="0" fontId="35" fillId="3" borderId="0" xfId="0" applyFont="1" applyFill="1" applyAlignment="1">
      <alignment horizontal="center" vertical="center"/>
    </xf>
    <xf numFmtId="0" fontId="17" fillId="0" borderId="52" xfId="0" applyFont="1" applyBorder="1" applyAlignment="1">
      <alignment vertical="center"/>
    </xf>
    <xf numFmtId="0" fontId="17" fillId="0" borderId="54" xfId="0" applyFont="1" applyBorder="1" applyAlignment="1">
      <alignment vertical="center"/>
    </xf>
    <xf numFmtId="0" fontId="17" fillId="0" borderId="12" xfId="0" applyFont="1" applyBorder="1" applyAlignment="1">
      <alignment vertical="center"/>
    </xf>
    <xf numFmtId="0" fontId="17" fillId="0" borderId="54" xfId="0" applyFont="1" applyBorder="1" applyAlignment="1">
      <alignment horizontal="left" vertical="center"/>
    </xf>
    <xf numFmtId="0" fontId="16" fillId="0" borderId="0" xfId="0" applyFont="1" applyAlignment="1">
      <alignment vertical="center"/>
    </xf>
    <xf numFmtId="0" fontId="16" fillId="0" borderId="8" xfId="0" applyFont="1" applyBorder="1" applyAlignment="1">
      <alignment vertical="center"/>
    </xf>
    <xf numFmtId="0" fontId="17" fillId="0" borderId="0" xfId="0" applyFont="1" applyAlignment="1">
      <alignment horizontal="center" vertical="center"/>
    </xf>
    <xf numFmtId="0" fontId="16" fillId="0" borderId="7" xfId="0" applyFont="1" applyBorder="1" applyAlignment="1">
      <alignment vertical="center"/>
    </xf>
    <xf numFmtId="0" fontId="17" fillId="0" borderId="80" xfId="0" applyFont="1" applyBorder="1" applyAlignment="1">
      <alignment vertical="center"/>
    </xf>
    <xf numFmtId="0" fontId="16" fillId="0" borderId="8" xfId="0" applyFont="1" applyBorder="1" applyAlignment="1">
      <alignment horizontal="center" vertical="center"/>
    </xf>
    <xf numFmtId="0" fontId="16" fillId="0" borderId="22" xfId="0" applyFont="1" applyBorder="1" applyAlignment="1">
      <alignment horizontal="center" vertical="center"/>
    </xf>
    <xf numFmtId="0" fontId="16" fillId="0" borderId="22" xfId="0" applyFont="1" applyBorder="1" applyAlignment="1">
      <alignment vertical="center"/>
    </xf>
    <xf numFmtId="0" fontId="31" fillId="0" borderId="0" xfId="0" applyFont="1"/>
    <xf numFmtId="0" fontId="53" fillId="0" borderId="0" xfId="0" applyFont="1"/>
    <xf numFmtId="0" fontId="58" fillId="0" borderId="0" xfId="0" applyFont="1" applyProtection="1">
      <protection hidden="1"/>
    </xf>
    <xf numFmtId="0" fontId="17" fillId="0" borderId="0" xfId="0" applyFont="1" applyAlignment="1">
      <alignment horizontal="left" vertical="center"/>
    </xf>
    <xf numFmtId="0" fontId="25"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7" fillId="0" borderId="0" xfId="0" applyNumberFormat="1" applyFont="1" applyAlignment="1">
      <alignment horizontal="left"/>
    </xf>
    <xf numFmtId="0" fontId="8" fillId="0" borderId="0" xfId="0" applyFont="1" applyAlignment="1">
      <alignment horizontal="left" vertical="center"/>
    </xf>
    <xf numFmtId="0" fontId="8" fillId="0" borderId="0" xfId="0" applyFont="1" applyAlignment="1">
      <alignment vertical="center"/>
    </xf>
    <xf numFmtId="166" fontId="6" fillId="3" borderId="0" xfId="0" applyNumberFormat="1" applyFont="1" applyFill="1" applyProtection="1">
      <protection hidden="1"/>
    </xf>
    <xf numFmtId="0" fontId="8" fillId="0" borderId="14" xfId="0" applyFont="1" applyBorder="1" applyAlignment="1">
      <alignment vertical="center"/>
    </xf>
    <xf numFmtId="0" fontId="35" fillId="0" borderId="0" xfId="0" applyFont="1" applyAlignment="1">
      <alignment vertical="center"/>
    </xf>
    <xf numFmtId="0" fontId="0" fillId="0" borderId="0" xfId="0" applyAlignment="1">
      <alignment horizontal="left" vertical="center"/>
    </xf>
    <xf numFmtId="0" fontId="5" fillId="11" borderId="14" xfId="0" applyFont="1" applyFill="1" applyBorder="1" applyAlignment="1" applyProtection="1">
      <alignment vertical="center"/>
      <protection locked="0"/>
    </xf>
    <xf numFmtId="0" fontId="8" fillId="3" borderId="28"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16" fillId="7" borderId="33" xfId="0" applyFont="1" applyFill="1" applyBorder="1" applyAlignment="1">
      <alignment horizontal="center" vertical="center"/>
    </xf>
    <xf numFmtId="0" fontId="17" fillId="7" borderId="14" xfId="0" applyFont="1" applyFill="1" applyBorder="1" applyProtection="1">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6" xfId="0" applyNumberFormat="1" applyBorder="1"/>
    <xf numFmtId="3" fontId="0" fillId="0" borderId="9" xfId="0" applyNumberFormat="1" applyBorder="1"/>
    <xf numFmtId="17" fontId="0" fillId="8" borderId="49" xfId="0" applyNumberFormat="1" applyFill="1" applyBorder="1" applyAlignment="1" applyProtection="1">
      <alignment horizontal="center"/>
      <protection hidden="1"/>
    </xf>
    <xf numFmtId="17" fontId="45" fillId="9" borderId="47" xfId="0" applyNumberFormat="1" applyFont="1" applyFill="1" applyBorder="1" applyAlignment="1" applyProtection="1">
      <alignment horizontal="center"/>
      <protection hidden="1"/>
    </xf>
    <xf numFmtId="17" fontId="0" fillId="9" borderId="11" xfId="0" applyNumberFormat="1" applyFill="1" applyBorder="1" applyAlignment="1" applyProtection="1">
      <alignment horizontal="center"/>
      <protection hidden="1"/>
    </xf>
    <xf numFmtId="0" fontId="0" fillId="0" borderId="0" xfId="0" applyProtection="1">
      <protection locked="0"/>
    </xf>
    <xf numFmtId="0" fontId="33" fillId="0" borderId="0" xfId="0" applyFont="1" applyProtection="1">
      <protection locked="0"/>
    </xf>
    <xf numFmtId="0" fontId="10" fillId="15" borderId="0" xfId="0" applyFont="1" applyFill="1"/>
    <xf numFmtId="0" fontId="0" fillId="12" borderId="0" xfId="0" applyFill="1"/>
    <xf numFmtId="14" fontId="10" fillId="15" borderId="0" xfId="0" applyNumberFormat="1" applyFont="1" applyFill="1" applyAlignment="1">
      <alignment horizontal="left"/>
    </xf>
    <xf numFmtId="0" fontId="14" fillId="15" borderId="0" xfId="0" applyFont="1" applyFill="1"/>
    <xf numFmtId="0" fontId="14" fillId="12" borderId="0" xfId="0" applyFont="1" applyFill="1"/>
    <xf numFmtId="0" fontId="18" fillId="12" borderId="0" xfId="0" applyFont="1" applyFill="1"/>
    <xf numFmtId="0" fontId="19" fillId="12" borderId="0" xfId="0" applyFont="1" applyFill="1" applyAlignment="1">
      <alignment horizontal="right"/>
    </xf>
    <xf numFmtId="0" fontId="28" fillId="12" borderId="0" xfId="0" applyFont="1" applyFill="1" applyAlignment="1">
      <alignment horizontal="center"/>
    </xf>
    <xf numFmtId="0" fontId="29" fillId="12" borderId="0" xfId="0" applyFont="1" applyFill="1" applyAlignment="1">
      <alignment horizontal="center"/>
    </xf>
    <xf numFmtId="0" fontId="7" fillId="12" borderId="0" xfId="0" applyFont="1" applyFill="1"/>
    <xf numFmtId="0" fontId="5" fillId="12" borderId="0" xfId="0" applyFont="1" applyFill="1"/>
    <xf numFmtId="0" fontId="27" fillId="12" borderId="0" xfId="0" applyFont="1" applyFill="1"/>
    <xf numFmtId="0" fontId="10" fillId="12" borderId="0" xfId="0" applyFont="1" applyFill="1"/>
    <xf numFmtId="14" fontId="0" fillId="12" borderId="0" xfId="0" applyNumberFormat="1" applyFill="1"/>
    <xf numFmtId="1" fontId="7" fillId="11" borderId="4" xfId="0" applyNumberFormat="1" applyFont="1" applyFill="1" applyBorder="1" applyAlignment="1" applyProtection="1">
      <alignment horizontal="center"/>
      <protection locked="0"/>
    </xf>
    <xf numFmtId="0" fontId="16" fillId="0" borderId="0" xfId="0" applyFont="1" applyAlignment="1" applyProtection="1">
      <alignment horizontal="left" vertical="center"/>
      <protection hidden="1"/>
    </xf>
    <xf numFmtId="0" fontId="7" fillId="7" borderId="0" xfId="0" applyFont="1" applyFill="1" applyAlignment="1">
      <alignment horizontal="left" vertical="center"/>
    </xf>
    <xf numFmtId="0" fontId="17" fillId="7" borderId="29" xfId="0" applyFont="1" applyFill="1" applyBorder="1" applyAlignment="1" applyProtection="1">
      <alignment horizontal="left" vertical="center"/>
      <protection hidden="1"/>
    </xf>
    <xf numFmtId="0" fontId="17" fillId="7" borderId="39" xfId="0" applyFont="1" applyFill="1" applyBorder="1" applyAlignment="1" applyProtection="1">
      <alignment horizontal="left" vertical="center"/>
      <protection hidden="1"/>
    </xf>
    <xf numFmtId="0" fontId="0" fillId="0" borderId="0" xfId="0" applyAlignment="1">
      <alignment horizontal="center" vertical="center"/>
    </xf>
    <xf numFmtId="166" fontId="4" fillId="0" borderId="101" xfId="0" applyNumberFormat="1" applyFont="1" applyBorder="1" applyAlignment="1" applyProtection="1">
      <alignment horizontal="center"/>
      <protection hidden="1"/>
    </xf>
    <xf numFmtId="0" fontId="56" fillId="0" borderId="0" xfId="0" applyFont="1"/>
    <xf numFmtId="1" fontId="56" fillId="0" borderId="0" xfId="0" applyNumberFormat="1" applyFont="1"/>
    <xf numFmtId="0" fontId="56" fillId="0" borderId="0" xfId="0" applyFont="1" applyAlignment="1">
      <alignment horizontal="center"/>
    </xf>
    <xf numFmtId="0" fontId="0" fillId="0" borderId="0" xfId="0" applyAlignment="1" applyProtection="1">
      <alignment vertical="center"/>
      <protection hidden="1"/>
    </xf>
    <xf numFmtId="3" fontId="16" fillId="0" borderId="0" xfId="0" applyNumberFormat="1" applyFont="1"/>
    <xf numFmtId="0" fontId="59" fillId="0" borderId="0" xfId="0" applyFont="1" applyAlignment="1">
      <alignment horizontal="left" vertical="center"/>
    </xf>
    <xf numFmtId="164" fontId="7" fillId="0" borderId="0" xfId="0" applyNumberFormat="1" applyFont="1" applyProtection="1">
      <protection hidden="1"/>
    </xf>
    <xf numFmtId="0" fontId="50" fillId="0" borderId="0" xfId="0" applyFont="1" applyAlignment="1">
      <alignment horizontal="right" vertical="top"/>
    </xf>
    <xf numFmtId="0" fontId="16" fillId="3" borderId="0" xfId="0" applyFont="1" applyFill="1" applyAlignment="1">
      <alignment horizontal="center" vertical="center"/>
    </xf>
    <xf numFmtId="0" fontId="7" fillId="12" borderId="0" xfId="1" applyFont="1" applyFill="1" applyAlignment="1" applyProtection="1">
      <alignment horizontal="left"/>
    </xf>
    <xf numFmtId="0" fontId="17" fillId="3" borderId="0" xfId="0" applyFont="1" applyFill="1" applyAlignment="1">
      <alignment vertical="center"/>
    </xf>
    <xf numFmtId="0" fontId="17"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8" fillId="0" borderId="0" xfId="0" applyNumberFormat="1" applyFont="1" applyAlignment="1">
      <alignment horizontal="right" vertical="center"/>
    </xf>
    <xf numFmtId="3" fontId="16" fillId="0" borderId="0" xfId="0" applyNumberFormat="1" applyFont="1" applyAlignment="1">
      <alignment vertical="center"/>
    </xf>
    <xf numFmtId="3" fontId="16" fillId="0" borderId="0" xfId="0" applyNumberFormat="1" applyFont="1" applyAlignment="1">
      <alignment horizontal="right" vertical="center"/>
    </xf>
    <xf numFmtId="14" fontId="7" fillId="0" borderId="0" xfId="0" applyNumberFormat="1" applyFont="1" applyAlignment="1">
      <alignment horizontal="center" vertical="center"/>
    </xf>
    <xf numFmtId="0" fontId="33" fillId="12" borderId="0" xfId="0" applyFont="1" applyFill="1" applyAlignment="1">
      <alignment horizontal="left"/>
    </xf>
    <xf numFmtId="0" fontId="4" fillId="12" borderId="0" xfId="0" applyFont="1" applyFill="1"/>
    <xf numFmtId="0" fontId="70" fillId="0" borderId="0" xfId="0" applyFont="1" applyAlignment="1">
      <alignment horizontal="center" vertical="center"/>
    </xf>
    <xf numFmtId="0" fontId="7" fillId="7" borderId="15" xfId="0" applyFont="1" applyFill="1" applyBorder="1" applyAlignment="1" applyProtection="1">
      <alignment horizontal="left"/>
      <protection hidden="1"/>
    </xf>
    <xf numFmtId="166" fontId="4" fillId="7" borderId="14" xfId="0" applyNumberFormat="1" applyFont="1" applyFill="1" applyBorder="1" applyAlignment="1" applyProtection="1">
      <alignment horizontal="center"/>
      <protection hidden="1"/>
    </xf>
    <xf numFmtId="3" fontId="45" fillId="7" borderId="14" xfId="0" applyNumberFormat="1" applyFont="1" applyFill="1" applyBorder="1" applyProtection="1">
      <protection hidden="1"/>
    </xf>
    <xf numFmtId="3" fontId="4" fillId="7" borderId="17" xfId="0" applyNumberFormat="1" applyFont="1" applyFill="1" applyBorder="1" applyProtection="1">
      <protection hidden="1"/>
    </xf>
    <xf numFmtId="0" fontId="7" fillId="7" borderId="18" xfId="0" applyFont="1" applyFill="1" applyBorder="1" applyAlignment="1">
      <alignment horizontal="center" vertical="center"/>
    </xf>
    <xf numFmtId="0" fontId="7" fillId="7" borderId="20" xfId="0" applyFont="1" applyFill="1" applyBorder="1" applyAlignment="1">
      <alignment horizontal="center" vertical="center"/>
    </xf>
    <xf numFmtId="0" fontId="4" fillId="0" borderId="15" xfId="0" applyFont="1" applyBorder="1" applyAlignment="1" applyProtection="1">
      <alignment horizontal="left"/>
      <protection hidden="1"/>
    </xf>
    <xf numFmtId="0" fontId="4" fillId="0" borderId="14" xfId="0" applyFont="1" applyBorder="1"/>
    <xf numFmtId="3" fontId="45" fillId="0" borderId="14" xfId="0" applyNumberFormat="1" applyFont="1" applyBorder="1" applyProtection="1">
      <protection hidden="1"/>
    </xf>
    <xf numFmtId="3" fontId="4" fillId="0" borderId="17" xfId="0" applyNumberFormat="1" applyFont="1" applyBorder="1" applyProtection="1">
      <protection hidden="1"/>
    </xf>
    <xf numFmtId="164" fontId="4" fillId="10" borderId="14" xfId="2" applyNumberFormat="1" applyFill="1" applyBorder="1" applyAlignment="1" applyProtection="1">
      <alignment horizontal="center"/>
      <protection hidden="1"/>
    </xf>
    <xf numFmtId="166" fontId="4" fillId="0" borderId="14" xfId="0" applyNumberFormat="1" applyFont="1" applyBorder="1" applyAlignment="1" applyProtection="1">
      <alignment horizontal="center"/>
      <protection hidden="1"/>
    </xf>
    <xf numFmtId="3" fontId="4" fillId="0" borderId="14" xfId="0" applyNumberFormat="1" applyFont="1" applyBorder="1" applyProtection="1">
      <protection hidden="1"/>
    </xf>
    <xf numFmtId="3" fontId="4" fillId="0" borderId="52" xfId="0" applyNumberFormat="1" applyFont="1" applyBorder="1" applyProtection="1">
      <protection hidden="1"/>
    </xf>
    <xf numFmtId="0" fontId="7" fillId="0" borderId="65" xfId="0" applyFont="1" applyBorder="1" applyAlignment="1" applyProtection="1">
      <alignment horizontal="left"/>
      <protection hidden="1"/>
    </xf>
    <xf numFmtId="164" fontId="7" fillId="0" borderId="50" xfId="2" applyNumberFormat="1" applyFont="1" applyBorder="1" applyAlignment="1" applyProtection="1">
      <alignment horizontal="center"/>
      <protection hidden="1"/>
    </xf>
    <xf numFmtId="3" fontId="7" fillId="0" borderId="50" xfId="0" applyNumberFormat="1" applyFont="1" applyBorder="1" applyProtection="1">
      <protection hidden="1"/>
    </xf>
    <xf numFmtId="3" fontId="45" fillId="0" borderId="50" xfId="0" applyNumberFormat="1" applyFont="1" applyBorder="1" applyProtection="1">
      <protection hidden="1"/>
    </xf>
    <xf numFmtId="3" fontId="4" fillId="0" borderId="34" xfId="0" applyNumberFormat="1" applyFont="1" applyBorder="1" applyProtection="1">
      <protection hidden="1"/>
    </xf>
    <xf numFmtId="3" fontId="7" fillId="0" borderId="35" xfId="0" applyNumberFormat="1" applyFont="1" applyBorder="1" applyProtection="1">
      <protection hidden="1"/>
    </xf>
    <xf numFmtId="3" fontId="7" fillId="0" borderId="34" xfId="0" applyNumberFormat="1" applyFont="1" applyBorder="1" applyProtection="1">
      <protection hidden="1"/>
    </xf>
    <xf numFmtId="3" fontId="4" fillId="0" borderId="16" xfId="0" applyNumberFormat="1" applyFont="1" applyBorder="1"/>
    <xf numFmtId="3" fontId="4" fillId="0" borderId="9" xfId="0" applyNumberFormat="1" applyFont="1" applyBorder="1"/>
    <xf numFmtId="3" fontId="4" fillId="7" borderId="33" xfId="0" applyNumberFormat="1" applyFont="1" applyFill="1" applyBorder="1" applyProtection="1">
      <protection hidden="1"/>
    </xf>
    <xf numFmtId="3" fontId="4" fillId="0" borderId="14" xfId="0" applyNumberFormat="1" applyFont="1" applyBorder="1"/>
    <xf numFmtId="3" fontId="4" fillId="0" borderId="33" xfId="0" applyNumberFormat="1" applyFont="1" applyBorder="1" applyProtection="1">
      <protection hidden="1"/>
    </xf>
    <xf numFmtId="3" fontId="4" fillId="0" borderId="52" xfId="0" applyNumberFormat="1" applyFont="1" applyBorder="1"/>
    <xf numFmtId="3" fontId="45" fillId="0" borderId="17" xfId="0" applyNumberFormat="1" applyFont="1" applyBorder="1" applyProtection="1">
      <protection hidden="1"/>
    </xf>
    <xf numFmtId="1" fontId="4" fillId="0" borderId="14" xfId="0" applyNumberFormat="1" applyFont="1" applyBorder="1"/>
    <xf numFmtId="3" fontId="4" fillId="0" borderId="56" xfId="0" applyNumberFormat="1" applyFont="1" applyBorder="1" applyProtection="1">
      <protection hidden="1"/>
    </xf>
    <xf numFmtId="166" fontId="4" fillId="7" borderId="33" xfId="0" applyNumberFormat="1" applyFont="1" applyFill="1" applyBorder="1" applyAlignment="1" applyProtection="1">
      <alignment horizontal="center"/>
      <protection hidden="1"/>
    </xf>
    <xf numFmtId="164" fontId="4" fillId="10" borderId="33" xfId="2" applyNumberFormat="1" applyFill="1" applyBorder="1" applyAlignment="1" applyProtection="1">
      <alignment horizontal="center"/>
      <protection hidden="1"/>
    </xf>
    <xf numFmtId="166" fontId="4" fillId="0" borderId="33" xfId="0" applyNumberFormat="1" applyFont="1" applyBorder="1" applyAlignment="1" applyProtection="1">
      <alignment horizontal="center"/>
      <protection hidden="1"/>
    </xf>
    <xf numFmtId="164" fontId="7" fillId="0" borderId="56" xfId="2" applyNumberFormat="1" applyFont="1" applyBorder="1" applyAlignment="1" applyProtection="1">
      <alignment horizontal="center"/>
      <protection hidden="1"/>
    </xf>
    <xf numFmtId="3" fontId="45" fillId="0" borderId="10" xfId="0" applyNumberFormat="1" applyFont="1" applyBorder="1" applyProtection="1">
      <protection hidden="1"/>
    </xf>
    <xf numFmtId="3" fontId="7" fillId="0" borderId="58" xfId="0" applyNumberFormat="1" applyFont="1" applyBorder="1" applyProtection="1">
      <protection hidden="1"/>
    </xf>
    <xf numFmtId="3" fontId="7" fillId="7" borderId="38" xfId="0" applyNumberFormat="1" applyFont="1" applyFill="1" applyBorder="1" applyAlignment="1" applyProtection="1">
      <alignment horizontal="center"/>
      <protection hidden="1"/>
    </xf>
    <xf numFmtId="0" fontId="4" fillId="0" borderId="52" xfId="0" applyFont="1" applyBorder="1"/>
    <xf numFmtId="3" fontId="45" fillId="7" borderId="10" xfId="0" applyNumberFormat="1" applyFont="1" applyFill="1" applyBorder="1" applyProtection="1">
      <protection hidden="1"/>
    </xf>
    <xf numFmtId="3" fontId="45" fillId="0" borderId="52" xfId="0" applyNumberFormat="1" applyFont="1" applyBorder="1" applyProtection="1">
      <protection hidden="1"/>
    </xf>
    <xf numFmtId="0" fontId="6" fillId="0" borderId="0" xfId="0" applyFont="1" applyAlignment="1" applyProtection="1">
      <alignment horizontal="left"/>
      <protection hidden="1"/>
    </xf>
    <xf numFmtId="17" fontId="16" fillId="0" borderId="0" xfId="0" applyNumberFormat="1" applyFont="1"/>
    <xf numFmtId="1" fontId="16" fillId="0" borderId="0" xfId="0" applyNumberFormat="1" applyFont="1"/>
    <xf numFmtId="0" fontId="17" fillId="16" borderId="0" xfId="0" applyFont="1" applyFill="1"/>
    <xf numFmtId="3" fontId="17" fillId="16" borderId="0" xfId="0" applyNumberFormat="1" applyFont="1" applyFill="1"/>
    <xf numFmtId="1" fontId="16" fillId="11" borderId="5" xfId="0" applyNumberFormat="1" applyFont="1" applyFill="1" applyBorder="1" applyAlignment="1" applyProtection="1">
      <alignment horizontal="center" vertical="center"/>
      <protection locked="0"/>
    </xf>
    <xf numFmtId="164" fontId="17" fillId="11" borderId="14" xfId="0" applyNumberFormat="1" applyFont="1" applyFill="1" applyBorder="1" applyAlignment="1" applyProtection="1">
      <alignment horizontal="center" vertical="center"/>
      <protection locked="0"/>
    </xf>
    <xf numFmtId="0" fontId="8" fillId="0" borderId="14" xfId="0" applyFont="1" applyBorder="1" applyAlignment="1" applyProtection="1">
      <alignment horizontal="center" vertical="center"/>
      <protection hidden="1"/>
    </xf>
    <xf numFmtId="164" fontId="17" fillId="0" borderId="14" xfId="0" applyNumberFormat="1" applyFont="1" applyBorder="1" applyAlignment="1">
      <alignment horizontal="center" vertical="center"/>
    </xf>
    <xf numFmtId="0" fontId="0" fillId="0" borderId="16" xfId="0" applyBorder="1"/>
    <xf numFmtId="3" fontId="5" fillId="0" borderId="0" xfId="0" applyNumberFormat="1" applyFont="1" applyAlignment="1" applyProtection="1">
      <alignment horizontal="right"/>
      <protection hidden="1"/>
    </xf>
    <xf numFmtId="0" fontId="65" fillId="0" borderId="0" xfId="0" applyFont="1" applyAlignment="1">
      <alignment horizontal="right"/>
    </xf>
    <xf numFmtId="0" fontId="57" fillId="0" borderId="0" xfId="0" applyFont="1" applyAlignment="1">
      <alignment horizontal="right" vertical="center"/>
    </xf>
    <xf numFmtId="0" fontId="71" fillId="0" borderId="0" xfId="0" applyFont="1" applyAlignment="1">
      <alignment horizontal="center"/>
    </xf>
    <xf numFmtId="4" fontId="7" fillId="3" borderId="0" xfId="0" applyNumberFormat="1" applyFont="1" applyFill="1" applyAlignment="1">
      <alignment horizontal="left"/>
    </xf>
    <xf numFmtId="0" fontId="15" fillId="3" borderId="0" xfId="0" applyFont="1" applyFill="1"/>
    <xf numFmtId="0" fontId="57"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7" fillId="0" borderId="22" xfId="0" applyFont="1" applyBorder="1" applyAlignment="1">
      <alignment vertical="center"/>
    </xf>
    <xf numFmtId="3" fontId="0" fillId="0" borderId="34"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2"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22" fillId="0" borderId="0" xfId="0" applyFont="1" applyProtection="1">
      <protection hidden="1"/>
    </xf>
    <xf numFmtId="0" fontId="8" fillId="0" borderId="0" xfId="0" applyFont="1" applyAlignment="1">
      <alignment horizontal="right" wrapText="1"/>
    </xf>
    <xf numFmtId="0" fontId="78" fillId="0" borderId="0" xfId="0" applyFont="1" applyAlignment="1">
      <alignment vertical="center"/>
    </xf>
    <xf numFmtId="0" fontId="78" fillId="0" borderId="0" xfId="0" applyFont="1"/>
    <xf numFmtId="0" fontId="0" fillId="0" borderId="0" xfId="0" applyAlignment="1">
      <alignment vertical="top"/>
    </xf>
    <xf numFmtId="0" fontId="17" fillId="0" borderId="0" xfId="0" applyFont="1" applyAlignment="1" applyProtection="1">
      <alignment vertical="top"/>
      <protection hidden="1"/>
    </xf>
    <xf numFmtId="0" fontId="78" fillId="0" borderId="0" xfId="0" applyFont="1" applyAlignment="1">
      <alignment vertical="top"/>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7"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71" fillId="0" borderId="0" xfId="0" applyFont="1"/>
    <xf numFmtId="164" fontId="4" fillId="0" borderId="14" xfId="2" applyNumberFormat="1" applyBorder="1" applyAlignment="1" applyProtection="1">
      <alignment horizontal="center"/>
      <protection hidden="1"/>
    </xf>
    <xf numFmtId="0" fontId="0" fillId="0" borderId="29" xfId="0" applyBorder="1" applyAlignment="1">
      <alignment vertical="center" wrapText="1"/>
    </xf>
    <xf numFmtId="0" fontId="16" fillId="0" borderId="0" xfId="0" applyFont="1" applyAlignment="1">
      <alignment horizontal="right" vertical="center"/>
    </xf>
    <xf numFmtId="0" fontId="16"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3" fontId="81" fillId="0" borderId="0" xfId="0" applyNumberFormat="1" applyFont="1" applyProtection="1">
      <protection hidden="1"/>
    </xf>
    <xf numFmtId="3" fontId="81" fillId="0" borderId="0" xfId="0" applyNumberFormat="1" applyFont="1" applyAlignment="1" applyProtection="1">
      <alignment horizontal="center"/>
      <protection hidden="1"/>
    </xf>
    <xf numFmtId="0" fontId="81" fillId="0" borderId="0" xfId="0" applyFont="1"/>
    <xf numFmtId="0" fontId="4" fillId="0" borderId="19" xfId="0" applyFont="1" applyBorder="1"/>
    <xf numFmtId="0" fontId="4" fillId="0" borderId="29" xfId="0" applyFont="1" applyBorder="1" applyAlignment="1" applyProtection="1">
      <alignment horizontal="center"/>
      <protection hidden="1"/>
    </xf>
    <xf numFmtId="0" fontId="4" fillId="0" borderId="19" xfId="0" applyFont="1" applyBorder="1" applyAlignment="1" applyProtection="1">
      <alignment horizontal="center"/>
      <protection hidden="1"/>
    </xf>
    <xf numFmtId="1" fontId="16" fillId="0" borderId="5" xfId="0" applyNumberFormat="1" applyFont="1" applyBorder="1" applyAlignment="1">
      <alignment horizontal="center" vertical="center"/>
    </xf>
    <xf numFmtId="1" fontId="6" fillId="17" borderId="0" xfId="0" applyNumberFormat="1" applyFont="1" applyFill="1" applyProtection="1">
      <protection hidden="1"/>
    </xf>
    <xf numFmtId="3" fontId="45" fillId="17" borderId="0" xfId="0" applyNumberFormat="1" applyFont="1" applyFill="1" applyProtection="1">
      <protection hidden="1"/>
    </xf>
    <xf numFmtId="1" fontId="0" fillId="18" borderId="0" xfId="0" applyNumberFormat="1" applyFill="1" applyProtection="1">
      <protection hidden="1"/>
    </xf>
    <xf numFmtId="3" fontId="45" fillId="18" borderId="0" xfId="0" applyNumberFormat="1" applyFont="1" applyFill="1" applyProtection="1">
      <protection hidden="1"/>
    </xf>
    <xf numFmtId="3" fontId="4" fillId="20" borderId="0" xfId="0" applyNumberFormat="1" applyFont="1" applyFill="1" applyProtection="1">
      <protection hidden="1"/>
    </xf>
    <xf numFmtId="3" fontId="45" fillId="20" borderId="0" xfId="0" applyNumberFormat="1" applyFont="1" applyFill="1" applyProtection="1">
      <protection hidden="1"/>
    </xf>
    <xf numFmtId="3" fontId="45" fillId="21" borderId="0" xfId="0" applyNumberFormat="1" applyFont="1" applyFill="1" applyProtection="1">
      <protection hidden="1"/>
    </xf>
    <xf numFmtId="3" fontId="4" fillId="21" borderId="0" xfId="0" applyNumberFormat="1" applyFont="1" applyFill="1" applyProtection="1">
      <protection hidden="1"/>
    </xf>
    <xf numFmtId="3" fontId="4" fillId="19" borderId="0" xfId="0" applyNumberFormat="1" applyFont="1" applyFill="1" applyProtection="1">
      <protection hidden="1"/>
    </xf>
    <xf numFmtId="3" fontId="45" fillId="19" borderId="0" xfId="0" applyNumberFormat="1" applyFont="1" applyFill="1" applyProtection="1">
      <protection hidden="1"/>
    </xf>
    <xf numFmtId="3" fontId="45" fillId="22" borderId="0" xfId="0" applyNumberFormat="1" applyFont="1" applyFill="1" applyProtection="1">
      <protection hidden="1"/>
    </xf>
    <xf numFmtId="3" fontId="4" fillId="22" borderId="0" xfId="0" applyNumberFormat="1" applyFont="1" applyFill="1" applyProtection="1">
      <protection hidden="1"/>
    </xf>
    <xf numFmtId="3" fontId="4" fillId="24" borderId="0" xfId="0" applyNumberFormat="1" applyFont="1" applyFill="1" applyProtection="1">
      <protection hidden="1"/>
    </xf>
    <xf numFmtId="3" fontId="45" fillId="24" borderId="0" xfId="0" applyNumberFormat="1" applyFont="1" applyFill="1" applyProtection="1">
      <protection hidden="1"/>
    </xf>
    <xf numFmtId="3" fontId="45" fillId="9" borderId="0" xfId="0" applyNumberFormat="1" applyFont="1" applyFill="1" applyProtection="1">
      <protection hidden="1"/>
    </xf>
    <xf numFmtId="3" fontId="45" fillId="14" borderId="0" xfId="0" applyNumberFormat="1" applyFont="1" applyFill="1" applyProtection="1">
      <protection hidden="1"/>
    </xf>
    <xf numFmtId="3" fontId="45" fillId="23" borderId="0" xfId="0" applyNumberFormat="1" applyFont="1" applyFill="1" applyProtection="1">
      <protection hidden="1"/>
    </xf>
    <xf numFmtId="3" fontId="45" fillId="25" borderId="0" xfId="0" applyNumberFormat="1" applyFont="1" applyFill="1" applyProtection="1">
      <protection hidden="1"/>
    </xf>
    <xf numFmtId="3" fontId="4" fillId="9" borderId="0" xfId="0" applyNumberFormat="1" applyFont="1" applyFill="1" applyProtection="1">
      <protection hidden="1"/>
    </xf>
    <xf numFmtId="3" fontId="4" fillId="14" borderId="0" xfId="0" applyNumberFormat="1" applyFont="1" applyFill="1" applyProtection="1">
      <protection hidden="1"/>
    </xf>
    <xf numFmtId="3" fontId="4" fillId="23" borderId="0" xfId="0" applyNumberFormat="1" applyFont="1" applyFill="1" applyProtection="1">
      <protection hidden="1"/>
    </xf>
    <xf numFmtId="3" fontId="4" fillId="25" borderId="0" xfId="0" applyNumberFormat="1" applyFont="1" applyFill="1" applyProtection="1">
      <protection hidden="1"/>
    </xf>
    <xf numFmtId="3" fontId="45" fillId="26" borderId="0" xfId="0" applyNumberFormat="1" applyFont="1" applyFill="1" applyProtection="1">
      <protection hidden="1"/>
    </xf>
    <xf numFmtId="3" fontId="4" fillId="26" borderId="0" xfId="0" applyNumberFormat="1" applyFont="1" applyFill="1" applyProtection="1">
      <protection hidden="1"/>
    </xf>
    <xf numFmtId="3" fontId="4" fillId="27" borderId="0" xfId="0" applyNumberFormat="1" applyFont="1" applyFill="1" applyProtection="1">
      <protection hidden="1"/>
    </xf>
    <xf numFmtId="3" fontId="45" fillId="27" borderId="0" xfId="0" applyNumberFormat="1" applyFont="1" applyFill="1" applyProtection="1">
      <protection hidden="1"/>
    </xf>
    <xf numFmtId="0" fontId="0" fillId="28" borderId="0" xfId="0" applyFill="1" applyProtection="1">
      <protection hidden="1"/>
    </xf>
    <xf numFmtId="3" fontId="45" fillId="28" borderId="0" xfId="0" applyNumberFormat="1" applyFont="1" applyFill="1" applyProtection="1">
      <protection hidden="1"/>
    </xf>
    <xf numFmtId="3" fontId="0" fillId="28" borderId="0" xfId="0" applyNumberFormat="1" applyFill="1" applyProtection="1">
      <protection hidden="1"/>
    </xf>
    <xf numFmtId="0" fontId="0" fillId="28" borderId="0" xfId="0" applyFill="1"/>
    <xf numFmtId="0" fontId="80" fillId="28" borderId="0" xfId="0" applyFont="1" applyFill="1"/>
    <xf numFmtId="0" fontId="80" fillId="28" borderId="0" xfId="0" applyFont="1" applyFill="1" applyAlignment="1" applyProtection="1">
      <alignment horizontal="center"/>
      <protection hidden="1"/>
    </xf>
    <xf numFmtId="1" fontId="80" fillId="28" borderId="0" xfId="0" applyNumberFormat="1" applyFont="1" applyFill="1" applyAlignment="1" applyProtection="1">
      <alignment horizontal="center"/>
      <protection hidden="1"/>
    </xf>
    <xf numFmtId="0" fontId="81" fillId="0" borderId="40" xfId="0" applyFont="1" applyBorder="1" applyProtection="1">
      <protection hidden="1"/>
    </xf>
    <xf numFmtId="3" fontId="81" fillId="0" borderId="11" xfId="0" applyNumberFormat="1" applyFont="1" applyBorder="1" applyProtection="1">
      <protection hidden="1"/>
    </xf>
    <xf numFmtId="0" fontId="4" fillId="0" borderId="18" xfId="0" applyFont="1" applyBorder="1" applyProtection="1">
      <protection hidden="1"/>
    </xf>
    <xf numFmtId="0" fontId="0" fillId="17" borderId="18" xfId="0" applyFill="1" applyBorder="1" applyProtection="1">
      <protection hidden="1"/>
    </xf>
    <xf numFmtId="0" fontId="4" fillId="18" borderId="18" xfId="0" applyFont="1" applyFill="1" applyBorder="1" applyAlignment="1" applyProtection="1">
      <alignment horizontal="right" vertical="center"/>
      <protection hidden="1"/>
    </xf>
    <xf numFmtId="0" fontId="4" fillId="20" borderId="18" xfId="0" applyFont="1" applyFill="1" applyBorder="1" applyAlignment="1" applyProtection="1">
      <alignment horizontal="right" vertical="center"/>
      <protection hidden="1"/>
    </xf>
    <xf numFmtId="0" fontId="4" fillId="19" borderId="18" xfId="0" applyFont="1" applyFill="1" applyBorder="1" applyAlignment="1" applyProtection="1">
      <alignment horizontal="right" vertical="center"/>
      <protection hidden="1"/>
    </xf>
    <xf numFmtId="0" fontId="4" fillId="22" borderId="18" xfId="0" applyFont="1" applyFill="1" applyBorder="1" applyAlignment="1" applyProtection="1">
      <alignment horizontal="right" vertical="center"/>
      <protection hidden="1"/>
    </xf>
    <xf numFmtId="0" fontId="4" fillId="24" borderId="18" xfId="0" applyFont="1" applyFill="1" applyBorder="1" applyAlignment="1" applyProtection="1">
      <alignment horizontal="right" vertical="center"/>
      <protection hidden="1"/>
    </xf>
    <xf numFmtId="0" fontId="4" fillId="9" borderId="18" xfId="0" applyFont="1" applyFill="1" applyBorder="1" applyAlignment="1" applyProtection="1">
      <alignment horizontal="right" vertical="center"/>
      <protection hidden="1"/>
    </xf>
    <xf numFmtId="0" fontId="4" fillId="14" borderId="18" xfId="0" applyFont="1" applyFill="1" applyBorder="1" applyAlignment="1" applyProtection="1">
      <alignment horizontal="right" vertical="center"/>
      <protection hidden="1"/>
    </xf>
    <xf numFmtId="0" fontId="4" fillId="23" borderId="18" xfId="0" applyFont="1" applyFill="1" applyBorder="1" applyAlignment="1" applyProtection="1">
      <alignment horizontal="right" vertical="center"/>
      <protection hidden="1"/>
    </xf>
    <xf numFmtId="0" fontId="4" fillId="25" borderId="18" xfId="0" applyFont="1" applyFill="1" applyBorder="1" applyAlignment="1" applyProtection="1">
      <alignment horizontal="right" vertical="center"/>
      <protection hidden="1"/>
    </xf>
    <xf numFmtId="0" fontId="4" fillId="26" borderId="18" xfId="0" applyFont="1" applyFill="1" applyBorder="1" applyAlignment="1" applyProtection="1">
      <alignment horizontal="right" vertical="center"/>
      <protection hidden="1"/>
    </xf>
    <xf numFmtId="0" fontId="4" fillId="27" borderId="16" xfId="0" applyFont="1" applyFill="1" applyBorder="1" applyAlignment="1" applyProtection="1">
      <alignment horizontal="right" vertical="center"/>
      <protection hidden="1"/>
    </xf>
    <xf numFmtId="0" fontId="6" fillId="0" borderId="8" xfId="0" applyFont="1" applyBorder="1" applyProtection="1">
      <protection hidden="1"/>
    </xf>
    <xf numFmtId="3" fontId="4" fillId="0" borderId="8" xfId="0" applyNumberFormat="1" applyFont="1" applyBorder="1" applyProtection="1">
      <protection hidden="1"/>
    </xf>
    <xf numFmtId="3" fontId="4" fillId="27" borderId="8" xfId="0" applyNumberFormat="1" applyFont="1" applyFill="1" applyBorder="1" applyProtection="1">
      <protection hidden="1"/>
    </xf>
    <xf numFmtId="3" fontId="0" fillId="0" borderId="8" xfId="0" applyNumberFormat="1" applyBorder="1" applyProtection="1">
      <protection hidden="1"/>
    </xf>
    <xf numFmtId="3" fontId="45" fillId="27" borderId="8" xfId="0" applyNumberFormat="1" applyFont="1" applyFill="1" applyBorder="1" applyProtection="1">
      <protection hidden="1"/>
    </xf>
    <xf numFmtId="3" fontId="45" fillId="27" borderId="9" xfId="0" applyNumberFormat="1" applyFont="1" applyFill="1" applyBorder="1" applyProtection="1">
      <protection hidden="1"/>
    </xf>
    <xf numFmtId="4" fontId="0" fillId="0" borderId="0" xfId="0" applyNumberFormat="1" applyAlignment="1" applyProtection="1">
      <alignment horizontal="center"/>
      <protection hidden="1"/>
    </xf>
    <xf numFmtId="4" fontId="45" fillId="0" borderId="0" xfId="0" applyNumberFormat="1" applyFont="1" applyProtection="1">
      <protection hidden="1"/>
    </xf>
    <xf numFmtId="4" fontId="81" fillId="0" borderId="0" xfId="0" applyNumberFormat="1" applyFont="1" applyAlignment="1" applyProtection="1">
      <alignment horizontal="center"/>
      <protection hidden="1"/>
    </xf>
    <xf numFmtId="1" fontId="4" fillId="17" borderId="0" xfId="0" applyNumberFormat="1" applyFont="1" applyFill="1" applyProtection="1">
      <protection hidden="1"/>
    </xf>
    <xf numFmtId="3" fontId="81" fillId="0" borderId="11" xfId="0" applyNumberFormat="1" applyFont="1" applyBorder="1" applyAlignment="1" applyProtection="1">
      <alignment horizontal="center"/>
      <protection hidden="1"/>
    </xf>
    <xf numFmtId="3" fontId="81" fillId="0" borderId="6" xfId="0" applyNumberFormat="1" applyFont="1" applyBorder="1" applyAlignment="1" applyProtection="1">
      <alignment horizontal="center"/>
      <protection hidden="1"/>
    </xf>
    <xf numFmtId="0" fontId="6" fillId="0" borderId="20" xfId="0" applyFont="1" applyBorder="1" applyProtection="1">
      <protection hidden="1"/>
    </xf>
    <xf numFmtId="164" fontId="0" fillId="0" borderId="20" xfId="2" applyNumberFormat="1" applyFont="1" applyBorder="1" applyAlignment="1" applyProtection="1">
      <alignment horizontal="center"/>
      <protection hidden="1"/>
    </xf>
    <xf numFmtId="1" fontId="6" fillId="0" borderId="20" xfId="0" applyNumberFormat="1" applyFont="1" applyBorder="1" applyProtection="1">
      <protection hidden="1"/>
    </xf>
    <xf numFmtId="0" fontId="4" fillId="0" borderId="19" xfId="0" applyFont="1" applyBorder="1" applyAlignment="1" applyProtection="1">
      <alignment horizontal="left"/>
      <protection hidden="1"/>
    </xf>
    <xf numFmtId="3" fontId="16" fillId="0" borderId="14" xfId="0" applyNumberFormat="1" applyFont="1" applyBorder="1" applyProtection="1">
      <protection hidden="1"/>
    </xf>
    <xf numFmtId="0" fontId="0" fillId="3" borderId="31" xfId="0" applyFill="1" applyBorder="1"/>
    <xf numFmtId="0" fontId="16" fillId="12" borderId="0" xfId="0" applyFont="1" applyFill="1"/>
    <xf numFmtId="0" fontId="16" fillId="0" borderId="30" xfId="0" applyFont="1" applyBorder="1" applyAlignment="1">
      <alignment horizontal="center" vertical="center"/>
    </xf>
    <xf numFmtId="167" fontId="6" fillId="0" borderId="0" xfId="0" applyNumberFormat="1" applyFont="1" applyAlignment="1">
      <alignment vertical="center"/>
    </xf>
    <xf numFmtId="0" fontId="19" fillId="12" borderId="0" xfId="0" applyFont="1" applyFill="1" applyAlignment="1">
      <alignment horizontal="center"/>
    </xf>
    <xf numFmtId="0" fontId="83" fillId="0" borderId="18" xfId="0" applyFont="1" applyBorder="1" applyProtection="1">
      <protection hidden="1"/>
    </xf>
    <xf numFmtId="3" fontId="83" fillId="0" borderId="0" xfId="0" applyNumberFormat="1" applyFont="1" applyProtection="1">
      <protection hidden="1"/>
    </xf>
    <xf numFmtId="0" fontId="83" fillId="0" borderId="0" xfId="0" applyFont="1"/>
    <xf numFmtId="0" fontId="83" fillId="0" borderId="0" xfId="0" applyFont="1" applyAlignment="1" applyProtection="1">
      <alignment horizontal="left" vertical="center" wrapText="1"/>
      <protection hidden="1"/>
    </xf>
    <xf numFmtId="3" fontId="83" fillId="0" borderId="0" xfId="0" applyNumberFormat="1" applyFont="1" applyAlignment="1" applyProtection="1">
      <alignment vertical="center"/>
      <protection hidden="1"/>
    </xf>
    <xf numFmtId="0" fontId="83" fillId="17" borderId="18" xfId="0" applyFont="1" applyFill="1" applyBorder="1" applyProtection="1">
      <protection hidden="1"/>
    </xf>
    <xf numFmtId="3" fontId="84" fillId="17" borderId="0" xfId="0" applyNumberFormat="1" applyFont="1" applyFill="1" applyProtection="1">
      <protection hidden="1"/>
    </xf>
    <xf numFmtId="3" fontId="84" fillId="0" borderId="0" xfId="0" applyNumberFormat="1" applyFont="1" applyAlignment="1" applyProtection="1">
      <alignment vertical="center"/>
      <protection hidden="1"/>
    </xf>
    <xf numFmtId="0" fontId="41" fillId="0" borderId="8" xfId="0" applyFont="1" applyBorder="1" applyProtection="1">
      <protection hidden="1"/>
    </xf>
    <xf numFmtId="166" fontId="41" fillId="0" borderId="8" xfId="0" applyNumberFormat="1" applyFont="1" applyBorder="1" applyAlignment="1" applyProtection="1">
      <alignment horizontal="center"/>
      <protection hidden="1"/>
    </xf>
    <xf numFmtId="4" fontId="0" fillId="0" borderId="8" xfId="0" applyNumberFormat="1" applyBorder="1" applyProtection="1">
      <protection hidden="1"/>
    </xf>
    <xf numFmtId="0" fontId="85" fillId="0" borderId="0" xfId="0" applyFont="1" applyAlignment="1" applyProtection="1">
      <alignment horizontal="left" vertical="center" wrapText="1"/>
      <protection hidden="1"/>
    </xf>
    <xf numFmtId="3" fontId="85" fillId="0" borderId="0" xfId="0" applyNumberFormat="1" applyFont="1" applyAlignment="1" applyProtection="1">
      <alignment vertical="center"/>
      <protection hidden="1"/>
    </xf>
    <xf numFmtId="0" fontId="4" fillId="21" borderId="18" xfId="0" applyFont="1" applyFill="1" applyBorder="1" applyAlignment="1" applyProtection="1">
      <alignment horizontal="right" vertical="center"/>
      <protection hidden="1"/>
    </xf>
    <xf numFmtId="0" fontId="48" fillId="0" borderId="14" xfId="0" applyFont="1" applyBorder="1" applyAlignment="1">
      <alignment horizontal="left"/>
    </xf>
    <xf numFmtId="0" fontId="17" fillId="0" borderId="10" xfId="0" applyFont="1" applyBorder="1" applyAlignment="1">
      <alignment horizontal="left"/>
    </xf>
    <xf numFmtId="0" fontId="72" fillId="0" borderId="0" xfId="0" applyFont="1" applyAlignment="1" applyProtection="1">
      <alignment horizontal="center" vertical="center"/>
      <protection locked="0"/>
    </xf>
    <xf numFmtId="0" fontId="16" fillId="0" borderId="54" xfId="0" applyFont="1" applyBorder="1"/>
    <xf numFmtId="0" fontId="16" fillId="0" borderId="33" xfId="0" applyFont="1" applyBorder="1" applyAlignment="1">
      <alignment vertical="center"/>
    </xf>
    <xf numFmtId="0" fontId="8" fillId="0" borderId="14" xfId="0" applyFont="1" applyBorder="1" applyAlignment="1">
      <alignment horizontal="center" vertical="center"/>
    </xf>
    <xf numFmtId="49" fontId="17" fillId="3" borderId="44" xfId="0" applyNumberFormat="1" applyFont="1" applyFill="1" applyBorder="1" applyAlignment="1">
      <alignment horizontal="left" vertical="center"/>
    </xf>
    <xf numFmtId="0" fontId="11" fillId="0" borderId="0" xfId="1" applyAlignment="1" applyProtection="1">
      <alignment horizontal="center" vertical="center" wrapText="1"/>
      <protection hidden="1"/>
    </xf>
    <xf numFmtId="0" fontId="11" fillId="0" borderId="0" xfId="1" applyAlignment="1" applyProtection="1">
      <alignment vertical="center" wrapText="1"/>
    </xf>
    <xf numFmtId="0" fontId="17" fillId="0" borderId="19" xfId="0" applyFont="1" applyBorder="1" applyAlignment="1" applyProtection="1">
      <alignment horizontal="left" vertical="center" wrapText="1"/>
      <protection hidden="1"/>
    </xf>
    <xf numFmtId="0" fontId="0" fillId="0" borderId="0" xfId="0" applyAlignment="1">
      <alignment vertical="center" wrapText="1"/>
    </xf>
    <xf numFmtId="0" fontId="17" fillId="0" borderId="0" xfId="0" applyFont="1" applyAlignment="1" applyProtection="1">
      <alignment horizontal="left" vertical="center" wrapText="1"/>
      <protection hidden="1"/>
    </xf>
    <xf numFmtId="0" fontId="17" fillId="0" borderId="28" xfId="0" applyFont="1" applyBorder="1" applyAlignment="1">
      <alignment horizontal="left" vertical="center" wrapText="1"/>
    </xf>
    <xf numFmtId="0" fontId="17" fillId="0" borderId="28" xfId="0" applyFont="1" applyBorder="1" applyAlignment="1">
      <alignment horizontal="center" vertical="center"/>
    </xf>
    <xf numFmtId="0" fontId="7" fillId="0" borderId="12" xfId="0" applyFont="1" applyBorder="1" applyAlignment="1">
      <alignment horizontal="left" vertical="center"/>
    </xf>
    <xf numFmtId="0" fontId="16" fillId="0" borderId="12" xfId="0" applyFont="1" applyBorder="1" applyAlignment="1" applyProtection="1">
      <alignment horizontal="left"/>
      <protection hidden="1"/>
    </xf>
    <xf numFmtId="0" fontId="16" fillId="7" borderId="63" xfId="0" applyFont="1" applyFill="1" applyBorder="1" applyAlignment="1">
      <alignment horizontal="center" vertical="center"/>
    </xf>
    <xf numFmtId="0" fontId="17" fillId="0" borderId="14" xfId="0" applyFont="1" applyBorder="1" applyAlignment="1" applyProtection="1">
      <alignment vertical="center"/>
      <protection hidden="1"/>
    </xf>
    <xf numFmtId="0" fontId="17" fillId="0" borderId="14" xfId="0" applyFont="1" applyBorder="1" applyAlignment="1">
      <alignment vertical="center"/>
    </xf>
    <xf numFmtId="0" fontId="7" fillId="17" borderId="11" xfId="0" applyFont="1" applyFill="1" applyBorder="1"/>
    <xf numFmtId="0" fontId="41" fillId="17" borderId="11" xfId="0" applyFont="1" applyFill="1" applyBorder="1" applyProtection="1">
      <protection hidden="1"/>
    </xf>
    <xf numFmtId="166" fontId="41" fillId="17" borderId="11" xfId="0" applyNumberFormat="1" applyFont="1" applyFill="1" applyBorder="1" applyAlignment="1" applyProtection="1">
      <alignment horizontal="center"/>
      <protection hidden="1"/>
    </xf>
    <xf numFmtId="4" fontId="0" fillId="17" borderId="11" xfId="0" applyNumberFormat="1" applyFill="1" applyBorder="1" applyProtection="1">
      <protection hidden="1"/>
    </xf>
    <xf numFmtId="0" fontId="0" fillId="17" borderId="11" xfId="0" applyFill="1" applyBorder="1"/>
    <xf numFmtId="1" fontId="7" fillId="17" borderId="18" xfId="0" applyNumberFormat="1" applyFont="1" applyFill="1" applyBorder="1" applyProtection="1">
      <protection hidden="1"/>
    </xf>
    <xf numFmtId="0" fontId="4" fillId="0" borderId="0" xfId="0" applyFont="1" applyProtection="1">
      <protection hidden="1"/>
    </xf>
    <xf numFmtId="3" fontId="4" fillId="0" borderId="20" xfId="0" applyNumberFormat="1" applyFont="1" applyBorder="1" applyProtection="1">
      <protection hidden="1"/>
    </xf>
    <xf numFmtId="0" fontId="4" fillId="0" borderId="8" xfId="0" applyFont="1" applyBorder="1" applyProtection="1">
      <protection hidden="1"/>
    </xf>
    <xf numFmtId="1" fontId="4" fillId="17" borderId="8" xfId="0" applyNumberFormat="1" applyFont="1" applyFill="1" applyBorder="1" applyProtection="1">
      <protection hidden="1"/>
    </xf>
    <xf numFmtId="1" fontId="4" fillId="17" borderId="9" xfId="0" applyNumberFormat="1" applyFont="1" applyFill="1" applyBorder="1" applyProtection="1">
      <protection hidden="1"/>
    </xf>
    <xf numFmtId="0" fontId="7" fillId="17" borderId="40" xfId="0" applyFont="1" applyFill="1" applyBorder="1"/>
    <xf numFmtId="0" fontId="0" fillId="17" borderId="6" xfId="0" applyFill="1" applyBorder="1"/>
    <xf numFmtId="0" fontId="81" fillId="0" borderId="18" xfId="0" applyFont="1" applyBorder="1" applyProtection="1">
      <protection hidden="1"/>
    </xf>
    <xf numFmtId="3" fontId="81" fillId="0" borderId="20" xfId="0" applyNumberFormat="1" applyFont="1" applyBorder="1" applyProtection="1">
      <protection hidden="1"/>
    </xf>
    <xf numFmtId="1" fontId="4" fillId="17" borderId="18" xfId="0" applyNumberFormat="1" applyFont="1" applyFill="1" applyBorder="1" applyProtection="1">
      <protection hidden="1"/>
    </xf>
    <xf numFmtId="3" fontId="81" fillId="0" borderId="0" xfId="0" applyNumberFormat="1" applyFont="1"/>
    <xf numFmtId="3" fontId="81" fillId="0" borderId="20" xfId="0" applyNumberFormat="1" applyFont="1" applyBorder="1"/>
    <xf numFmtId="4" fontId="45" fillId="0" borderId="20" xfId="0" applyNumberFormat="1" applyFont="1" applyBorder="1" applyProtection="1">
      <protection hidden="1"/>
    </xf>
    <xf numFmtId="0" fontId="4" fillId="27" borderId="18" xfId="0" applyFont="1" applyFill="1" applyBorder="1" applyAlignment="1" applyProtection="1">
      <alignment horizontal="right" vertical="center"/>
      <protection hidden="1"/>
    </xf>
    <xf numFmtId="3" fontId="45" fillId="27" borderId="20" xfId="0" applyNumberFormat="1" applyFont="1" applyFill="1" applyBorder="1" applyProtection="1">
      <protection hidden="1"/>
    </xf>
    <xf numFmtId="3" fontId="83" fillId="0" borderId="20" xfId="0" applyNumberFormat="1" applyFont="1" applyBorder="1" applyProtection="1">
      <protection hidden="1"/>
    </xf>
    <xf numFmtId="0" fontId="85" fillId="0" borderId="40" xfId="0" applyFont="1" applyBorder="1" applyAlignment="1" applyProtection="1">
      <alignment horizontal="left" vertical="center" wrapText="1"/>
      <protection hidden="1"/>
    </xf>
    <xf numFmtId="3" fontId="85" fillId="0" borderId="11" xfId="0" applyNumberFormat="1" applyFont="1" applyBorder="1" applyAlignment="1" applyProtection="1">
      <alignment vertical="center"/>
      <protection hidden="1"/>
    </xf>
    <xf numFmtId="3" fontId="85" fillId="0" borderId="6" xfId="0" applyNumberFormat="1" applyFont="1" applyBorder="1" applyAlignment="1" applyProtection="1">
      <alignment vertical="center"/>
      <protection hidden="1"/>
    </xf>
    <xf numFmtId="0" fontId="83" fillId="0" borderId="18" xfId="0" applyFont="1" applyBorder="1" applyAlignment="1" applyProtection="1">
      <alignment horizontal="left" vertical="center" wrapText="1"/>
      <protection hidden="1"/>
    </xf>
    <xf numFmtId="3" fontId="83" fillId="0" borderId="20" xfId="0" applyNumberFormat="1" applyFont="1" applyBorder="1" applyAlignment="1" applyProtection="1">
      <alignment vertical="center"/>
      <protection hidden="1"/>
    </xf>
    <xf numFmtId="0" fontId="80" fillId="28" borderId="40" xfId="0" applyFont="1" applyFill="1" applyBorder="1"/>
    <xf numFmtId="0" fontId="80" fillId="28" borderId="11" xfId="0" applyFont="1" applyFill="1" applyBorder="1" applyAlignment="1" applyProtection="1">
      <alignment horizontal="center"/>
      <protection hidden="1"/>
    </xf>
    <xf numFmtId="1" fontId="80" fillId="28" borderId="11" xfId="0" applyNumberFormat="1" applyFont="1" applyFill="1" applyBorder="1" applyAlignment="1" applyProtection="1">
      <alignment horizontal="center"/>
      <protection hidden="1"/>
    </xf>
    <xf numFmtId="1" fontId="80" fillId="28" borderId="6" xfId="0" applyNumberFormat="1" applyFont="1" applyFill="1" applyBorder="1" applyAlignment="1" applyProtection="1">
      <alignment horizontal="center"/>
      <protection hidden="1"/>
    </xf>
    <xf numFmtId="0" fontId="7" fillId="28" borderId="0" xfId="0" applyFont="1" applyFill="1" applyProtection="1">
      <protection hidden="1"/>
    </xf>
    <xf numFmtId="0" fontId="87" fillId="0" borderId="14" xfId="0" applyFont="1" applyBorder="1" applyAlignment="1">
      <alignment horizontal="center" vertical="center"/>
    </xf>
    <xf numFmtId="166" fontId="4" fillId="10" borderId="29" xfId="0" applyNumberFormat="1" applyFont="1" applyFill="1" applyBorder="1" applyAlignment="1" applyProtection="1">
      <alignment horizontal="center"/>
      <protection hidden="1"/>
    </xf>
    <xf numFmtId="166" fontId="4" fillId="10" borderId="100" xfId="0" applyNumberFormat="1" applyFont="1" applyFill="1" applyBorder="1" applyAlignment="1" applyProtection="1">
      <alignment horizontal="center"/>
      <protection hidden="1"/>
    </xf>
    <xf numFmtId="0" fontId="5" fillId="0" borderId="0" xfId="0" applyFont="1" applyAlignment="1">
      <alignment horizontal="center" vertical="center" wrapText="1"/>
    </xf>
    <xf numFmtId="49" fontId="17" fillId="5" borderId="0" xfId="0" applyNumberFormat="1" applyFont="1" applyFill="1" applyAlignment="1">
      <alignment horizontal="center"/>
    </xf>
    <xf numFmtId="49" fontId="17" fillId="0" borderId="0" xfId="0" applyNumberFormat="1" applyFont="1" applyAlignment="1">
      <alignment horizontal="center"/>
    </xf>
    <xf numFmtId="49" fontId="16" fillId="0" borderId="0" xfId="0" applyNumberFormat="1" applyFont="1" applyAlignment="1">
      <alignment horizontal="center"/>
    </xf>
    <xf numFmtId="49" fontId="17" fillId="5" borderId="0" xfId="0" applyNumberFormat="1" applyFont="1" applyFill="1" applyAlignment="1">
      <alignment horizontal="center" vertical="center"/>
    </xf>
    <xf numFmtId="49" fontId="17" fillId="0" borderId="0" xfId="0" applyNumberFormat="1" applyFont="1" applyAlignment="1">
      <alignment horizontal="center" vertical="center"/>
    </xf>
    <xf numFmtId="49" fontId="16" fillId="0" borderId="0" xfId="0" applyNumberFormat="1" applyFont="1" applyAlignment="1">
      <alignment horizontal="center" vertical="center"/>
    </xf>
    <xf numFmtId="49" fontId="17" fillId="0" borderId="0" xfId="0" applyNumberFormat="1" applyFont="1" applyAlignment="1" applyProtection="1">
      <alignment horizontal="center" vertical="center"/>
      <protection hidden="1"/>
    </xf>
    <xf numFmtId="49" fontId="17" fillId="12" borderId="0" xfId="0" applyNumberFormat="1" applyFont="1" applyFill="1" applyAlignment="1">
      <alignment horizontal="center" vertical="center"/>
    </xf>
    <xf numFmtId="49" fontId="16" fillId="12" borderId="0" xfId="0" applyNumberFormat="1" applyFont="1" applyFill="1" applyAlignment="1">
      <alignment horizontal="center" vertical="center"/>
    </xf>
    <xf numFmtId="0" fontId="17" fillId="0" borderId="9" xfId="0" applyFont="1" applyBorder="1" applyAlignment="1">
      <alignment vertical="center"/>
    </xf>
    <xf numFmtId="0" fontId="17" fillId="0" borderId="31" xfId="0" applyFont="1" applyBorder="1" applyAlignment="1">
      <alignment vertical="center"/>
    </xf>
    <xf numFmtId="0" fontId="16" fillId="0" borderId="22" xfId="0" applyFont="1" applyBorder="1" applyAlignment="1">
      <alignment horizontal="center"/>
    </xf>
    <xf numFmtId="0" fontId="16" fillId="0" borderId="22" xfId="0" applyFont="1" applyBorder="1"/>
    <xf numFmtId="0" fontId="16" fillId="0" borderId="54" xfId="1" applyFont="1" applyBorder="1" applyAlignment="1" applyProtection="1">
      <alignment vertical="center"/>
    </xf>
    <xf numFmtId="0" fontId="16" fillId="0" borderId="54" xfId="0" applyFont="1" applyBorder="1" applyAlignment="1">
      <alignment vertical="center"/>
    </xf>
    <xf numFmtId="0" fontId="16" fillId="0" borderId="31" xfId="0" applyFont="1" applyBorder="1" applyAlignment="1">
      <alignment vertical="center"/>
    </xf>
    <xf numFmtId="0" fontId="17" fillId="0" borderId="31" xfId="0" applyFont="1" applyBorder="1" applyAlignment="1">
      <alignment horizontal="left" vertical="center"/>
    </xf>
    <xf numFmtId="9" fontId="17" fillId="0" borderId="67" xfId="0" applyNumberFormat="1" applyFont="1" applyBorder="1" applyAlignment="1" applyProtection="1">
      <alignment vertical="center"/>
      <protection locked="0"/>
    </xf>
    <xf numFmtId="9" fontId="17" fillId="0" borderId="80" xfId="0" applyNumberFormat="1" applyFont="1" applyBorder="1" applyAlignment="1" applyProtection="1">
      <alignment vertical="center"/>
      <protection locked="0"/>
    </xf>
    <xf numFmtId="9" fontId="17" fillId="0" borderId="9" xfId="0" applyNumberFormat="1" applyFont="1" applyBorder="1" applyAlignment="1" applyProtection="1">
      <alignment vertical="center"/>
      <protection locked="0"/>
    </xf>
    <xf numFmtId="0" fontId="17" fillId="0" borderId="67" xfId="0" applyFont="1" applyBorder="1" applyAlignment="1">
      <alignment vertical="center"/>
    </xf>
    <xf numFmtId="0" fontId="17" fillId="0" borderId="72" xfId="0" applyFont="1" applyBorder="1" applyAlignment="1">
      <alignment vertical="center"/>
    </xf>
    <xf numFmtId="0" fontId="17" fillId="0" borderId="8" xfId="0" applyFont="1" applyBorder="1" applyAlignment="1">
      <alignment horizontal="left" vertical="center"/>
    </xf>
    <xf numFmtId="0" fontId="5" fillId="0" borderId="0" xfId="0" applyFont="1" applyAlignment="1">
      <alignment horizontal="center" wrapText="1"/>
    </xf>
    <xf numFmtId="0" fontId="17" fillId="0" borderId="12" xfId="0" applyFont="1" applyBorder="1"/>
    <xf numFmtId="0" fontId="17" fillId="0" borderId="8" xfId="0" applyFont="1" applyBorder="1"/>
    <xf numFmtId="9" fontId="17" fillId="0" borderId="12" xfId="0" applyNumberFormat="1" applyFont="1" applyBorder="1" applyAlignment="1" applyProtection="1">
      <alignment vertical="center"/>
      <protection locked="0"/>
    </xf>
    <xf numFmtId="9" fontId="17" fillId="0" borderId="8" xfId="0" applyNumberFormat="1" applyFont="1" applyBorder="1" applyAlignment="1" applyProtection="1">
      <alignment vertical="center"/>
      <protection locked="0"/>
    </xf>
    <xf numFmtId="2" fontId="48" fillId="11" borderId="14" xfId="0" applyNumberFormat="1" applyFont="1" applyFill="1" applyBorder="1" applyAlignment="1" applyProtection="1">
      <alignment horizontal="center" vertical="center"/>
      <protection locked="0"/>
    </xf>
    <xf numFmtId="9" fontId="52" fillId="11" borderId="14" xfId="0" applyNumberFormat="1" applyFont="1" applyFill="1" applyBorder="1" applyAlignment="1" applyProtection="1">
      <alignment horizontal="center" vertical="center"/>
      <protection locked="0"/>
    </xf>
    <xf numFmtId="0" fontId="6" fillId="8" borderId="2" xfId="0" applyFont="1" applyFill="1" applyBorder="1" applyAlignment="1" applyProtection="1">
      <alignment horizontal="center"/>
      <protection hidden="1"/>
    </xf>
    <xf numFmtId="0" fontId="6" fillId="8" borderId="63" xfId="0" applyFont="1" applyFill="1" applyBorder="1" applyAlignment="1" applyProtection="1">
      <alignment horizontal="center"/>
      <protection hidden="1"/>
    </xf>
    <xf numFmtId="0" fontId="16" fillId="0" borderId="11" xfId="0" applyFont="1" applyBorder="1" applyAlignment="1">
      <alignment horizontal="center"/>
    </xf>
    <xf numFmtId="0" fontId="16" fillId="0" borderId="11" xfId="0" applyFont="1" applyBorder="1" applyAlignment="1">
      <alignment horizontal="center" vertical="center"/>
    </xf>
    <xf numFmtId="0" fontId="87" fillId="0" borderId="12" xfId="0" applyFont="1" applyBorder="1" applyAlignment="1">
      <alignment vertical="center"/>
    </xf>
    <xf numFmtId="0" fontId="87" fillId="0" borderId="0" xfId="0" applyFont="1" applyAlignment="1">
      <alignment horizontal="center" vertical="center"/>
    </xf>
    <xf numFmtId="0" fontId="87" fillId="0" borderId="0" xfId="0" applyFont="1" applyAlignment="1">
      <alignment horizontal="center"/>
    </xf>
    <xf numFmtId="0" fontId="87" fillId="0" borderId="0" xfId="0" applyFont="1"/>
    <xf numFmtId="0" fontId="94" fillId="0" borderId="0" xfId="0" applyFont="1"/>
    <xf numFmtId="0" fontId="4" fillId="10" borderId="0" xfId="0" applyFont="1" applyFill="1" applyAlignment="1">
      <alignment horizontal="center" vertical="center"/>
    </xf>
    <xf numFmtId="0" fontId="0" fillId="10" borderId="0" xfId="0" applyFill="1" applyAlignment="1">
      <alignment horizontal="center" vertical="center"/>
    </xf>
    <xf numFmtId="0" fontId="4" fillId="12" borderId="0" xfId="0" applyFont="1" applyFill="1" applyAlignment="1">
      <alignment horizontal="center" vertical="center"/>
    </xf>
    <xf numFmtId="0" fontId="0" fillId="12" borderId="0" xfId="0" applyFill="1" applyAlignment="1">
      <alignment horizontal="center" vertical="center"/>
    </xf>
    <xf numFmtId="0" fontId="16" fillId="0" borderId="28" xfId="0" applyFont="1" applyBorder="1" applyAlignment="1">
      <alignment horizontal="center" vertical="center"/>
    </xf>
    <xf numFmtId="0" fontId="17" fillId="0" borderId="28" xfId="0" applyFont="1" applyBorder="1" applyProtection="1">
      <protection hidden="1"/>
    </xf>
    <xf numFmtId="0" fontId="17" fillId="0" borderId="31" xfId="0" applyFont="1" applyBorder="1" applyProtection="1">
      <protection hidden="1"/>
    </xf>
    <xf numFmtId="49" fontId="41" fillId="11" borderId="81" xfId="0" applyNumberFormat="1" applyFont="1" applyFill="1" applyBorder="1" applyAlignment="1" applyProtection="1">
      <alignment horizontal="center" vertical="center"/>
      <protection locked="0"/>
    </xf>
    <xf numFmtId="49" fontId="41" fillId="11" borderId="73" xfId="0" applyNumberFormat="1" applyFont="1" applyFill="1" applyBorder="1" applyAlignment="1" applyProtection="1">
      <alignment horizontal="center" vertical="center"/>
      <protection locked="0"/>
    </xf>
    <xf numFmtId="0" fontId="65" fillId="0" borderId="0" xfId="0" applyFont="1" applyAlignment="1">
      <alignment horizontal="center"/>
    </xf>
    <xf numFmtId="49" fontId="16" fillId="0" borderId="22" xfId="0" applyNumberFormat="1" applyFont="1" applyBorder="1" applyAlignment="1">
      <alignment horizontal="left" vertical="center"/>
    </xf>
    <xf numFmtId="49" fontId="16" fillId="0" borderId="7" xfId="0" applyNumberFormat="1" applyFont="1" applyBorder="1" applyAlignment="1">
      <alignment horizontal="left" vertical="center"/>
    </xf>
    <xf numFmtId="49" fontId="50" fillId="0" borderId="0" xfId="0" applyNumberFormat="1" applyFont="1"/>
    <xf numFmtId="0" fontId="4" fillId="0" borderId="0" xfId="0" applyFont="1" applyAlignment="1">
      <alignment horizontal="center"/>
    </xf>
    <xf numFmtId="3" fontId="4" fillId="0" borderId="0" xfId="0" applyNumberFormat="1" applyFont="1"/>
    <xf numFmtId="0" fontId="7" fillId="7" borderId="0" xfId="0" applyFont="1" applyFill="1"/>
    <xf numFmtId="0" fontId="0" fillId="7" borderId="0" xfId="0" applyFill="1"/>
    <xf numFmtId="3" fontId="7" fillId="7" borderId="0" xfId="0" applyNumberFormat="1" applyFont="1" applyFill="1"/>
    <xf numFmtId="0" fontId="16" fillId="7" borderId="0" xfId="0" applyFont="1" applyFill="1" applyAlignment="1" applyProtection="1">
      <alignment horizontal="left"/>
      <protection hidden="1"/>
    </xf>
    <xf numFmtId="0" fontId="17" fillId="0" borderId="19" xfId="0" applyFont="1" applyBorder="1" applyAlignment="1" applyProtection="1">
      <alignment vertical="center"/>
      <protection locked="0"/>
    </xf>
    <xf numFmtId="0" fontId="16" fillId="0" borderId="12" xfId="0" applyFont="1" applyBorder="1" applyAlignment="1">
      <alignment vertical="center"/>
    </xf>
    <xf numFmtId="0" fontId="17" fillId="0" borderId="10" xfId="0" applyFont="1" applyBorder="1" applyAlignment="1">
      <alignment vertical="center"/>
    </xf>
    <xf numFmtId="0" fontId="96" fillId="0" borderId="0" xfId="0" applyFont="1" applyBorder="1" applyAlignment="1" applyProtection="1">
      <protection locked="0"/>
    </xf>
    <xf numFmtId="0" fontId="3" fillId="0" borderId="12" xfId="0" applyFont="1" applyBorder="1" applyAlignment="1">
      <alignment vertical="center"/>
    </xf>
    <xf numFmtId="0" fontId="87" fillId="0" borderId="31" xfId="0" applyFont="1" applyBorder="1" applyAlignment="1">
      <alignment horizontal="center" vertical="center"/>
    </xf>
    <xf numFmtId="0" fontId="0" fillId="0" borderId="0" xfId="0"/>
    <xf numFmtId="0" fontId="0" fillId="0" borderId="0" xfId="0"/>
    <xf numFmtId="0" fontId="0" fillId="0" borderId="0" xfId="0" applyBorder="1"/>
    <xf numFmtId="3" fontId="16" fillId="0" borderId="0" xfId="0" applyNumberFormat="1" applyFont="1" applyBorder="1" applyAlignment="1" applyProtection="1">
      <alignment horizontal="center" vertical="center"/>
      <protection hidden="1"/>
    </xf>
    <xf numFmtId="0" fontId="0" fillId="0" borderId="0" xfId="0" applyBorder="1" applyAlignment="1">
      <alignment horizontal="right" vertical="top" wrapText="1"/>
    </xf>
    <xf numFmtId="0" fontId="16" fillId="0" borderId="0" xfId="0" applyFont="1" applyAlignment="1">
      <alignment horizontal="right"/>
    </xf>
    <xf numFmtId="3" fontId="16" fillId="0" borderId="7" xfId="0" applyNumberFormat="1" applyFont="1" applyBorder="1" applyAlignment="1" applyProtection="1">
      <alignment horizontal="center" vertical="center"/>
      <protection hidden="1"/>
    </xf>
    <xf numFmtId="0" fontId="16" fillId="0" borderId="0" xfId="0" applyFont="1" applyAlignment="1" applyProtection="1">
      <protection hidden="1"/>
    </xf>
    <xf numFmtId="0" fontId="17" fillId="0" borderId="0" xfId="0" applyFont="1" applyAlignment="1"/>
    <xf numFmtId="3" fontId="17" fillId="3" borderId="30" xfId="0" applyNumberFormat="1" applyFont="1" applyFill="1" applyBorder="1" applyAlignment="1" applyProtection="1">
      <alignment horizontal="center" vertical="center"/>
      <protection hidden="1"/>
    </xf>
    <xf numFmtId="164" fontId="8" fillId="13" borderId="14" xfId="0" applyNumberFormat="1" applyFont="1" applyFill="1" applyBorder="1" applyAlignment="1" applyProtection="1">
      <alignment horizontal="center" vertical="center"/>
      <protection locked="0"/>
    </xf>
    <xf numFmtId="3" fontId="17" fillId="3" borderId="14" xfId="0" applyNumberFormat="1" applyFont="1" applyFill="1" applyBorder="1" applyAlignment="1" applyProtection="1">
      <alignment horizontal="center"/>
      <protection hidden="1"/>
    </xf>
    <xf numFmtId="3" fontId="16" fillId="0" borderId="5" xfId="0" applyNumberFormat="1" applyFont="1" applyBorder="1" applyAlignment="1" applyProtection="1">
      <alignment horizontal="center" vertical="center"/>
      <protection hidden="1"/>
    </xf>
    <xf numFmtId="3" fontId="17" fillId="3" borderId="26" xfId="0" applyNumberFormat="1" applyFont="1" applyFill="1" applyBorder="1" applyAlignment="1" applyProtection="1">
      <alignment horizontal="center" vertical="center"/>
      <protection hidden="1"/>
    </xf>
    <xf numFmtId="3" fontId="16" fillId="7" borderId="1" xfId="0" applyNumberFormat="1" applyFont="1" applyFill="1" applyBorder="1" applyAlignment="1" applyProtection="1">
      <alignment horizontal="center" vertical="center"/>
      <protection hidden="1"/>
    </xf>
    <xf numFmtId="3" fontId="16" fillId="7" borderId="26" xfId="0" applyNumberFormat="1" applyFont="1" applyFill="1" applyBorder="1" applyAlignment="1" applyProtection="1">
      <alignment horizontal="center" vertical="center"/>
      <protection hidden="1"/>
    </xf>
    <xf numFmtId="3" fontId="17" fillId="7" borderId="70" xfId="0" applyNumberFormat="1" applyFont="1" applyFill="1" applyBorder="1" applyAlignment="1" applyProtection="1">
      <alignment horizontal="center" vertical="center"/>
      <protection hidden="1"/>
    </xf>
    <xf numFmtId="3" fontId="17" fillId="7" borderId="4" xfId="0" applyNumberFormat="1" applyFont="1" applyFill="1" applyBorder="1" applyAlignment="1" applyProtection="1">
      <alignment horizontal="center" vertical="center"/>
      <protection hidden="1"/>
    </xf>
    <xf numFmtId="3" fontId="17" fillId="7" borderId="106" xfId="0" applyNumberFormat="1" applyFont="1" applyFill="1" applyBorder="1" applyAlignment="1" applyProtection="1">
      <alignment horizontal="center" vertical="center"/>
      <protection hidden="1"/>
    </xf>
    <xf numFmtId="3" fontId="16" fillId="0" borderId="11" xfId="0" applyNumberFormat="1" applyFont="1" applyBorder="1" applyAlignment="1">
      <alignment horizontal="center" vertical="center"/>
    </xf>
    <xf numFmtId="0" fontId="17" fillId="0" borderId="8" xfId="0" applyFont="1" applyBorder="1" applyAlignment="1">
      <alignment horizontal="center" vertical="center"/>
    </xf>
    <xf numFmtId="164" fontId="16" fillId="0" borderId="8" xfId="2" applyNumberFormat="1" applyFont="1" applyBorder="1" applyAlignment="1" applyProtection="1">
      <alignment horizontal="center" vertical="center"/>
      <protection hidden="1"/>
    </xf>
    <xf numFmtId="3" fontId="16" fillId="7" borderId="74" xfId="0" applyNumberFormat="1" applyFont="1" applyFill="1" applyBorder="1" applyAlignment="1" applyProtection="1">
      <alignment horizontal="center" vertical="center"/>
      <protection hidden="1"/>
    </xf>
    <xf numFmtId="3" fontId="17" fillId="7" borderId="71" xfId="0" applyNumberFormat="1" applyFont="1" applyFill="1" applyBorder="1" applyAlignment="1" applyProtection="1">
      <alignment horizontal="center" vertical="center"/>
      <protection hidden="1"/>
    </xf>
    <xf numFmtId="3" fontId="17" fillId="0" borderId="79" xfId="0" applyNumberFormat="1" applyFont="1" applyBorder="1" applyAlignment="1" applyProtection="1">
      <alignment horizontal="center" vertical="center"/>
      <protection hidden="1"/>
    </xf>
    <xf numFmtId="3" fontId="17" fillId="0" borderId="70" xfId="0" applyNumberFormat="1" applyFont="1" applyBorder="1" applyAlignment="1" applyProtection="1">
      <alignment horizontal="center" vertical="center"/>
      <protection hidden="1"/>
    </xf>
    <xf numFmtId="4" fontId="17" fillId="0" borderId="70" xfId="0" applyNumberFormat="1" applyFont="1" applyBorder="1" applyAlignment="1" applyProtection="1">
      <alignment horizontal="center" vertical="center"/>
      <protection hidden="1"/>
    </xf>
    <xf numFmtId="3" fontId="16" fillId="7" borderId="26" xfId="0" applyNumberFormat="1" applyFont="1" applyFill="1" applyBorder="1" applyAlignment="1" applyProtection="1">
      <alignment horizontal="center" vertical="center"/>
      <protection locked="0"/>
    </xf>
    <xf numFmtId="3" fontId="17" fillId="0" borderId="1" xfId="0" applyNumberFormat="1" applyFont="1" applyBorder="1" applyAlignment="1" applyProtection="1">
      <alignment horizontal="center" vertical="center"/>
      <protection hidden="1"/>
    </xf>
    <xf numFmtId="3" fontId="16" fillId="0" borderId="4" xfId="0" applyNumberFormat="1" applyFont="1" applyBorder="1" applyAlignment="1" applyProtection="1">
      <alignment horizontal="center" vertical="center"/>
      <protection hidden="1"/>
    </xf>
    <xf numFmtId="3" fontId="17" fillId="0" borderId="5" xfId="0" applyNumberFormat="1" applyFont="1" applyBorder="1" applyAlignment="1" applyProtection="1">
      <alignment horizontal="center" vertical="center"/>
      <protection hidden="1"/>
    </xf>
    <xf numFmtId="166" fontId="47" fillId="11" borderId="33" xfId="0" applyNumberFormat="1" applyFont="1" applyFill="1" applyBorder="1" applyAlignment="1" applyProtection="1">
      <alignment horizontal="center" vertical="center"/>
      <protection locked="0"/>
    </xf>
    <xf numFmtId="0" fontId="47" fillId="0" borderId="10" xfId="0" applyFont="1" applyBorder="1" applyAlignment="1">
      <alignment horizontal="center" vertical="center"/>
    </xf>
    <xf numFmtId="2" fontId="47" fillId="11" borderId="14" xfId="0" applyNumberFormat="1" applyFont="1" applyFill="1" applyBorder="1" applyAlignment="1" applyProtection="1">
      <alignment horizontal="center" vertical="center"/>
      <protection locked="0"/>
    </xf>
    <xf numFmtId="0" fontId="47" fillId="0" borderId="29" xfId="0" applyFont="1" applyBorder="1" applyAlignment="1">
      <alignment horizontal="center" vertical="center"/>
    </xf>
    <xf numFmtId="0" fontId="47" fillId="0" borderId="76" xfId="0" applyFont="1" applyBorder="1" applyAlignment="1">
      <alignment horizontal="center" vertical="center"/>
    </xf>
    <xf numFmtId="0" fontId="23" fillId="12" borderId="0" xfId="1" applyFont="1" applyFill="1" applyAlignment="1" applyProtection="1"/>
    <xf numFmtId="0" fontId="0" fillId="0" borderId="0" xfId="0"/>
    <xf numFmtId="0" fontId="0" fillId="0" borderId="0" xfId="0"/>
    <xf numFmtId="0" fontId="92" fillId="0" borderId="0" xfId="3" applyFont="1" applyFill="1" applyBorder="1" applyAlignment="1">
      <alignment horizontal="center"/>
    </xf>
    <xf numFmtId="0" fontId="86" fillId="0" borderId="10" xfId="0" applyFont="1" applyBorder="1" applyAlignment="1">
      <alignment horizontal="center" vertical="center"/>
    </xf>
    <xf numFmtId="0" fontId="86" fillId="0" borderId="32" xfId="0" applyFont="1" applyBorder="1" applyAlignment="1">
      <alignment horizontal="center" vertical="center"/>
    </xf>
    <xf numFmtId="0" fontId="87" fillId="0" borderId="37" xfId="0" applyFont="1" applyBorder="1" applyAlignment="1">
      <alignment horizontal="center" vertical="center"/>
    </xf>
    <xf numFmtId="0" fontId="87" fillId="0" borderId="10" xfId="0" applyFont="1" applyBorder="1" applyAlignment="1">
      <alignment horizontal="center" vertical="center"/>
    </xf>
    <xf numFmtId="0" fontId="92" fillId="0" borderId="0" xfId="3" applyFont="1" applyFill="1" applyBorder="1" applyAlignment="1">
      <alignment horizontal="center" vertical="center"/>
    </xf>
    <xf numFmtId="0" fontId="93" fillId="0" borderId="0" xfId="0" applyFont="1" applyBorder="1" applyAlignment="1">
      <alignment vertical="top"/>
    </xf>
    <xf numFmtId="170" fontId="87" fillId="0" borderId="14" xfId="0" applyNumberFormat="1" applyFont="1" applyBorder="1" applyAlignment="1">
      <alignment horizontal="center" vertical="center"/>
    </xf>
    <xf numFmtId="164" fontId="87" fillId="0" borderId="14" xfId="0" applyNumberFormat="1" applyFont="1" applyBorder="1" applyAlignment="1">
      <alignment horizontal="center" vertical="center"/>
    </xf>
    <xf numFmtId="164" fontId="87" fillId="0" borderId="33" xfId="0" applyNumberFormat="1" applyFont="1" applyBorder="1" applyAlignment="1">
      <alignment horizontal="center" vertical="center"/>
    </xf>
    <xf numFmtId="170" fontId="86" fillId="0" borderId="14" xfId="0" applyNumberFormat="1" applyFont="1" applyBorder="1" applyAlignment="1">
      <alignment horizontal="center" vertical="center"/>
    </xf>
    <xf numFmtId="164" fontId="86" fillId="0" borderId="14" xfId="0" applyNumberFormat="1" applyFont="1" applyBorder="1" applyAlignment="1">
      <alignment horizontal="center" vertical="center"/>
    </xf>
    <xf numFmtId="171" fontId="86" fillId="0" borderId="33" xfId="0" applyNumberFormat="1" applyFont="1" applyBorder="1" applyAlignment="1">
      <alignment horizontal="center" vertical="center"/>
    </xf>
    <xf numFmtId="170" fontId="86" fillId="0" borderId="63" xfId="0" applyNumberFormat="1" applyFont="1" applyBorder="1" applyAlignment="1">
      <alignment horizontal="center" vertical="center"/>
    </xf>
    <xf numFmtId="164" fontId="86" fillId="0" borderId="63" xfId="0" applyNumberFormat="1" applyFont="1" applyBorder="1" applyAlignment="1">
      <alignment horizontal="center" vertical="center"/>
    </xf>
    <xf numFmtId="171" fontId="86" fillId="0" borderId="30" xfId="0" applyNumberFormat="1" applyFont="1" applyBorder="1" applyAlignment="1">
      <alignment horizontal="center" vertical="center"/>
    </xf>
    <xf numFmtId="0" fontId="87" fillId="0" borderId="0" xfId="0" applyFont="1" applyBorder="1" applyAlignment="1">
      <alignment horizontal="center" vertical="center"/>
    </xf>
    <xf numFmtId="0" fontId="87" fillId="0" borderId="0" xfId="0" applyFont="1" applyBorder="1" applyAlignment="1">
      <alignment vertical="center"/>
    </xf>
    <xf numFmtId="172" fontId="87" fillId="12" borderId="14" xfId="0" applyNumberFormat="1" applyFont="1" applyFill="1" applyBorder="1" applyAlignment="1">
      <alignment horizontal="center"/>
    </xf>
    <xf numFmtId="164" fontId="87" fillId="12" borderId="14" xfId="0" applyNumberFormat="1" applyFont="1" applyFill="1" applyBorder="1" applyAlignment="1">
      <alignment horizontal="center"/>
    </xf>
    <xf numFmtId="170" fontId="87" fillId="12" borderId="14" xfId="0" applyNumberFormat="1" applyFont="1" applyFill="1" applyBorder="1" applyAlignment="1">
      <alignment horizontal="center"/>
    </xf>
    <xf numFmtId="164" fontId="87" fillId="12" borderId="33" xfId="0" applyNumberFormat="1" applyFont="1" applyFill="1" applyBorder="1" applyAlignment="1">
      <alignment horizontal="center"/>
    </xf>
    <xf numFmtId="0" fontId="87" fillId="12" borderId="10" xfId="0" applyFont="1" applyFill="1" applyBorder="1" applyAlignment="1">
      <alignment horizontal="center"/>
    </xf>
    <xf numFmtId="164" fontId="87" fillId="12" borderId="12" xfId="0" applyNumberFormat="1" applyFont="1" applyFill="1" applyBorder="1" applyAlignment="1">
      <alignment horizontal="center"/>
    </xf>
    <xf numFmtId="0" fontId="87" fillId="12" borderId="0" xfId="0" applyFont="1" applyFill="1" applyBorder="1" applyAlignment="1">
      <alignment horizontal="center"/>
    </xf>
    <xf numFmtId="172" fontId="87" fillId="12" borderId="0" xfId="0" applyNumberFormat="1" applyFont="1" applyFill="1" applyBorder="1" applyAlignment="1">
      <alignment horizontal="center"/>
    </xf>
    <xf numFmtId="164" fontId="87" fillId="12" borderId="0" xfId="0" applyNumberFormat="1" applyFont="1" applyFill="1" applyBorder="1" applyAlignment="1">
      <alignment horizontal="center"/>
    </xf>
    <xf numFmtId="170" fontId="87" fillId="12" borderId="0" xfId="0" applyNumberFormat="1" applyFont="1" applyFill="1" applyBorder="1" applyAlignment="1">
      <alignment horizontal="center"/>
    </xf>
    <xf numFmtId="0" fontId="106" fillId="0" borderId="0" xfId="0" applyFont="1" applyBorder="1" applyAlignment="1">
      <alignment horizontal="center" vertical="center"/>
    </xf>
    <xf numFmtId="170" fontId="87" fillId="0" borderId="49" xfId="0" applyNumberFormat="1" applyFont="1" applyBorder="1" applyAlignment="1">
      <alignment horizontal="center" vertical="center"/>
    </xf>
    <xf numFmtId="164" fontId="87" fillId="0" borderId="49" xfId="0" applyNumberFormat="1" applyFont="1" applyBorder="1" applyAlignment="1">
      <alignment horizontal="center" vertical="center"/>
    </xf>
    <xf numFmtId="164" fontId="87" fillId="0" borderId="53" xfId="0" applyNumberFormat="1" applyFont="1" applyBorder="1" applyAlignment="1">
      <alignment horizontal="center" vertical="center"/>
    </xf>
    <xf numFmtId="171" fontId="107" fillId="0" borderId="0" xfId="0" applyNumberFormat="1" applyFont="1" applyFill="1" applyAlignment="1">
      <alignment horizontal="center" vertical="center"/>
    </xf>
    <xf numFmtId="169" fontId="87" fillId="0" borderId="0" xfId="0" applyNumberFormat="1" applyFont="1" applyFill="1" applyBorder="1" applyAlignment="1">
      <alignment horizontal="center"/>
    </xf>
    <xf numFmtId="0" fontId="93" fillId="0" borderId="0" xfId="0" applyFont="1" applyFill="1" applyBorder="1" applyAlignment="1">
      <alignment vertical="top"/>
    </xf>
    <xf numFmtId="171" fontId="87" fillId="0" borderId="0" xfId="0" applyNumberFormat="1" applyFont="1" applyFill="1" applyBorder="1" applyAlignment="1">
      <alignment horizontal="center" vertical="center"/>
    </xf>
    <xf numFmtId="164" fontId="87" fillId="0" borderId="0" xfId="0" applyNumberFormat="1" applyFont="1" applyFill="1" applyBorder="1" applyAlignment="1">
      <alignment horizontal="center" vertical="center"/>
    </xf>
    <xf numFmtId="0" fontId="0" fillId="0" borderId="0" xfId="0"/>
    <xf numFmtId="3" fontId="17" fillId="0" borderId="14" xfId="0" applyNumberFormat="1" applyFont="1" applyBorder="1" applyAlignment="1">
      <alignment horizontal="center" vertical="center"/>
    </xf>
    <xf numFmtId="3" fontId="17" fillId="0" borderId="33" xfId="0" applyNumberFormat="1" applyFont="1" applyBorder="1" applyAlignment="1">
      <alignment horizontal="center" vertical="center"/>
    </xf>
    <xf numFmtId="3" fontId="16" fillId="0" borderId="7" xfId="0" applyNumberFormat="1" applyFont="1" applyBorder="1" applyAlignment="1" applyProtection="1">
      <alignment horizontal="center" vertical="center"/>
      <protection hidden="1"/>
    </xf>
    <xf numFmtId="3" fontId="16" fillId="7" borderId="14" xfId="0" applyNumberFormat="1" applyFont="1" applyFill="1" applyBorder="1" applyAlignment="1" applyProtection="1">
      <alignment horizontal="center" vertical="center"/>
      <protection hidden="1"/>
    </xf>
    <xf numFmtId="0" fontId="87" fillId="0" borderId="0" xfId="0" applyFont="1" applyFill="1" applyBorder="1" applyAlignment="1">
      <alignment vertical="center"/>
    </xf>
    <xf numFmtId="0" fontId="0" fillId="0" borderId="0" xfId="0" applyFill="1" applyBorder="1"/>
    <xf numFmtId="0" fontId="46" fillId="0" borderId="0" xfId="0" applyFont="1" applyFill="1" applyBorder="1"/>
    <xf numFmtId="0" fontId="87" fillId="0" borderId="0" xfId="0" applyFont="1" applyFill="1" applyAlignment="1">
      <alignment horizontal="center" vertical="center"/>
    </xf>
    <xf numFmtId="0" fontId="3" fillId="0" borderId="12" xfId="0" applyFont="1" applyFill="1" applyBorder="1" applyAlignment="1">
      <alignment vertical="center"/>
    </xf>
    <xf numFmtId="170" fontId="87" fillId="0" borderId="14" xfId="0" applyNumberFormat="1" applyFont="1" applyFill="1" applyBorder="1" applyAlignment="1">
      <alignment horizontal="center" vertical="center"/>
    </xf>
    <xf numFmtId="164" fontId="87" fillId="0" borderId="14" xfId="0" applyNumberFormat="1" applyFont="1" applyFill="1" applyBorder="1" applyAlignment="1">
      <alignment horizontal="center" vertical="center"/>
    </xf>
    <xf numFmtId="164" fontId="87" fillId="0" borderId="33" xfId="0" applyNumberFormat="1" applyFont="1" applyFill="1" applyBorder="1" applyAlignment="1">
      <alignment horizontal="center" vertical="center"/>
    </xf>
    <xf numFmtId="164" fontId="87" fillId="0" borderId="0" xfId="0" applyNumberFormat="1" applyFont="1" applyFill="1" applyAlignment="1">
      <alignment horizontal="center" vertical="center"/>
    </xf>
    <xf numFmtId="0" fontId="87" fillId="0" borderId="10" xfId="0" applyFont="1" applyFill="1" applyBorder="1" applyAlignment="1">
      <alignment horizontal="center" vertical="center"/>
    </xf>
    <xf numFmtId="166" fontId="87" fillId="0" borderId="0" xfId="0" applyNumberFormat="1" applyFont="1" applyFill="1" applyAlignment="1">
      <alignment horizontal="center" vertical="center"/>
    </xf>
    <xf numFmtId="0" fontId="87" fillId="0" borderId="0" xfId="0" applyFont="1" applyFill="1" applyBorder="1" applyAlignment="1">
      <alignment horizontal="center" vertical="center"/>
    </xf>
    <xf numFmtId="170" fontId="87" fillId="0" borderId="0" xfId="0" applyNumberFormat="1" applyFont="1" applyFill="1" applyBorder="1" applyAlignment="1">
      <alignment horizontal="center" vertical="center"/>
    </xf>
    <xf numFmtId="0" fontId="106" fillId="0" borderId="0" xfId="0" applyFont="1" applyFill="1" applyBorder="1" applyAlignment="1">
      <alignment horizontal="center" vertical="center"/>
    </xf>
    <xf numFmtId="170" fontId="3" fillId="0" borderId="0" xfId="0" applyNumberFormat="1" applyFont="1" applyFill="1" applyBorder="1" applyAlignment="1">
      <alignment horizontal="center" vertical="center"/>
    </xf>
    <xf numFmtId="0" fontId="86" fillId="0" borderId="0" xfId="0" applyFont="1" applyFill="1" applyBorder="1" applyAlignment="1">
      <alignment horizontal="center" vertical="center"/>
    </xf>
    <xf numFmtId="170" fontId="86" fillId="0" borderId="0" xfId="0" applyNumberFormat="1" applyFont="1" applyFill="1" applyBorder="1" applyAlignment="1">
      <alignment horizontal="center" vertical="center"/>
    </xf>
    <xf numFmtId="164" fontId="86" fillId="0" borderId="0" xfId="0" applyNumberFormat="1" applyFont="1" applyFill="1" applyBorder="1" applyAlignment="1">
      <alignment horizontal="center" vertical="center"/>
    </xf>
    <xf numFmtId="171" fontId="86" fillId="0" borderId="0" xfId="0" applyNumberFormat="1" applyFont="1" applyFill="1" applyBorder="1" applyAlignment="1">
      <alignment horizontal="center" vertical="center"/>
    </xf>
    <xf numFmtId="0" fontId="105" fillId="0" borderId="0" xfId="0" applyFont="1" applyFill="1" applyBorder="1" applyAlignment="1">
      <alignment horizontal="center" vertical="center"/>
    </xf>
    <xf numFmtId="0" fontId="0" fillId="0" borderId="0" xfId="0"/>
    <xf numFmtId="0" fontId="0" fillId="0" borderId="0" xfId="0" applyAlignment="1">
      <alignment horizontal="left" vertical="center"/>
    </xf>
    <xf numFmtId="165" fontId="16" fillId="0" borderId="70" xfId="0" applyNumberFormat="1" applyFont="1" applyFill="1" applyBorder="1" applyAlignment="1" applyProtection="1">
      <alignment horizontal="center" vertical="center"/>
      <protection hidden="1"/>
    </xf>
    <xf numFmtId="0" fontId="17" fillId="0" borderId="0" xfId="0" applyNumberFormat="1" applyFont="1" applyBorder="1" applyAlignment="1" applyProtection="1">
      <alignment vertical="center"/>
      <protection locked="0"/>
    </xf>
    <xf numFmtId="0" fontId="7" fillId="0" borderId="8" xfId="0" applyFont="1" applyBorder="1"/>
    <xf numFmtId="3" fontId="17" fillId="11" borderId="70" xfId="0" applyNumberFormat="1" applyFont="1" applyFill="1" applyBorder="1" applyAlignment="1" applyProtection="1">
      <alignment horizontal="center" vertical="center"/>
      <protection locked="0"/>
    </xf>
    <xf numFmtId="167" fontId="17" fillId="11" borderId="26" xfId="0" applyNumberFormat="1" applyFont="1" applyFill="1" applyBorder="1" applyAlignment="1" applyProtection="1">
      <alignment horizontal="center" vertical="center"/>
      <protection locked="0"/>
    </xf>
    <xf numFmtId="3" fontId="17" fillId="7" borderId="70" xfId="0" applyNumberFormat="1" applyFont="1" applyFill="1" applyBorder="1" applyAlignment="1" applyProtection="1">
      <alignment horizontal="center"/>
      <protection hidden="1"/>
    </xf>
    <xf numFmtId="3" fontId="17" fillId="7" borderId="15" xfId="0" applyNumberFormat="1" applyFont="1" applyFill="1" applyBorder="1" applyAlignment="1" applyProtection="1">
      <alignment horizontal="center" vertical="center"/>
      <protection hidden="1"/>
    </xf>
    <xf numFmtId="10" fontId="17" fillId="11" borderId="70" xfId="0" applyNumberFormat="1" applyFont="1" applyFill="1" applyBorder="1" applyAlignment="1" applyProtection="1">
      <alignment horizontal="center" vertical="center"/>
      <protection locked="0"/>
    </xf>
    <xf numFmtId="168" fontId="73" fillId="11" borderId="70" xfId="0" applyNumberFormat="1" applyFont="1" applyFill="1" applyBorder="1" applyAlignment="1" applyProtection="1">
      <alignment horizontal="center" vertical="center"/>
      <protection locked="0"/>
    </xf>
    <xf numFmtId="3" fontId="73" fillId="11" borderId="70" xfId="0" applyNumberFormat="1" applyFont="1" applyFill="1" applyBorder="1" applyAlignment="1" applyProtection="1">
      <alignment horizontal="center" vertical="center"/>
      <protection locked="0"/>
    </xf>
    <xf numFmtId="10" fontId="17" fillId="11" borderId="79" xfId="0" applyNumberFormat="1" applyFont="1" applyFill="1" applyBorder="1" applyAlignment="1" applyProtection="1">
      <alignment horizontal="center" vertical="center"/>
      <protection locked="0"/>
    </xf>
    <xf numFmtId="3" fontId="17" fillId="11" borderId="4" xfId="0" applyNumberFormat="1" applyFont="1" applyFill="1" applyBorder="1" applyAlignment="1" applyProtection="1">
      <alignment horizontal="center" vertical="center"/>
      <protection locked="0"/>
    </xf>
    <xf numFmtId="3" fontId="17" fillId="11" borderId="79" xfId="0" applyNumberFormat="1" applyFont="1" applyFill="1" applyBorder="1" applyAlignment="1" applyProtection="1">
      <alignment horizontal="center" vertical="center"/>
      <protection locked="0"/>
    </xf>
    <xf numFmtId="167" fontId="17" fillId="11" borderId="70" xfId="0" applyNumberFormat="1" applyFont="1" applyFill="1" applyBorder="1" applyAlignment="1" applyProtection="1">
      <alignment horizontal="center" vertical="center"/>
      <protection locked="0"/>
    </xf>
    <xf numFmtId="4" fontId="17" fillId="11" borderId="79" xfId="0" applyNumberFormat="1" applyFont="1" applyFill="1" applyBorder="1" applyAlignment="1" applyProtection="1">
      <alignment horizontal="center" vertical="center"/>
      <protection locked="0"/>
    </xf>
    <xf numFmtId="2" fontId="17" fillId="11" borderId="70" xfId="0" applyNumberFormat="1" applyFont="1" applyFill="1" applyBorder="1" applyAlignment="1" applyProtection="1">
      <alignment horizontal="center" vertical="center"/>
      <protection locked="0"/>
    </xf>
    <xf numFmtId="4" fontId="17" fillId="11" borderId="70" xfId="0" applyNumberFormat="1" applyFont="1" applyFill="1" applyBorder="1" applyAlignment="1" applyProtection="1">
      <alignment horizontal="center" vertical="center"/>
      <protection locked="0"/>
    </xf>
    <xf numFmtId="3" fontId="16" fillId="11" borderId="5" xfId="0" applyNumberFormat="1" applyFont="1" applyFill="1" applyBorder="1" applyAlignment="1" applyProtection="1">
      <alignment horizontal="center" vertical="center"/>
      <protection locked="0"/>
    </xf>
    <xf numFmtId="3" fontId="17" fillId="11" borderId="75" xfId="0" applyNumberFormat="1" applyFont="1" applyFill="1" applyBorder="1" applyAlignment="1" applyProtection="1">
      <alignment horizontal="center" vertical="center"/>
      <protection locked="0"/>
    </xf>
    <xf numFmtId="3" fontId="17" fillId="11" borderId="26" xfId="0" applyNumberFormat="1" applyFont="1" applyFill="1" applyBorder="1" applyAlignment="1" applyProtection="1">
      <alignment horizontal="center" vertical="center"/>
      <protection locked="0"/>
    </xf>
    <xf numFmtId="3" fontId="16" fillId="11" borderId="1" xfId="0" applyNumberFormat="1" applyFont="1" applyFill="1" applyBorder="1" applyAlignment="1" applyProtection="1">
      <alignment horizontal="center" vertical="center"/>
      <protection locked="0"/>
    </xf>
    <xf numFmtId="3" fontId="16" fillId="11" borderId="26" xfId="0" applyNumberFormat="1" applyFont="1" applyFill="1" applyBorder="1" applyAlignment="1" applyProtection="1">
      <alignment horizontal="center" vertical="center"/>
      <protection locked="0"/>
    </xf>
    <xf numFmtId="4" fontId="8" fillId="11" borderId="14" xfId="0" applyNumberFormat="1" applyFont="1" applyFill="1" applyBorder="1" applyAlignment="1" applyProtection="1">
      <alignment horizontal="center" vertical="center"/>
      <protection locked="0"/>
    </xf>
    <xf numFmtId="4" fontId="8" fillId="11" borderId="33" xfId="0" applyNumberFormat="1" applyFont="1" applyFill="1" applyBorder="1" applyAlignment="1" applyProtection="1">
      <alignment horizontal="center" vertical="center"/>
      <protection locked="0"/>
    </xf>
    <xf numFmtId="3" fontId="8" fillId="11" borderId="33" xfId="0" applyNumberFormat="1" applyFont="1" applyFill="1" applyBorder="1" applyAlignment="1" applyProtection="1">
      <alignment horizontal="center" vertical="center"/>
      <protection locked="0"/>
    </xf>
    <xf numFmtId="3" fontId="8" fillId="11" borderId="14" xfId="0" applyNumberFormat="1" applyFont="1" applyFill="1" applyBorder="1" applyAlignment="1" applyProtection="1">
      <alignment horizontal="center" vertical="center"/>
      <protection locked="0"/>
    </xf>
    <xf numFmtId="3" fontId="8" fillId="0" borderId="14" xfId="0" applyNumberFormat="1" applyFont="1" applyBorder="1" applyAlignment="1" applyProtection="1">
      <alignment horizontal="center" vertical="center"/>
      <protection hidden="1"/>
    </xf>
    <xf numFmtId="164" fontId="8" fillId="0" borderId="14" xfId="0" applyNumberFormat="1" applyFont="1" applyBorder="1" applyAlignment="1" applyProtection="1">
      <alignment horizontal="center" vertical="center"/>
      <protection hidden="1"/>
    </xf>
    <xf numFmtId="4" fontId="8" fillId="0" borderId="14"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2" fontId="8" fillId="11" borderId="33" xfId="0" applyNumberFormat="1" applyFont="1" applyFill="1" applyBorder="1" applyAlignment="1" applyProtection="1">
      <alignment horizontal="center" vertical="center"/>
      <protection locked="0"/>
    </xf>
    <xf numFmtId="3" fontId="8" fillId="3" borderId="28" xfId="0" applyNumberFormat="1" applyFont="1" applyFill="1" applyBorder="1" applyAlignment="1" applyProtection="1">
      <alignment horizontal="center" vertical="center"/>
      <protection hidden="1"/>
    </xf>
    <xf numFmtId="3" fontId="5" fillId="0" borderId="14" xfId="0"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3" fontId="5" fillId="0" borderId="0" xfId="0" applyNumberFormat="1" applyFont="1" applyAlignment="1" applyProtection="1">
      <alignment horizontal="center" vertical="center"/>
      <protection hidden="1"/>
    </xf>
    <xf numFmtId="3" fontId="16" fillId="0" borderId="33" xfId="0" applyNumberFormat="1" applyFont="1" applyBorder="1" applyAlignment="1" applyProtection="1">
      <alignment horizontal="center"/>
      <protection hidden="1"/>
    </xf>
    <xf numFmtId="3" fontId="17" fillId="11" borderId="33" xfId="0" applyNumberFormat="1" applyFont="1" applyFill="1" applyBorder="1" applyAlignment="1" applyProtection="1">
      <alignment horizontal="center"/>
      <protection locked="0"/>
    </xf>
    <xf numFmtId="3" fontId="16" fillId="11" borderId="33" xfId="0" applyNumberFormat="1" applyFont="1" applyFill="1" applyBorder="1" applyAlignment="1" applyProtection="1">
      <alignment horizontal="center" vertical="center"/>
      <protection locked="0"/>
    </xf>
    <xf numFmtId="3" fontId="16" fillId="0" borderId="0" xfId="0" applyNumberFormat="1" applyFont="1" applyAlignment="1">
      <alignment horizontal="center" vertical="center"/>
    </xf>
    <xf numFmtId="3" fontId="59" fillId="0" borderId="14" xfId="0" applyNumberFormat="1" applyFont="1" applyBorder="1" applyAlignment="1" applyProtection="1">
      <alignment horizontal="center" vertical="center"/>
      <protection hidden="1"/>
    </xf>
    <xf numFmtId="164" fontId="17" fillId="11" borderId="10" xfId="0" applyNumberFormat="1" applyFont="1" applyFill="1" applyBorder="1" applyAlignment="1" applyProtection="1">
      <alignment horizontal="center" vertical="center"/>
      <protection locked="0"/>
    </xf>
    <xf numFmtId="1" fontId="17" fillId="11" borderId="14" xfId="0" applyNumberFormat="1" applyFont="1" applyFill="1" applyBorder="1" applyAlignment="1" applyProtection="1">
      <alignment horizontal="center" vertical="center"/>
      <protection locked="0"/>
    </xf>
    <xf numFmtId="3" fontId="16" fillId="0" borderId="0" xfId="0" applyNumberFormat="1" applyFont="1" applyAlignment="1" applyProtection="1">
      <alignment horizontal="center"/>
      <protection hidden="1"/>
    </xf>
    <xf numFmtId="0" fontId="16" fillId="0" borderId="0" xfId="0" applyFont="1" applyAlignment="1" applyProtection="1">
      <alignment horizontal="center" vertical="center"/>
      <protection hidden="1"/>
    </xf>
    <xf numFmtId="3" fontId="16" fillId="0" borderId="0" xfId="0" applyNumberFormat="1" applyFont="1" applyAlignment="1" applyProtection="1">
      <alignment horizontal="center" vertical="center"/>
      <protection hidden="1"/>
    </xf>
    <xf numFmtId="9" fontId="17" fillId="11" borderId="14" xfId="2" applyFont="1" applyFill="1" applyBorder="1" applyAlignment="1" applyProtection="1">
      <alignment horizontal="center" vertical="center"/>
      <protection locked="0"/>
    </xf>
    <xf numFmtId="3" fontId="17" fillId="3" borderId="14" xfId="0" applyNumberFormat="1" applyFont="1" applyFill="1" applyBorder="1" applyAlignment="1" applyProtection="1">
      <alignment horizontal="center" vertical="center"/>
      <protection hidden="1"/>
    </xf>
    <xf numFmtId="3" fontId="17" fillId="0" borderId="0" xfId="0" applyNumberFormat="1" applyFont="1" applyAlignment="1">
      <alignment vertical="center"/>
    </xf>
    <xf numFmtId="49" fontId="17" fillId="0" borderId="0" xfId="0" applyNumberFormat="1" applyFont="1" applyAlignment="1">
      <alignment horizontal="left" vertical="center"/>
    </xf>
    <xf numFmtId="3" fontId="8" fillId="0" borderId="0" xfId="0" applyNumberFormat="1" applyFont="1" applyAlignment="1">
      <alignment horizontal="center" vertical="center"/>
    </xf>
    <xf numFmtId="1" fontId="52" fillId="11" borderId="14" xfId="0" applyNumberFormat="1" applyFont="1" applyFill="1" applyBorder="1" applyAlignment="1" applyProtection="1">
      <alignment horizontal="center" vertical="center"/>
      <protection locked="0"/>
    </xf>
    <xf numFmtId="167" fontId="17" fillId="7" borderId="29" xfId="0" applyNumberFormat="1" applyFont="1" applyFill="1" applyBorder="1" applyAlignment="1" applyProtection="1">
      <alignment horizontal="center" vertical="center"/>
      <protection hidden="1"/>
    </xf>
    <xf numFmtId="3" fontId="47" fillId="7" borderId="49" xfId="0" applyNumberFormat="1" applyFont="1" applyFill="1" applyBorder="1" applyAlignment="1" applyProtection="1">
      <alignment horizontal="center" vertical="center"/>
      <protection hidden="1"/>
    </xf>
    <xf numFmtId="3" fontId="47" fillId="0" borderId="14" xfId="0" applyNumberFormat="1" applyFont="1" applyBorder="1" applyAlignment="1" applyProtection="1">
      <alignment horizontal="center" vertical="center"/>
      <protection hidden="1"/>
    </xf>
    <xf numFmtId="3" fontId="17" fillId="7" borderId="14" xfId="0" applyNumberFormat="1" applyFont="1" applyFill="1" applyBorder="1" applyAlignment="1" applyProtection="1">
      <alignment horizontal="center" vertical="center"/>
      <protection hidden="1"/>
    </xf>
    <xf numFmtId="164" fontId="47" fillId="11" borderId="14" xfId="0" applyNumberFormat="1" applyFont="1" applyFill="1" applyBorder="1" applyAlignment="1" applyProtection="1">
      <alignment horizontal="center" vertical="center"/>
      <protection locked="0"/>
    </xf>
    <xf numFmtId="9" fontId="17" fillId="7" borderId="14" xfId="2" applyFont="1" applyFill="1" applyBorder="1" applyAlignment="1" applyProtection="1">
      <alignment horizontal="center" vertical="center"/>
      <protection hidden="1"/>
    </xf>
    <xf numFmtId="3" fontId="47" fillId="11" borderId="14" xfId="0" applyNumberFormat="1" applyFont="1" applyFill="1" applyBorder="1" applyAlignment="1" applyProtection="1">
      <alignment horizontal="center" vertical="center"/>
      <protection locked="0"/>
    </xf>
    <xf numFmtId="3" fontId="47" fillId="11" borderId="64" xfId="0" applyNumberFormat="1" applyFont="1" applyFill="1" applyBorder="1" applyAlignment="1" applyProtection="1">
      <alignment horizontal="center" vertical="center"/>
      <protection locked="0"/>
    </xf>
    <xf numFmtId="3" fontId="17" fillId="7" borderId="61" xfId="0" applyNumberFormat="1" applyFont="1" applyFill="1" applyBorder="1" applyAlignment="1" applyProtection="1">
      <alignment horizontal="center" vertical="center"/>
      <protection hidden="1"/>
    </xf>
    <xf numFmtId="3" fontId="48" fillId="11" borderId="14" xfId="0" applyNumberFormat="1" applyFont="1" applyFill="1" applyBorder="1" applyAlignment="1" applyProtection="1">
      <alignment horizontal="center" vertical="center"/>
      <protection locked="0" hidden="1"/>
    </xf>
    <xf numFmtId="3" fontId="67" fillId="7" borderId="14" xfId="0" applyNumberFormat="1" applyFont="1" applyFill="1" applyBorder="1" applyAlignment="1" applyProtection="1">
      <alignment horizontal="center" vertical="center"/>
      <protection hidden="1"/>
    </xf>
    <xf numFmtId="3" fontId="48" fillId="0" borderId="14" xfId="0" applyNumberFormat="1" applyFont="1" applyBorder="1" applyAlignment="1" applyProtection="1">
      <alignment horizontal="center" vertical="center"/>
      <protection hidden="1"/>
    </xf>
    <xf numFmtId="3" fontId="61" fillId="11" borderId="14" xfId="0" applyNumberFormat="1" applyFont="1" applyFill="1" applyBorder="1" applyAlignment="1" applyProtection="1">
      <alignment horizontal="center" vertical="center"/>
      <protection locked="0" hidden="1"/>
    </xf>
    <xf numFmtId="3" fontId="17" fillId="7" borderId="39" xfId="0" applyNumberFormat="1" applyFont="1" applyFill="1" applyBorder="1" applyAlignment="1" applyProtection="1">
      <alignment horizontal="center" vertical="center"/>
      <protection hidden="1"/>
    </xf>
    <xf numFmtId="3" fontId="61" fillId="11" borderId="39" xfId="0" applyNumberFormat="1" applyFont="1" applyFill="1" applyBorder="1" applyAlignment="1" applyProtection="1">
      <alignment horizontal="center" vertical="center"/>
      <protection locked="0" hidden="1"/>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29" borderId="14" xfId="0" applyNumberFormat="1" applyFont="1" applyFill="1" applyBorder="1" applyAlignment="1" applyProtection="1">
      <alignment horizontal="center" vertical="center"/>
      <protection hidden="1"/>
    </xf>
    <xf numFmtId="0" fontId="87" fillId="0" borderId="32" xfId="0" applyFont="1" applyBorder="1" applyAlignment="1">
      <alignment horizontal="center" vertical="center"/>
    </xf>
    <xf numFmtId="170" fontId="87" fillId="0" borderId="63" xfId="0" applyNumberFormat="1" applyFont="1" applyBorder="1" applyAlignment="1">
      <alignment horizontal="center" vertical="center"/>
    </xf>
    <xf numFmtId="164" fontId="87" fillId="0" borderId="63" xfId="0" applyNumberFormat="1" applyFont="1" applyBorder="1" applyAlignment="1">
      <alignment horizontal="center" vertical="center"/>
    </xf>
    <xf numFmtId="164" fontId="87" fillId="0" borderId="30" xfId="0" applyNumberFormat="1" applyFont="1" applyBorder="1" applyAlignment="1">
      <alignment horizontal="center" vertical="center"/>
    </xf>
    <xf numFmtId="0" fontId="87" fillId="0" borderId="32" xfId="0" applyFont="1" applyBorder="1" applyAlignment="1">
      <alignment horizontal="center"/>
    </xf>
    <xf numFmtId="164" fontId="87" fillId="0" borderId="63" xfId="0" applyNumberFormat="1" applyFont="1" applyBorder="1" applyAlignment="1">
      <alignment horizontal="center"/>
    </xf>
    <xf numFmtId="170" fontId="87" fillId="0" borderId="63" xfId="0" applyNumberFormat="1" applyFont="1" applyBorder="1" applyAlignment="1">
      <alignment horizontal="center"/>
    </xf>
    <xf numFmtId="164" fontId="87" fillId="0" borderId="30" xfId="0" applyNumberFormat="1" applyFont="1" applyBorder="1" applyAlignment="1">
      <alignment horizontal="center"/>
    </xf>
    <xf numFmtId="172" fontId="87" fillId="0" borderId="63" xfId="0" applyNumberFormat="1" applyFont="1" applyBorder="1" applyAlignment="1">
      <alignment horizontal="center"/>
    </xf>
    <xf numFmtId="0" fontId="4" fillId="0" borderId="0" xfId="0" applyFont="1" applyAlignment="1">
      <alignment horizontal="left" vertical="center"/>
    </xf>
    <xf numFmtId="164" fontId="0" fillId="10" borderId="0" xfId="2" applyNumberFormat="1" applyFont="1" applyFill="1" applyAlignment="1">
      <alignment horizontal="center" vertical="center"/>
    </xf>
    <xf numFmtId="164" fontId="0" fillId="0" borderId="0" xfId="0" applyNumberFormat="1" applyAlignment="1">
      <alignment horizontal="center" vertical="center"/>
    </xf>
    <xf numFmtId="166" fontId="0" fillId="0" borderId="0" xfId="0" applyNumberFormat="1" applyFill="1" applyAlignment="1">
      <alignment horizontal="center" vertical="center"/>
    </xf>
    <xf numFmtId="0" fontId="0" fillId="0" borderId="0" xfId="0" applyFill="1" applyAlignment="1">
      <alignment horizontal="center" vertical="center"/>
    </xf>
    <xf numFmtId="167" fontId="0" fillId="0" borderId="0" xfId="0" applyNumberFormat="1" applyFill="1"/>
    <xf numFmtId="0" fontId="4" fillId="0" borderId="0" xfId="0" applyFont="1" applyFill="1"/>
    <xf numFmtId="0" fontId="0" fillId="0" borderId="0" xfId="0" applyFill="1"/>
    <xf numFmtId="1" fontId="0" fillId="0" borderId="0" xfId="0" applyNumberFormat="1" applyAlignment="1">
      <alignment horizontal="center"/>
    </xf>
    <xf numFmtId="0" fontId="4" fillId="0" borderId="0" xfId="0" applyFont="1" applyAlignment="1">
      <alignment vertical="center"/>
    </xf>
    <xf numFmtId="166" fontId="4" fillId="0" borderId="0" xfId="0" applyNumberFormat="1" applyFont="1" applyFill="1" applyAlignment="1">
      <alignment horizontal="center" vertical="center"/>
    </xf>
    <xf numFmtId="0" fontId="7" fillId="0" borderId="0" xfId="0" applyFont="1" applyAlignment="1">
      <alignment vertical="center"/>
    </xf>
    <xf numFmtId="0" fontId="0" fillId="0" borderId="0" xfId="0"/>
    <xf numFmtId="0" fontId="7" fillId="0" borderId="0" xfId="0" applyFont="1" applyAlignment="1">
      <alignment horizontal="left" vertical="center"/>
    </xf>
    <xf numFmtId="164" fontId="0" fillId="10" borderId="0" xfId="0" applyNumberFormat="1" applyFill="1" applyAlignment="1">
      <alignment horizontal="center" vertical="center"/>
    </xf>
    <xf numFmtId="164" fontId="0" fillId="0" borderId="0" xfId="0" applyNumberFormat="1" applyAlignment="1">
      <alignment horizontal="center"/>
    </xf>
    <xf numFmtId="0" fontId="6" fillId="0" borderId="0" xfId="0" applyFont="1" applyAlignment="1">
      <alignment horizontal="center"/>
    </xf>
    <xf numFmtId="3" fontId="17" fillId="0" borderId="33" xfId="0" applyNumberFormat="1" applyFont="1" applyBorder="1" applyAlignment="1">
      <alignment horizontal="center" vertical="center"/>
    </xf>
    <xf numFmtId="3" fontId="17" fillId="0" borderId="14" xfId="0" applyNumberFormat="1" applyFont="1" applyBorder="1" applyAlignment="1">
      <alignment horizontal="center" vertical="center"/>
    </xf>
    <xf numFmtId="0" fontId="104" fillId="0" borderId="0" xfId="3" applyFont="1" applyFill="1" applyBorder="1" applyAlignment="1">
      <alignment horizontal="center"/>
    </xf>
    <xf numFmtId="3" fontId="16" fillId="7" borderId="14" xfId="0" applyNumberFormat="1" applyFont="1" applyFill="1" applyBorder="1" applyAlignment="1" applyProtection="1">
      <alignment horizontal="center"/>
      <protection hidden="1"/>
    </xf>
    <xf numFmtId="3" fontId="16" fillId="0" borderId="0" xfId="0" applyNumberFormat="1" applyFont="1" applyAlignment="1">
      <alignment horizontal="center"/>
    </xf>
    <xf numFmtId="3" fontId="59" fillId="0" borderId="14" xfId="0" applyNumberFormat="1" applyFont="1" applyBorder="1" applyAlignment="1" applyProtection="1">
      <alignment horizontal="center"/>
      <protection hidden="1"/>
    </xf>
    <xf numFmtId="3" fontId="8" fillId="3" borderId="0" xfId="0" applyNumberFormat="1" applyFont="1" applyFill="1" applyAlignment="1" applyProtection="1">
      <alignment horizontal="center" vertical="center"/>
      <protection hidden="1"/>
    </xf>
    <xf numFmtId="164" fontId="8" fillId="0" borderId="0" xfId="0" applyNumberFormat="1" applyFont="1" applyAlignment="1">
      <alignment horizontal="center" vertical="center"/>
    </xf>
    <xf numFmtId="0" fontId="0" fillId="0" borderId="0" xfId="0" applyAlignment="1"/>
    <xf numFmtId="0" fontId="6" fillId="0" borderId="0" xfId="0" applyFont="1" applyAlignment="1"/>
    <xf numFmtId="0" fontId="5" fillId="0" borderId="14" xfId="0" applyFont="1" applyBorder="1" applyAlignment="1">
      <alignment vertical="center"/>
    </xf>
    <xf numFmtId="0" fontId="5" fillId="12" borderId="14" xfId="0" applyFont="1" applyFill="1" applyBorder="1" applyAlignment="1">
      <alignment vertical="center"/>
    </xf>
    <xf numFmtId="0" fontId="5" fillId="0" borderId="0" xfId="0" applyFont="1"/>
    <xf numFmtId="3" fontId="17" fillId="0" borderId="14" xfId="0" applyNumberFormat="1" applyFont="1" applyBorder="1" applyAlignment="1" applyProtection="1">
      <alignment horizontal="center" vertical="center"/>
      <protection hidden="1"/>
    </xf>
    <xf numFmtId="3" fontId="17" fillId="0" borderId="10" xfId="0" applyNumberFormat="1" applyFont="1" applyBorder="1" applyAlignment="1" applyProtection="1">
      <alignment horizontal="center" vertical="center"/>
      <protection hidden="1"/>
    </xf>
    <xf numFmtId="0" fontId="0" fillId="0" borderId="0" xfId="0"/>
    <xf numFmtId="0" fontId="16" fillId="0" borderId="0" xfId="0" applyFont="1" applyAlignment="1" applyProtection="1">
      <alignment horizontal="center" vertical="center"/>
      <protection locked="0"/>
    </xf>
    <xf numFmtId="0" fontId="17" fillId="7" borderId="14" xfId="0" applyFont="1" applyFill="1" applyBorder="1" applyAlignment="1">
      <alignment horizontal="center" vertical="center"/>
    </xf>
    <xf numFmtId="0" fontId="17" fillId="0" borderId="14" xfId="0" applyFont="1" applyBorder="1" applyAlignment="1">
      <alignment horizontal="center" vertical="center"/>
    </xf>
    <xf numFmtId="0" fontId="17" fillId="0" borderId="14" xfId="0" applyFont="1" applyBorder="1" applyAlignment="1" applyProtection="1">
      <alignment horizontal="center" vertical="center"/>
      <protection hidden="1"/>
    </xf>
    <xf numFmtId="3" fontId="17" fillId="0" borderId="28" xfId="0" applyNumberFormat="1" applyFont="1" applyBorder="1" applyAlignment="1" applyProtection="1">
      <alignment horizontal="center" vertical="center"/>
      <protection hidden="1"/>
    </xf>
    <xf numFmtId="0" fontId="17" fillId="3" borderId="31" xfId="0" applyFont="1" applyFill="1" applyBorder="1" applyAlignment="1">
      <alignment horizontal="center" vertical="center"/>
    </xf>
    <xf numFmtId="3" fontId="17" fillId="0" borderId="31" xfId="0" applyNumberFormat="1" applyFont="1" applyBorder="1" applyAlignment="1" applyProtection="1">
      <alignment horizontal="center" vertical="center"/>
      <protection hidden="1"/>
    </xf>
    <xf numFmtId="0" fontId="17" fillId="7" borderId="2" xfId="0" applyFont="1" applyFill="1" applyBorder="1" applyAlignment="1">
      <alignment horizontal="center" vertical="center"/>
    </xf>
    <xf numFmtId="0" fontId="17" fillId="7" borderId="39" xfId="0" applyFont="1" applyFill="1" applyBorder="1" applyAlignment="1">
      <alignment horizontal="center" vertical="center"/>
    </xf>
    <xf numFmtId="49" fontId="17" fillId="7" borderId="39" xfId="0" applyNumberFormat="1" applyFont="1" applyFill="1" applyBorder="1" applyAlignment="1">
      <alignment horizontal="center" vertical="center"/>
    </xf>
    <xf numFmtId="0" fontId="17" fillId="7" borderId="63" xfId="0" applyFont="1" applyFill="1" applyBorder="1" applyAlignment="1">
      <alignment horizontal="center" vertical="center"/>
    </xf>
    <xf numFmtId="3" fontId="6" fillId="0" borderId="0" xfId="0" applyNumberFormat="1" applyFont="1" applyAlignment="1">
      <alignment horizontal="center" vertical="center"/>
    </xf>
    <xf numFmtId="0" fontId="17" fillId="3" borderId="0" xfId="0" applyFont="1" applyFill="1" applyAlignment="1">
      <alignment horizontal="center" vertical="center"/>
    </xf>
    <xf numFmtId="3" fontId="61" fillId="11" borderId="14" xfId="0" applyNumberFormat="1" applyFont="1" applyFill="1" applyBorder="1" applyAlignment="1" applyProtection="1">
      <alignment horizontal="center" vertical="center"/>
      <protection locked="0"/>
    </xf>
    <xf numFmtId="3" fontId="61" fillId="0" borderId="14" xfId="0" applyNumberFormat="1" applyFont="1" applyBorder="1" applyAlignment="1" applyProtection="1">
      <alignment horizontal="center" vertical="center"/>
      <protection hidden="1"/>
    </xf>
    <xf numFmtId="167" fontId="0" fillId="10" borderId="0" xfId="0" applyNumberFormat="1" applyFill="1" applyAlignment="1">
      <alignment horizontal="center" vertical="center"/>
    </xf>
    <xf numFmtId="167" fontId="0" fillId="0" borderId="0" xfId="0" applyNumberFormat="1" applyAlignment="1">
      <alignment horizontal="center"/>
    </xf>
    <xf numFmtId="0" fontId="0" fillId="0" borderId="0" xfId="0"/>
    <xf numFmtId="3" fontId="8" fillId="0" borderId="14" xfId="0" applyNumberFormat="1" applyFont="1" applyFill="1" applyBorder="1" applyAlignment="1" applyProtection="1">
      <alignment horizontal="center" vertical="center"/>
      <protection hidden="1"/>
    </xf>
    <xf numFmtId="164" fontId="8" fillId="0" borderId="14" xfId="2" applyNumberFormat="1" applyFont="1" applyBorder="1" applyAlignment="1" applyProtection="1">
      <alignment horizontal="center" vertical="center"/>
      <protection hidden="1"/>
    </xf>
    <xf numFmtId="0" fontId="7" fillId="13" borderId="59" xfId="0" applyFont="1" applyFill="1" applyBorder="1" applyAlignment="1">
      <alignment horizontal="center" vertical="center"/>
    </xf>
    <xf numFmtId="0" fontId="7" fillId="13" borderId="60" xfId="0" applyFont="1" applyFill="1" applyBorder="1" applyAlignment="1">
      <alignment horizontal="center" vertical="center"/>
    </xf>
    <xf numFmtId="3" fontId="6" fillId="13" borderId="78" xfId="0" applyNumberFormat="1" applyFont="1" applyFill="1" applyBorder="1" applyAlignment="1" applyProtection="1">
      <alignment horizontal="center" vertical="center"/>
      <protection hidden="1"/>
    </xf>
    <xf numFmtId="3" fontId="6" fillId="13" borderId="60" xfId="0" applyNumberFormat="1" applyFont="1" applyFill="1" applyBorder="1" applyAlignment="1" applyProtection="1">
      <alignment horizontal="center" vertical="center"/>
      <protection hidden="1"/>
    </xf>
    <xf numFmtId="3" fontId="6" fillId="7" borderId="14" xfId="0" applyNumberFormat="1" applyFont="1" applyFill="1" applyBorder="1" applyAlignment="1" applyProtection="1">
      <alignment horizontal="center" vertical="center"/>
      <protection hidden="1"/>
    </xf>
    <xf numFmtId="3" fontId="6" fillId="7" borderId="13" xfId="0" applyNumberFormat="1" applyFont="1" applyFill="1" applyBorder="1" applyAlignment="1" applyProtection="1">
      <alignment horizontal="center" vertical="center"/>
      <protection hidden="1"/>
    </xf>
    <xf numFmtId="3" fontId="6" fillId="7" borderId="32" xfId="0" applyNumberFormat="1" applyFont="1" applyFill="1" applyBorder="1" applyAlignment="1" applyProtection="1">
      <alignment horizontal="center" vertical="center"/>
      <protection hidden="1"/>
    </xf>
    <xf numFmtId="9" fontId="8" fillId="11" borderId="14" xfId="2" applyFont="1" applyFill="1" applyBorder="1" applyAlignment="1" applyProtection="1">
      <alignment horizontal="center" vertical="center"/>
      <protection locked="0"/>
    </xf>
    <xf numFmtId="9" fontId="8" fillId="11" borderId="33" xfId="2" applyFont="1" applyFill="1" applyBorder="1" applyAlignment="1" applyProtection="1">
      <alignment horizontal="center" vertical="center"/>
      <protection locked="0"/>
    </xf>
    <xf numFmtId="164" fontId="0" fillId="0" borderId="28" xfId="2" applyNumberFormat="1" applyFont="1" applyBorder="1" applyAlignment="1" applyProtection="1">
      <alignment horizontal="center"/>
      <protection hidden="1"/>
    </xf>
    <xf numFmtId="164" fontId="0" fillId="0" borderId="31" xfId="2" applyNumberFormat="1" applyFont="1" applyBorder="1" applyAlignment="1" applyProtection="1">
      <alignment horizontal="center"/>
      <protection hidden="1"/>
    </xf>
    <xf numFmtId="164" fontId="0" fillId="0" borderId="13" xfId="2" applyNumberFormat="1" applyFont="1" applyBorder="1" applyAlignment="1" applyProtection="1">
      <alignment horizontal="center"/>
      <protection hidden="1"/>
    </xf>
    <xf numFmtId="0" fontId="48" fillId="0" borderId="10" xfId="0" applyFont="1" applyBorder="1" applyAlignment="1">
      <alignment horizontal="center" vertical="center"/>
    </xf>
    <xf numFmtId="0" fontId="48" fillId="0" borderId="13" xfId="0" applyFont="1" applyBorder="1" applyAlignment="1">
      <alignment horizontal="center" vertical="center"/>
    </xf>
    <xf numFmtId="3" fontId="17" fillId="0" borderId="14" xfId="0" applyNumberFormat="1" applyFont="1" applyBorder="1" applyAlignment="1">
      <alignment horizontal="center" vertical="center"/>
    </xf>
    <xf numFmtId="3" fontId="17" fillId="0" borderId="14" xfId="0" applyNumberFormat="1" applyFont="1" applyBorder="1" applyAlignment="1" applyProtection="1">
      <alignment horizontal="center" vertical="center"/>
      <protection hidden="1"/>
    </xf>
    <xf numFmtId="0" fontId="7" fillId="0" borderId="0" xfId="0" applyFont="1" applyBorder="1" applyAlignment="1">
      <alignment vertical="center"/>
    </xf>
    <xf numFmtId="9" fontId="17" fillId="11" borderId="54" xfId="0" applyNumberFormat="1" applyFont="1" applyFill="1" applyBorder="1" applyAlignment="1" applyProtection="1">
      <alignment horizontal="center" vertical="center"/>
      <protection locked="0"/>
    </xf>
    <xf numFmtId="1" fontId="7" fillId="9" borderId="4" xfId="0" applyNumberFormat="1" applyFont="1" applyFill="1" applyBorder="1" applyAlignment="1" applyProtection="1">
      <alignment horizontal="center" vertical="center"/>
      <protection locked="0" hidden="1"/>
    </xf>
    <xf numFmtId="1" fontId="16" fillId="9" borderId="5" xfId="0" applyNumberFormat="1" applyFont="1" applyFill="1" applyBorder="1" applyAlignment="1" applyProtection="1">
      <alignment horizontal="center" vertical="center"/>
      <protection locked="0"/>
    </xf>
    <xf numFmtId="3" fontId="17" fillId="9" borderId="70" xfId="0" applyNumberFormat="1" applyFont="1" applyFill="1" applyBorder="1" applyAlignment="1" applyProtection="1">
      <alignment horizontal="center" vertical="center"/>
      <protection locked="0"/>
    </xf>
    <xf numFmtId="167" fontId="17" fillId="9" borderId="26" xfId="0" applyNumberFormat="1" applyFont="1" applyFill="1" applyBorder="1" applyAlignment="1" applyProtection="1">
      <alignment horizontal="center" vertical="center"/>
      <protection locked="0"/>
    </xf>
    <xf numFmtId="3" fontId="17" fillId="9" borderId="71" xfId="0" applyNumberFormat="1" applyFont="1" applyFill="1" applyBorder="1" applyAlignment="1" applyProtection="1">
      <alignment horizontal="center" vertical="center"/>
      <protection locked="0"/>
    </xf>
    <xf numFmtId="10" fontId="17" fillId="9" borderId="70" xfId="0" applyNumberFormat="1" applyFont="1" applyFill="1" applyBorder="1" applyAlignment="1" applyProtection="1">
      <alignment horizontal="center" vertical="center"/>
      <protection locked="0"/>
    </xf>
    <xf numFmtId="168" fontId="73" fillId="9" borderId="70" xfId="0" applyNumberFormat="1" applyFont="1" applyFill="1" applyBorder="1" applyAlignment="1" applyProtection="1">
      <alignment horizontal="center" vertical="center"/>
      <protection locked="0"/>
    </xf>
    <xf numFmtId="3" fontId="73" fillId="9" borderId="70" xfId="0" applyNumberFormat="1" applyFont="1" applyFill="1" applyBorder="1" applyAlignment="1" applyProtection="1">
      <alignment horizontal="center" vertical="center"/>
      <protection locked="0"/>
    </xf>
    <xf numFmtId="10" fontId="17" fillId="9" borderId="70" xfId="0" applyNumberFormat="1" applyFont="1" applyFill="1" applyBorder="1" applyAlignment="1" applyProtection="1">
      <alignment horizontal="center" vertical="center"/>
      <protection locked="0" hidden="1"/>
    </xf>
    <xf numFmtId="10" fontId="17" fillId="9" borderId="79" xfId="0" applyNumberFormat="1" applyFont="1" applyFill="1" applyBorder="1" applyAlignment="1" applyProtection="1">
      <alignment horizontal="center" vertical="center"/>
      <protection locked="0" hidden="1"/>
    </xf>
    <xf numFmtId="3" fontId="17" fillId="9" borderId="79" xfId="0" applyNumberFormat="1" applyFont="1" applyFill="1" applyBorder="1" applyAlignment="1" applyProtection="1">
      <alignment horizontal="center" vertical="center"/>
      <protection locked="0"/>
    </xf>
    <xf numFmtId="167" fontId="17" fillId="9" borderId="70" xfId="0" applyNumberFormat="1" applyFont="1" applyFill="1" applyBorder="1" applyAlignment="1" applyProtection="1">
      <alignment horizontal="center" vertical="center"/>
      <protection locked="0"/>
    </xf>
    <xf numFmtId="4" fontId="17" fillId="9" borderId="79" xfId="0" applyNumberFormat="1" applyFont="1" applyFill="1" applyBorder="1" applyAlignment="1" applyProtection="1">
      <alignment horizontal="center" vertical="center"/>
      <protection locked="0"/>
    </xf>
    <xf numFmtId="2" fontId="17" fillId="9" borderId="70" xfId="0" applyNumberFormat="1" applyFont="1" applyFill="1" applyBorder="1" applyAlignment="1" applyProtection="1">
      <alignment horizontal="center" vertical="center"/>
      <protection locked="0"/>
    </xf>
    <xf numFmtId="4" fontId="17" fillId="9" borderId="71" xfId="0" applyNumberFormat="1" applyFont="1" applyFill="1" applyBorder="1" applyAlignment="1" applyProtection="1">
      <alignment horizontal="center" vertical="center"/>
      <protection locked="0"/>
    </xf>
    <xf numFmtId="4" fontId="17" fillId="9" borderId="70" xfId="0" applyNumberFormat="1" applyFont="1" applyFill="1" applyBorder="1" applyAlignment="1" applyProtection="1">
      <alignment horizontal="center" vertical="center"/>
      <protection locked="0"/>
    </xf>
    <xf numFmtId="3" fontId="16" fillId="9" borderId="5" xfId="0" applyNumberFormat="1" applyFont="1" applyFill="1" applyBorder="1" applyAlignment="1" applyProtection="1">
      <alignment horizontal="center" vertical="center"/>
      <protection locked="0"/>
    </xf>
    <xf numFmtId="3" fontId="17" fillId="9" borderId="75" xfId="0" applyNumberFormat="1" applyFont="1" applyFill="1" applyBorder="1" applyAlignment="1" applyProtection="1">
      <alignment horizontal="center" vertical="center"/>
      <protection locked="0"/>
    </xf>
    <xf numFmtId="3" fontId="16" fillId="9" borderId="1" xfId="0" applyNumberFormat="1" applyFont="1" applyFill="1" applyBorder="1" applyAlignment="1" applyProtection="1">
      <alignment horizontal="center" vertical="center"/>
      <protection locked="0"/>
    </xf>
    <xf numFmtId="3" fontId="16" fillId="9" borderId="26" xfId="0" applyNumberFormat="1" applyFont="1" applyFill="1" applyBorder="1" applyAlignment="1" applyProtection="1">
      <alignment horizontal="center" vertical="center"/>
      <protection locked="0"/>
    </xf>
    <xf numFmtId="164" fontId="17" fillId="9" borderId="2" xfId="0" applyNumberFormat="1" applyFont="1" applyFill="1" applyBorder="1" applyAlignment="1" applyProtection="1">
      <alignment horizontal="center" vertical="center"/>
      <protection locked="0"/>
    </xf>
    <xf numFmtId="9" fontId="17" fillId="9" borderId="38" xfId="0" applyNumberFormat="1" applyFont="1" applyFill="1" applyBorder="1" applyAlignment="1" applyProtection="1">
      <alignment horizontal="center" vertical="center"/>
      <protection locked="0"/>
    </xf>
    <xf numFmtId="3" fontId="17" fillId="9" borderId="14" xfId="0" applyNumberFormat="1" applyFont="1" applyFill="1" applyBorder="1" applyAlignment="1" applyProtection="1">
      <alignment horizontal="center" vertical="center"/>
      <protection locked="0"/>
    </xf>
    <xf numFmtId="3" fontId="16" fillId="9" borderId="14" xfId="0" applyNumberFormat="1" applyFont="1" applyFill="1" applyBorder="1" applyAlignment="1" applyProtection="1">
      <alignment horizontal="center" vertical="center"/>
      <protection locked="0"/>
    </xf>
    <xf numFmtId="1" fontId="17" fillId="9" borderId="14" xfId="0" applyNumberFormat="1" applyFont="1" applyFill="1" applyBorder="1" applyAlignment="1" applyProtection="1">
      <alignment horizontal="center" vertical="center"/>
      <protection locked="0"/>
    </xf>
    <xf numFmtId="9" fontId="17" fillId="9" borderId="14" xfId="2" applyFont="1" applyFill="1" applyBorder="1" applyAlignment="1" applyProtection="1">
      <alignment horizontal="center"/>
      <protection locked="0"/>
    </xf>
    <xf numFmtId="0" fontId="4" fillId="0" borderId="0" xfId="0" applyFont="1" applyAlignment="1">
      <alignment horizontal="center" vertical="center"/>
    </xf>
    <xf numFmtId="0" fontId="5" fillId="9" borderId="14" xfId="0" applyFont="1" applyFill="1" applyBorder="1" applyAlignment="1" applyProtection="1">
      <alignment vertical="center"/>
      <protection locked="0"/>
    </xf>
    <xf numFmtId="164" fontId="8" fillId="9" borderId="14" xfId="0" applyNumberFormat="1" applyFont="1" applyFill="1" applyBorder="1" applyAlignment="1" applyProtection="1">
      <alignment horizontal="center" vertical="center"/>
      <protection locked="0"/>
    </xf>
    <xf numFmtId="4" fontId="8" fillId="9" borderId="14" xfId="0" applyNumberFormat="1" applyFont="1" applyFill="1" applyBorder="1" applyAlignment="1" applyProtection="1">
      <alignment horizontal="center" vertical="center"/>
      <protection locked="0"/>
    </xf>
    <xf numFmtId="3" fontId="8" fillId="9" borderId="14" xfId="0" applyNumberFormat="1" applyFont="1" applyFill="1" applyBorder="1" applyAlignment="1" applyProtection="1">
      <alignment horizontal="center" vertical="center"/>
      <protection locked="0"/>
    </xf>
    <xf numFmtId="0" fontId="8" fillId="9" borderId="14" xfId="0" applyFont="1" applyFill="1" applyBorder="1" applyAlignment="1" applyProtection="1">
      <alignment vertical="center"/>
      <protection locked="0"/>
    </xf>
    <xf numFmtId="0" fontId="0" fillId="12" borderId="0" xfId="0" applyFill="1"/>
    <xf numFmtId="0" fontId="0" fillId="0" borderId="0" xfId="0"/>
    <xf numFmtId="3" fontId="16" fillId="0" borderId="14" xfId="0" applyNumberFormat="1" applyFont="1" applyBorder="1" applyAlignment="1" applyProtection="1">
      <alignment horizontal="center" vertical="center"/>
      <protection hidden="1"/>
    </xf>
    <xf numFmtId="0" fontId="91" fillId="5" borderId="0" xfId="0" applyFont="1" applyFill="1" applyAlignment="1">
      <alignment horizontal="center" vertical="center"/>
    </xf>
    <xf numFmtId="0" fontId="0" fillId="0" borderId="0" xfId="0"/>
    <xf numFmtId="0" fontId="5" fillId="0" borderId="0" xfId="0" applyFont="1" applyBorder="1" applyAlignment="1">
      <alignment horizontal="left"/>
    </xf>
    <xf numFmtId="0" fontId="5" fillId="13" borderId="14" xfId="0" applyFont="1" applyFill="1" applyBorder="1" applyAlignment="1" applyProtection="1">
      <alignment vertical="center"/>
      <protection locked="0"/>
    </xf>
    <xf numFmtId="0" fontId="8" fillId="0" borderId="0" xfId="0" applyFont="1" applyBorder="1" applyAlignment="1" applyProtection="1">
      <alignment vertical="center"/>
      <protection locked="0"/>
    </xf>
    <xf numFmtId="0" fontId="8" fillId="0" borderId="0" xfId="0" applyFont="1" applyBorder="1" applyAlignment="1">
      <alignment horizontal="center" vertical="center"/>
    </xf>
    <xf numFmtId="0" fontId="7" fillId="0" borderId="0" xfId="0" applyFont="1" applyBorder="1" applyAlignment="1">
      <alignment horizontal="left"/>
    </xf>
    <xf numFmtId="0" fontId="5" fillId="0" borderId="0" xfId="0" applyFont="1" applyBorder="1" applyAlignment="1">
      <alignment horizontal="center" vertical="center"/>
    </xf>
    <xf numFmtId="0" fontId="6" fillId="0" borderId="0" xfId="0" applyFont="1" applyBorder="1"/>
    <xf numFmtId="0" fontId="16" fillId="0" borderId="0" xfId="0" applyFont="1" applyBorder="1" applyAlignment="1">
      <alignment horizontal="right" indent="1"/>
    </xf>
    <xf numFmtId="0" fontId="16" fillId="0" borderId="0" xfId="0" applyFont="1" applyBorder="1" applyAlignment="1">
      <alignment horizontal="right" vertical="center" indent="1"/>
    </xf>
    <xf numFmtId="3" fontId="8" fillId="12" borderId="0" xfId="0" applyNumberFormat="1" applyFont="1" applyFill="1" applyBorder="1" applyAlignment="1">
      <alignment horizontal="center"/>
    </xf>
    <xf numFmtId="3" fontId="8" fillId="12" borderId="0" xfId="0" applyNumberFormat="1" applyFont="1" applyFill="1" applyBorder="1" applyAlignment="1">
      <alignment horizontal="center" vertical="center"/>
    </xf>
    <xf numFmtId="0" fontId="8" fillId="12" borderId="0" xfId="0" applyFont="1" applyFill="1" applyBorder="1" applyAlignment="1">
      <alignment vertical="center"/>
    </xf>
    <xf numFmtId="1" fontId="8" fillId="0" borderId="0" xfId="0" applyNumberFormat="1" applyFont="1" applyBorder="1" applyAlignment="1">
      <alignment horizontal="center" vertical="center"/>
    </xf>
    <xf numFmtId="0" fontId="0" fillId="0" borderId="0" xfId="0" applyBorder="1" applyAlignment="1">
      <alignment vertical="center"/>
    </xf>
    <xf numFmtId="0" fontId="8" fillId="0" borderId="0" xfId="0" applyFont="1" applyBorder="1" applyAlignment="1">
      <alignment vertical="center"/>
    </xf>
    <xf numFmtId="164" fontId="8" fillId="0" borderId="0" xfId="0" applyNumberFormat="1" applyFont="1" applyBorder="1" applyAlignment="1" applyProtection="1">
      <alignment vertical="center"/>
      <protection locked="0"/>
    </xf>
    <xf numFmtId="0" fontId="8" fillId="0" borderId="0" xfId="0" applyFont="1" applyBorder="1" applyAlignment="1" applyProtection="1">
      <alignment horizontal="left" vertical="center"/>
      <protection locked="0"/>
    </xf>
    <xf numFmtId="3" fontId="8" fillId="0" borderId="0" xfId="0" applyNumberFormat="1" applyFont="1" applyBorder="1" applyAlignment="1" applyProtection="1">
      <alignment horizontal="center" vertical="center"/>
      <protection hidden="1"/>
    </xf>
    <xf numFmtId="0" fontId="8" fillId="0" borderId="0" xfId="0" applyFont="1" applyBorder="1" applyAlignment="1">
      <alignment horizontal="left" vertical="center"/>
    </xf>
    <xf numFmtId="3" fontId="8" fillId="0" borderId="0" xfId="0" applyNumberFormat="1" applyFont="1" applyBorder="1" applyAlignment="1">
      <alignment horizontal="center" vertical="center"/>
    </xf>
    <xf numFmtId="3" fontId="8" fillId="0" borderId="0" xfId="0" applyNumberFormat="1" applyFont="1" applyBorder="1" applyAlignment="1" applyProtection="1">
      <alignment vertical="center"/>
      <protection hidden="1"/>
    </xf>
    <xf numFmtId="3" fontId="8" fillId="0" borderId="0" xfId="0" applyNumberFormat="1" applyFont="1" applyBorder="1" applyAlignment="1">
      <alignment vertical="center"/>
    </xf>
    <xf numFmtId="0" fontId="0" fillId="0" borderId="0" xfId="0" applyBorder="1" applyAlignment="1" applyProtection="1">
      <alignment vertical="center"/>
      <protection locked="0"/>
    </xf>
    <xf numFmtId="0" fontId="0" fillId="0" borderId="0" xfId="0" applyBorder="1" applyAlignment="1" applyProtection="1">
      <alignment horizontal="left" vertical="center"/>
      <protection locked="0"/>
    </xf>
    <xf numFmtId="0" fontId="8" fillId="0" borderId="0" xfId="0" applyFont="1" applyBorder="1" applyAlignment="1" applyProtection="1">
      <alignment horizontal="center" vertical="center"/>
      <protection locked="0"/>
    </xf>
    <xf numFmtId="0" fontId="5" fillId="12" borderId="0" xfId="0" applyFont="1" applyFill="1" applyBorder="1" applyAlignment="1">
      <alignment vertical="center"/>
    </xf>
    <xf numFmtId="0" fontId="16" fillId="0" borderId="0" xfId="0" applyFont="1" applyBorder="1" applyAlignment="1">
      <alignment vertical="center"/>
    </xf>
    <xf numFmtId="3" fontId="8" fillId="13" borderId="14" xfId="0" applyNumberFormat="1" applyFont="1" applyFill="1" applyBorder="1" applyAlignment="1" applyProtection="1">
      <alignment horizontal="center" vertical="center"/>
      <protection locked="0"/>
    </xf>
    <xf numFmtId="4" fontId="8" fillId="13" borderId="14" xfId="0" applyNumberFormat="1" applyFont="1" applyFill="1" applyBorder="1" applyAlignment="1" applyProtection="1">
      <alignment horizontal="center" vertical="center"/>
      <protection locked="0"/>
    </xf>
    <xf numFmtId="4" fontId="8" fillId="3" borderId="14" xfId="0" applyNumberFormat="1" applyFont="1" applyFill="1" applyBorder="1" applyAlignment="1" applyProtection="1">
      <alignment horizontal="center" vertical="center"/>
      <protection hidden="1"/>
    </xf>
    <xf numFmtId="167" fontId="8" fillId="13" borderId="14" xfId="0" applyNumberFormat="1" applyFont="1" applyFill="1" applyBorder="1" applyAlignment="1" applyProtection="1">
      <alignment horizontal="center" vertical="center"/>
      <protection locked="0"/>
    </xf>
    <xf numFmtId="167" fontId="8" fillId="3" borderId="14" xfId="0" applyNumberFormat="1" applyFont="1" applyFill="1" applyBorder="1" applyAlignment="1" applyProtection="1">
      <alignment horizontal="center" vertical="center"/>
      <protection hidden="1"/>
    </xf>
    <xf numFmtId="3" fontId="8" fillId="3" borderId="14" xfId="0" applyNumberFormat="1" applyFont="1" applyFill="1" applyBorder="1" applyAlignment="1" applyProtection="1">
      <alignment horizontal="center" vertical="center"/>
      <protection hidden="1"/>
    </xf>
    <xf numFmtId="1" fontId="7" fillId="0" borderId="14" xfId="0" applyNumberFormat="1" applyFont="1" applyBorder="1" applyAlignment="1">
      <alignment horizontal="center"/>
    </xf>
    <xf numFmtId="167" fontId="16" fillId="0" borderId="14" xfId="0" applyNumberFormat="1" applyFont="1" applyBorder="1" applyAlignment="1">
      <alignment horizontal="center"/>
    </xf>
    <xf numFmtId="1" fontId="95" fillId="30" borderId="2" xfId="0" applyNumberFormat="1" applyFont="1" applyFill="1" applyBorder="1" applyAlignment="1">
      <alignment horizontal="center" vertical="center"/>
    </xf>
    <xf numFmtId="1" fontId="95" fillId="30" borderId="14" xfId="0" applyNumberFormat="1" applyFont="1" applyFill="1" applyBorder="1" applyAlignment="1">
      <alignment horizontal="center"/>
    </xf>
    <xf numFmtId="1" fontId="95" fillId="30" borderId="33" xfId="0" applyNumberFormat="1" applyFont="1" applyFill="1" applyBorder="1" applyAlignment="1">
      <alignment horizontal="center"/>
    </xf>
    <xf numFmtId="0" fontId="104" fillId="0" borderId="0" xfId="3" applyFont="1" applyFill="1" applyBorder="1" applyAlignment="1">
      <alignment horizontal="center" wrapText="1"/>
    </xf>
    <xf numFmtId="0" fontId="2" fillId="0" borderId="14" xfId="0" applyFont="1" applyBorder="1" applyAlignment="1">
      <alignment horizontal="center" vertical="center"/>
    </xf>
    <xf numFmtId="170" fontId="2" fillId="0" borderId="14" xfId="0" applyNumberFormat="1" applyFont="1" applyBorder="1" applyAlignment="1">
      <alignment horizontal="center" vertical="center"/>
    </xf>
    <xf numFmtId="164" fontId="2" fillId="0" borderId="14" xfId="0" applyNumberFormat="1" applyFont="1" applyBorder="1" applyAlignment="1">
      <alignment horizontal="center" vertical="center"/>
    </xf>
    <xf numFmtId="6" fontId="2" fillId="0" borderId="14" xfId="0" applyNumberFormat="1" applyFont="1" applyBorder="1" applyAlignment="1">
      <alignment horizontal="center" vertical="center"/>
    </xf>
    <xf numFmtId="164" fontId="2" fillId="0" borderId="33" xfId="0" applyNumberFormat="1" applyFont="1" applyBorder="1" applyAlignment="1">
      <alignment horizontal="center" vertical="center"/>
    </xf>
    <xf numFmtId="0" fontId="2" fillId="0" borderId="10" xfId="0" applyFont="1" applyBorder="1" applyAlignment="1">
      <alignment horizontal="center" vertical="center"/>
    </xf>
    <xf numFmtId="170" fontId="2" fillId="0" borderId="32" xfId="0" applyNumberFormat="1" applyFont="1" applyBorder="1" applyAlignment="1">
      <alignment horizontal="center" vertical="center"/>
    </xf>
    <xf numFmtId="1" fontId="87" fillId="0" borderId="14" xfId="0" applyNumberFormat="1" applyFont="1" applyBorder="1" applyAlignment="1">
      <alignment horizontal="center" vertical="center"/>
    </xf>
    <xf numFmtId="1" fontId="87" fillId="12" borderId="14" xfId="0" applyNumberFormat="1" applyFont="1" applyFill="1" applyBorder="1" applyAlignment="1">
      <alignment horizontal="center" vertical="center"/>
    </xf>
    <xf numFmtId="170" fontId="87" fillId="12" borderId="14" xfId="0" applyNumberFormat="1" applyFont="1" applyFill="1" applyBorder="1" applyAlignment="1">
      <alignment horizontal="center" vertical="center"/>
    </xf>
    <xf numFmtId="164" fontId="87" fillId="12" borderId="14" xfId="0" applyNumberFormat="1" applyFont="1" applyFill="1" applyBorder="1" applyAlignment="1">
      <alignment horizontal="center" vertical="center"/>
    </xf>
    <xf numFmtId="164" fontId="87" fillId="12" borderId="33" xfId="0" applyNumberFormat="1" applyFont="1" applyFill="1" applyBorder="1" applyAlignment="1">
      <alignment horizontal="center" vertical="center"/>
    </xf>
    <xf numFmtId="0" fontId="87" fillId="0" borderId="31" xfId="0" applyFont="1" applyFill="1" applyBorder="1" applyAlignment="1">
      <alignment vertical="center"/>
    </xf>
    <xf numFmtId="0" fontId="87" fillId="12" borderId="14" xfId="0" applyFont="1" applyFill="1" applyBorder="1" applyAlignment="1">
      <alignment horizontal="center" vertical="center"/>
    </xf>
    <xf numFmtId="0" fontId="87" fillId="12" borderId="10" xfId="0" applyFont="1" applyFill="1" applyBorder="1" applyAlignment="1">
      <alignment horizontal="center" vertical="center"/>
    </xf>
    <xf numFmtId="0" fontId="87" fillId="0" borderId="10" xfId="0" applyFont="1" applyBorder="1"/>
    <xf numFmtId="0" fontId="87" fillId="0" borderId="32" xfId="0" applyFont="1" applyBorder="1"/>
    <xf numFmtId="0" fontId="104" fillId="32" borderId="107" xfId="3" applyFont="1" applyFill="1" applyBorder="1" applyAlignment="1">
      <alignment horizontal="center"/>
    </xf>
    <xf numFmtId="0" fontId="104" fillId="31" borderId="18" xfId="3" applyFont="1" applyFill="1" applyBorder="1" applyAlignment="1">
      <alignment horizontal="center"/>
    </xf>
    <xf numFmtId="0" fontId="104" fillId="31" borderId="107" xfId="3" applyFont="1" applyFill="1" applyBorder="1" applyAlignment="1">
      <alignment horizontal="center"/>
    </xf>
    <xf numFmtId="0" fontId="104" fillId="31" borderId="0" xfId="3" applyFont="1" applyFill="1" applyBorder="1" applyAlignment="1">
      <alignment horizontal="center"/>
    </xf>
    <xf numFmtId="0" fontId="113" fillId="30" borderId="20" xfId="0" applyFont="1" applyFill="1" applyBorder="1" applyAlignment="1">
      <alignment horizontal="left" vertical="center"/>
    </xf>
    <xf numFmtId="0" fontId="113" fillId="30" borderId="0" xfId="0" applyFont="1" applyFill="1" applyBorder="1" applyAlignment="1">
      <alignment horizontal="left" vertical="center"/>
    </xf>
    <xf numFmtId="0" fontId="104" fillId="32" borderId="110" xfId="3" applyFont="1" applyFill="1" applyBorder="1" applyAlignment="1">
      <alignment horizontal="center" vertical="top"/>
    </xf>
    <xf numFmtId="0" fontId="104" fillId="31" borderId="19" xfId="3" applyFont="1" applyFill="1" applyBorder="1" applyAlignment="1">
      <alignment horizontal="center"/>
    </xf>
    <xf numFmtId="0" fontId="104" fillId="31" borderId="30" xfId="3" applyFont="1" applyFill="1" applyBorder="1" applyAlignment="1">
      <alignment horizontal="center" vertical="top"/>
    </xf>
    <xf numFmtId="0" fontId="104" fillId="31" borderId="110" xfId="3" applyFont="1" applyFill="1" applyBorder="1" applyAlignment="1">
      <alignment horizontal="center" vertical="top"/>
    </xf>
    <xf numFmtId="0" fontId="104" fillId="31" borderId="18" xfId="3" applyFont="1" applyFill="1" applyBorder="1" applyAlignment="1">
      <alignment horizontal="center" vertical="top"/>
    </xf>
    <xf numFmtId="0" fontId="104" fillId="31" borderId="107" xfId="3" applyFont="1" applyFill="1" applyBorder="1" applyAlignment="1">
      <alignment horizontal="center" vertical="top"/>
    </xf>
    <xf numFmtId="0" fontId="104" fillId="31" borderId="0" xfId="3" applyFont="1" applyFill="1" applyBorder="1" applyAlignment="1">
      <alignment horizontal="center" vertical="top"/>
    </xf>
    <xf numFmtId="0" fontId="87" fillId="17" borderId="0" xfId="0" applyFont="1" applyFill="1" applyAlignment="1">
      <alignment horizontal="center" vertical="center"/>
    </xf>
    <xf numFmtId="0" fontId="87" fillId="17" borderId="12" xfId="0" applyFont="1" applyFill="1" applyBorder="1" applyAlignment="1">
      <alignment vertical="center"/>
    </xf>
    <xf numFmtId="0" fontId="87" fillId="17" borderId="14" xfId="0" applyFont="1" applyFill="1" applyBorder="1" applyAlignment="1">
      <alignment horizontal="center" vertical="center"/>
    </xf>
    <xf numFmtId="170" fontId="87" fillId="17" borderId="14" xfId="0" applyNumberFormat="1" applyFont="1" applyFill="1" applyBorder="1" applyAlignment="1">
      <alignment horizontal="center" vertical="center"/>
    </xf>
    <xf numFmtId="164" fontId="87" fillId="17" borderId="14" xfId="0" applyNumberFormat="1" applyFont="1" applyFill="1" applyBorder="1" applyAlignment="1">
      <alignment horizontal="center" vertical="center"/>
    </xf>
    <xf numFmtId="6" fontId="2" fillId="17" borderId="14" xfId="0" applyNumberFormat="1" applyFont="1" applyFill="1" applyBorder="1" applyAlignment="1">
      <alignment horizontal="center" vertical="center"/>
    </xf>
    <xf numFmtId="164" fontId="87" fillId="17" borderId="33" xfId="0" applyNumberFormat="1" applyFont="1" applyFill="1" applyBorder="1" applyAlignment="1">
      <alignment horizontal="center" vertical="center"/>
    </xf>
    <xf numFmtId="0" fontId="87" fillId="17" borderId="10" xfId="0" applyFont="1" applyFill="1" applyBorder="1" applyAlignment="1">
      <alignment horizontal="center" vertical="center"/>
    </xf>
    <xf numFmtId="170" fontId="2" fillId="17" borderId="32" xfId="0" applyNumberFormat="1" applyFont="1" applyFill="1" applyBorder="1" applyAlignment="1">
      <alignment horizontal="center" vertical="center"/>
    </xf>
    <xf numFmtId="0" fontId="86" fillId="17" borderId="10" xfId="0" applyFont="1" applyFill="1" applyBorder="1" applyAlignment="1">
      <alignment horizontal="center" vertical="center"/>
    </xf>
    <xf numFmtId="170" fontId="86" fillId="17" borderId="14" xfId="0" applyNumberFormat="1" applyFont="1" applyFill="1" applyBorder="1" applyAlignment="1">
      <alignment horizontal="center" vertical="center"/>
    </xf>
    <xf numFmtId="164" fontId="86" fillId="17" borderId="14" xfId="0" applyNumberFormat="1" applyFont="1" applyFill="1" applyBorder="1" applyAlignment="1">
      <alignment horizontal="center" vertical="center"/>
    </xf>
    <xf numFmtId="171" fontId="86" fillId="17" borderId="33" xfId="0" applyNumberFormat="1" applyFont="1" applyFill="1" applyBorder="1" applyAlignment="1">
      <alignment horizontal="center" vertical="center"/>
    </xf>
    <xf numFmtId="0" fontId="86" fillId="17" borderId="13" xfId="0" applyFont="1" applyFill="1" applyBorder="1" applyAlignment="1">
      <alignment horizontal="center" vertical="center"/>
    </xf>
    <xf numFmtId="170" fontId="86" fillId="17" borderId="2" xfId="0" applyNumberFormat="1" applyFont="1" applyFill="1" applyBorder="1" applyAlignment="1">
      <alignment horizontal="center" vertical="center"/>
    </xf>
    <xf numFmtId="164" fontId="86" fillId="17" borderId="2" xfId="0" applyNumberFormat="1" applyFont="1" applyFill="1" applyBorder="1" applyAlignment="1">
      <alignment horizontal="center" vertical="center"/>
    </xf>
    <xf numFmtId="171" fontId="86" fillId="17" borderId="27" xfId="0" applyNumberFormat="1" applyFont="1" applyFill="1" applyBorder="1" applyAlignment="1">
      <alignment horizontal="center" vertical="center"/>
    </xf>
    <xf numFmtId="170" fontId="87" fillId="17" borderId="2" xfId="0" applyNumberFormat="1" applyFont="1" applyFill="1" applyBorder="1" applyAlignment="1">
      <alignment horizontal="center" vertical="center"/>
    </xf>
    <xf numFmtId="164" fontId="87" fillId="17" borderId="2" xfId="0" applyNumberFormat="1" applyFont="1" applyFill="1" applyBorder="1" applyAlignment="1">
      <alignment horizontal="center" vertical="center"/>
    </xf>
    <xf numFmtId="170" fontId="2" fillId="17" borderId="29" xfId="0" applyNumberFormat="1" applyFont="1" applyFill="1" applyBorder="1" applyAlignment="1">
      <alignment horizontal="center" vertical="center"/>
    </xf>
    <xf numFmtId="164" fontId="87" fillId="17" borderId="27" xfId="0" applyNumberFormat="1" applyFont="1" applyFill="1" applyBorder="1" applyAlignment="1">
      <alignment horizontal="center" vertical="center"/>
    </xf>
    <xf numFmtId="1" fontId="87" fillId="17" borderId="14" xfId="0" applyNumberFormat="1" applyFont="1" applyFill="1" applyBorder="1" applyAlignment="1">
      <alignment horizontal="center" vertical="center"/>
    </xf>
    <xf numFmtId="0" fontId="87" fillId="17" borderId="10" xfId="0" applyFont="1" applyFill="1" applyBorder="1" applyAlignment="1">
      <alignment horizontal="center"/>
    </xf>
    <xf numFmtId="172" fontId="87" fillId="17" borderId="14" xfId="0" applyNumberFormat="1" applyFont="1" applyFill="1" applyBorder="1" applyAlignment="1">
      <alignment horizontal="center"/>
    </xf>
    <xf numFmtId="164" fontId="87" fillId="17" borderId="14" xfId="0" applyNumberFormat="1" applyFont="1" applyFill="1" applyBorder="1" applyAlignment="1">
      <alignment horizontal="center"/>
    </xf>
    <xf numFmtId="170" fontId="87" fillId="17" borderId="14" xfId="0" applyNumberFormat="1" applyFont="1" applyFill="1" applyBorder="1" applyAlignment="1">
      <alignment horizontal="center"/>
    </xf>
    <xf numFmtId="164" fontId="87" fillId="17" borderId="33" xfId="0" applyNumberFormat="1" applyFont="1" applyFill="1" applyBorder="1" applyAlignment="1">
      <alignment horizontal="center"/>
    </xf>
    <xf numFmtId="164" fontId="87" fillId="17" borderId="12" xfId="0" applyNumberFormat="1" applyFont="1" applyFill="1" applyBorder="1" applyAlignment="1">
      <alignment horizontal="center"/>
    </xf>
    <xf numFmtId="0" fontId="87" fillId="17" borderId="32" xfId="0" applyFont="1" applyFill="1" applyBorder="1" applyAlignment="1">
      <alignment horizontal="center" vertical="center"/>
    </xf>
    <xf numFmtId="170" fontId="87" fillId="17" borderId="63" xfId="0" applyNumberFormat="1" applyFont="1" applyFill="1" applyBorder="1" applyAlignment="1">
      <alignment horizontal="center" vertical="center"/>
    </xf>
    <xf numFmtId="164" fontId="87" fillId="17" borderId="63" xfId="0" applyNumberFormat="1" applyFont="1" applyFill="1" applyBorder="1" applyAlignment="1">
      <alignment horizontal="center" vertical="center"/>
    </xf>
    <xf numFmtId="164" fontId="87" fillId="17" borderId="30" xfId="0" applyNumberFormat="1" applyFont="1" applyFill="1" applyBorder="1" applyAlignment="1">
      <alignment horizontal="center" vertical="center"/>
    </xf>
    <xf numFmtId="0" fontId="87" fillId="17" borderId="0" xfId="0" applyFont="1" applyFill="1" applyBorder="1" applyAlignment="1">
      <alignment vertical="center"/>
    </xf>
    <xf numFmtId="0" fontId="87" fillId="12" borderId="12" xfId="0" applyFont="1" applyFill="1" applyBorder="1" applyAlignment="1">
      <alignment vertical="center"/>
    </xf>
    <xf numFmtId="0" fontId="2" fillId="17" borderId="12" xfId="0" applyFont="1" applyFill="1" applyBorder="1" applyAlignment="1">
      <alignment vertical="center"/>
    </xf>
    <xf numFmtId="0" fontId="3" fillId="17" borderId="12" xfId="0" applyFont="1" applyFill="1" applyBorder="1" applyAlignment="1">
      <alignment vertical="center"/>
    </xf>
    <xf numFmtId="0" fontId="0" fillId="17" borderId="0" xfId="0" applyFill="1" applyAlignment="1">
      <alignment horizontal="center"/>
    </xf>
    <xf numFmtId="0" fontId="87" fillId="17" borderId="10" xfId="0" applyFont="1" applyFill="1" applyBorder="1"/>
    <xf numFmtId="0" fontId="87" fillId="17" borderId="31" xfId="0" applyFont="1" applyFill="1" applyBorder="1" applyAlignment="1">
      <alignment horizontal="center" vertical="center"/>
    </xf>
    <xf numFmtId="0" fontId="87" fillId="0" borderId="28" xfId="0" applyFont="1" applyBorder="1" applyAlignment="1">
      <alignment horizontal="center" vertical="center"/>
    </xf>
    <xf numFmtId="0" fontId="87" fillId="0" borderId="31" xfId="0" applyFont="1" applyFill="1" applyBorder="1" applyAlignment="1">
      <alignment horizontal="center" vertical="center"/>
    </xf>
    <xf numFmtId="0" fontId="4" fillId="17" borderId="31" xfId="0" applyFont="1" applyFill="1" applyBorder="1" applyAlignment="1">
      <alignment horizontal="center" vertical="center"/>
    </xf>
    <xf numFmtId="0" fontId="1" fillId="0" borderId="0" xfId="0" applyFont="1"/>
    <xf numFmtId="0" fontId="91" fillId="33" borderId="0" xfId="3" applyFont="1" applyFill="1" applyBorder="1" applyAlignment="1">
      <alignment horizontal="center" vertical="center"/>
    </xf>
    <xf numFmtId="0" fontId="91" fillId="17" borderId="0" xfId="3" applyFont="1" applyFill="1" applyBorder="1" applyAlignment="1">
      <alignment horizontal="right" vertical="center"/>
    </xf>
    <xf numFmtId="0" fontId="91" fillId="33" borderId="0" xfId="3" applyFont="1" applyFill="1" applyBorder="1" applyAlignment="1">
      <alignment horizontal="left" vertical="center"/>
    </xf>
    <xf numFmtId="0" fontId="91" fillId="17" borderId="0" xfId="3" applyFont="1" applyFill="1" applyAlignment="1">
      <alignment horizontal="center"/>
    </xf>
    <xf numFmtId="0" fontId="92" fillId="33" borderId="0" xfId="3" applyFont="1" applyFill="1" applyBorder="1" applyAlignment="1">
      <alignment horizontal="center" vertical="center"/>
    </xf>
    <xf numFmtId="0" fontId="92" fillId="17" borderId="0" xfId="3" applyFont="1" applyFill="1" applyBorder="1" applyAlignment="1">
      <alignment horizontal="right" vertical="center"/>
    </xf>
    <xf numFmtId="0" fontId="92" fillId="33" borderId="0" xfId="3" applyFont="1" applyFill="1" applyBorder="1" applyAlignment="1">
      <alignment horizontal="left" vertical="center"/>
    </xf>
    <xf numFmtId="1" fontId="92" fillId="33" borderId="0" xfId="3" applyNumberFormat="1" applyFont="1" applyFill="1" applyBorder="1" applyAlignment="1">
      <alignment horizontal="left" vertical="center"/>
    </xf>
    <xf numFmtId="0" fontId="92" fillId="33" borderId="0" xfId="3" applyFont="1" applyFill="1" applyBorder="1" applyAlignment="1">
      <alignment horizontal="center"/>
    </xf>
    <xf numFmtId="0" fontId="92" fillId="33" borderId="0" xfId="3" applyFont="1" applyFill="1" applyBorder="1" applyAlignment="1">
      <alignment horizontal="left"/>
    </xf>
    <xf numFmtId="0" fontId="91" fillId="17" borderId="0" xfId="3" applyFont="1" applyFill="1" applyBorder="1" applyAlignment="1">
      <alignment horizontal="center" vertical="center"/>
    </xf>
    <xf numFmtId="0" fontId="91" fillId="17" borderId="0" xfId="3" applyFont="1" applyFill="1" applyBorder="1" applyAlignment="1">
      <alignment horizontal="left" vertical="center"/>
    </xf>
    <xf numFmtId="169" fontId="87" fillId="0" borderId="0" xfId="0" applyNumberFormat="1" applyFont="1" applyFill="1" applyAlignment="1">
      <alignment horizontal="center"/>
    </xf>
    <xf numFmtId="171" fontId="87" fillId="0" borderId="0" xfId="0" applyNumberFormat="1" applyFont="1" applyFill="1" applyAlignment="1">
      <alignment horizontal="center" vertical="center"/>
    </xf>
    <xf numFmtId="166" fontId="3" fillId="0" borderId="0" xfId="0" applyNumberFormat="1" applyFont="1" applyFill="1" applyAlignment="1">
      <alignment horizontal="center" vertical="center"/>
    </xf>
    <xf numFmtId="164" fontId="87" fillId="0" borderId="0" xfId="0" applyNumberFormat="1" applyFont="1" applyFill="1" applyAlignment="1">
      <alignment horizontal="center"/>
    </xf>
    <xf numFmtId="166" fontId="97" fillId="0" borderId="0" xfId="0" applyNumberFormat="1" applyFont="1" applyFill="1" applyAlignment="1">
      <alignment horizontal="center" vertical="center"/>
    </xf>
    <xf numFmtId="0" fontId="65" fillId="0" borderId="0" xfId="0" applyFont="1" applyFill="1" applyBorder="1" applyAlignment="1">
      <alignment horizontal="right"/>
    </xf>
    <xf numFmtId="0" fontId="4" fillId="0" borderId="0" xfId="0" applyFont="1" applyFill="1" applyBorder="1" applyAlignment="1">
      <alignment horizontal="center" wrapText="1"/>
    </xf>
    <xf numFmtId="0" fontId="3" fillId="0" borderId="0" xfId="0" applyFont="1" applyFill="1" applyBorder="1" applyAlignment="1">
      <alignment vertical="center"/>
    </xf>
    <xf numFmtId="0" fontId="87" fillId="0" borderId="0" xfId="0" applyFont="1" applyFill="1" applyBorder="1"/>
    <xf numFmtId="0" fontId="2" fillId="0" borderId="0" xfId="0" applyFont="1" applyFill="1" applyBorder="1" applyAlignment="1">
      <alignment vertical="center"/>
    </xf>
    <xf numFmtId="0" fontId="4" fillId="0" borderId="0" xfId="0" applyFont="1" applyFill="1" applyBorder="1"/>
    <xf numFmtId="0" fontId="4" fillId="0" borderId="0" xfId="0" applyFont="1" applyFill="1" applyBorder="1" applyAlignment="1">
      <alignment vertical="center"/>
    </xf>
    <xf numFmtId="0" fontId="114" fillId="0" borderId="0" xfId="0" applyFont="1" applyFill="1" applyBorder="1"/>
    <xf numFmtId="0" fontId="115" fillId="0" borderId="0" xfId="0" applyFont="1" applyFill="1" applyBorder="1" applyAlignment="1">
      <alignment horizontal="left" vertical="center"/>
    </xf>
    <xf numFmtId="0" fontId="104" fillId="31" borderId="31" xfId="3" applyFont="1" applyFill="1" applyBorder="1" applyAlignment="1">
      <alignment horizontal="center" vertical="top"/>
    </xf>
    <xf numFmtId="0" fontId="65" fillId="0" borderId="0" xfId="0" applyFont="1" applyAlignment="1">
      <alignment vertical="center"/>
    </xf>
    <xf numFmtId="166" fontId="0" fillId="10" borderId="0" xfId="0" applyNumberFormat="1" applyFill="1" applyAlignment="1">
      <alignment horizontal="center" vertical="center"/>
    </xf>
    <xf numFmtId="0" fontId="105" fillId="0" borderId="32" xfId="0" applyFont="1" applyBorder="1" applyAlignment="1">
      <alignment horizontal="center" vertical="center"/>
    </xf>
    <xf numFmtId="0" fontId="105" fillId="17" borderId="10" xfId="0" applyFont="1" applyFill="1" applyBorder="1" applyAlignment="1">
      <alignment horizontal="center" vertical="center"/>
    </xf>
    <xf numFmtId="0" fontId="105" fillId="0" borderId="10" xfId="0" applyFont="1" applyBorder="1" applyAlignment="1">
      <alignment horizontal="center" vertical="center"/>
    </xf>
    <xf numFmtId="0" fontId="106" fillId="0" borderId="32" xfId="0" applyFont="1" applyBorder="1" applyAlignment="1">
      <alignment horizontal="center" vertical="center"/>
    </xf>
    <xf numFmtId="0" fontId="106" fillId="17" borderId="10" xfId="0" applyFont="1" applyFill="1" applyBorder="1" applyAlignment="1">
      <alignment horizontal="center" vertical="center"/>
    </xf>
    <xf numFmtId="0" fontId="106" fillId="0" borderId="10" xfId="0" applyFont="1" applyBorder="1" applyAlignment="1">
      <alignment horizontal="center" vertical="center"/>
    </xf>
    <xf numFmtId="0" fontId="106" fillId="12" borderId="10" xfId="0" applyFont="1" applyFill="1" applyBorder="1" applyAlignment="1">
      <alignment horizontal="center" vertical="center"/>
    </xf>
    <xf numFmtId="0" fontId="106" fillId="0" borderId="31" xfId="0" applyFont="1" applyBorder="1" applyAlignment="1">
      <alignment horizontal="center" vertical="center"/>
    </xf>
    <xf numFmtId="0" fontId="106" fillId="17" borderId="12" xfId="0" applyFont="1" applyFill="1" applyBorder="1" applyAlignment="1">
      <alignment horizontal="center" vertical="center"/>
    </xf>
    <xf numFmtId="0" fontId="106" fillId="0" borderId="12" xfId="0" applyFont="1" applyBorder="1" applyAlignment="1">
      <alignment horizontal="center" vertical="center"/>
    </xf>
    <xf numFmtId="0" fontId="106" fillId="0" borderId="12" xfId="0" applyFont="1" applyFill="1" applyBorder="1" applyAlignment="1">
      <alignment horizontal="center" vertical="center"/>
    </xf>
    <xf numFmtId="0" fontId="106" fillId="17" borderId="12" xfId="0" quotePrefix="1" applyFont="1" applyFill="1" applyBorder="1" applyAlignment="1">
      <alignment horizontal="center" vertical="center"/>
    </xf>
    <xf numFmtId="0" fontId="48" fillId="0" borderId="33" xfId="0" applyFont="1" applyBorder="1" applyAlignment="1" applyProtection="1">
      <alignment vertical="center"/>
      <protection hidden="1"/>
    </xf>
    <xf numFmtId="0" fontId="48" fillId="0" borderId="12" xfId="0" applyFont="1" applyBorder="1" applyAlignment="1" applyProtection="1">
      <alignment vertical="center"/>
      <protection hidden="1"/>
    </xf>
    <xf numFmtId="0" fontId="16" fillId="0" borderId="8" xfId="0" applyFont="1" applyBorder="1" applyAlignment="1">
      <alignment horizontal="left" vertical="center"/>
    </xf>
    <xf numFmtId="0" fontId="16" fillId="0" borderId="31" xfId="0" applyFont="1" applyBorder="1" applyAlignment="1">
      <alignment horizontal="left"/>
    </xf>
    <xf numFmtId="3" fontId="17" fillId="3" borderId="33" xfId="0" applyNumberFormat="1" applyFont="1" applyFill="1" applyBorder="1" applyAlignment="1" applyProtection="1">
      <alignment horizontal="center" vertical="center"/>
      <protection hidden="1"/>
    </xf>
    <xf numFmtId="3" fontId="16" fillId="7" borderId="12" xfId="0" applyNumberFormat="1" applyFont="1" applyFill="1" applyBorder="1" applyAlignment="1" applyProtection="1">
      <alignment horizontal="center" vertical="center"/>
      <protection hidden="1"/>
    </xf>
    <xf numFmtId="164" fontId="17" fillId="11" borderId="12" xfId="0" applyNumberFormat="1" applyFont="1" applyFill="1" applyBorder="1" applyAlignment="1" applyProtection="1">
      <alignment horizontal="center" vertical="center"/>
      <protection locked="0"/>
    </xf>
    <xf numFmtId="3" fontId="17" fillId="3" borderId="10" xfId="0" applyNumberFormat="1" applyFont="1" applyFill="1" applyBorder="1" applyAlignment="1" applyProtection="1">
      <alignment horizontal="center"/>
      <protection hidden="1"/>
    </xf>
    <xf numFmtId="3" fontId="17" fillId="0" borderId="12" xfId="0" applyNumberFormat="1" applyFont="1" applyBorder="1" applyAlignment="1" applyProtection="1">
      <alignment horizontal="center" vertical="center"/>
      <protection hidden="1"/>
    </xf>
    <xf numFmtId="3" fontId="16" fillId="0" borderId="14" xfId="0" applyNumberFormat="1" applyFont="1" applyBorder="1" applyAlignment="1" applyProtection="1">
      <alignment horizontal="center" vertical="center"/>
      <protection hidden="1"/>
    </xf>
    <xf numFmtId="3" fontId="16" fillId="7" borderId="33" xfId="0" applyNumberFormat="1" applyFont="1" applyFill="1" applyBorder="1" applyAlignment="1" applyProtection="1">
      <alignment horizontal="center" vertical="center"/>
      <protection hidden="1"/>
    </xf>
    <xf numFmtId="3" fontId="17" fillId="11" borderId="33" xfId="0" applyNumberFormat="1" applyFont="1" applyFill="1" applyBorder="1" applyAlignment="1" applyProtection="1">
      <alignment horizontal="center" vertical="center"/>
      <protection locked="0"/>
    </xf>
    <xf numFmtId="0" fontId="16" fillId="0" borderId="10" xfId="0" applyFont="1" applyBorder="1" applyAlignment="1">
      <alignment horizontal="left"/>
    </xf>
    <xf numFmtId="3" fontId="16" fillId="0" borderId="33" xfId="0" applyNumberFormat="1" applyFont="1" applyBorder="1" applyAlignment="1" applyProtection="1">
      <alignment horizontal="center" vertical="center"/>
      <protection hidden="1"/>
    </xf>
    <xf numFmtId="3" fontId="17" fillId="0" borderId="33" xfId="0" applyNumberFormat="1" applyFont="1" applyBorder="1" applyAlignment="1" applyProtection="1">
      <alignment horizontal="center" vertical="center"/>
      <protection hidden="1"/>
    </xf>
    <xf numFmtId="3" fontId="17" fillId="0" borderId="14" xfId="0" applyNumberFormat="1" applyFont="1" applyBorder="1" applyAlignment="1" applyProtection="1">
      <alignment horizontal="center" vertical="center"/>
      <protection hidden="1"/>
    </xf>
    <xf numFmtId="3" fontId="17" fillId="0" borderId="17" xfId="0" applyNumberFormat="1" applyFont="1" applyBorder="1" applyAlignment="1" applyProtection="1">
      <alignment horizontal="center" vertical="center"/>
      <protection hidden="1"/>
    </xf>
    <xf numFmtId="166" fontId="16" fillId="0" borderId="50" xfId="0" applyNumberFormat="1" applyFont="1" applyBorder="1" applyAlignment="1" applyProtection="1">
      <alignment horizontal="center"/>
      <protection hidden="1"/>
    </xf>
    <xf numFmtId="3" fontId="16" fillId="7" borderId="14" xfId="0" applyNumberFormat="1" applyFont="1" applyFill="1" applyBorder="1" applyAlignment="1" applyProtection="1">
      <alignment horizontal="center" vertical="center"/>
      <protection hidden="1"/>
    </xf>
    <xf numFmtId="3" fontId="16" fillId="7" borderId="49" xfId="0" applyNumberFormat="1" applyFont="1" applyFill="1" applyBorder="1" applyAlignment="1" applyProtection="1">
      <alignment horizontal="center" vertical="center"/>
      <protection hidden="1"/>
    </xf>
    <xf numFmtId="164" fontId="17" fillId="9" borderId="14" xfId="0" applyNumberFormat="1" applyFont="1" applyFill="1" applyBorder="1" applyAlignment="1" applyProtection="1">
      <alignment horizontal="center" vertical="center"/>
      <protection locked="0"/>
    </xf>
    <xf numFmtId="0" fontId="16" fillId="0" borderId="11" xfId="0" applyFont="1" applyBorder="1" applyAlignment="1">
      <alignment horizontal="left" vertical="center"/>
    </xf>
    <xf numFmtId="0" fontId="0" fillId="0" borderId="0" xfId="0"/>
    <xf numFmtId="0" fontId="7" fillId="5" borderId="0" xfId="0" applyFont="1" applyFill="1" applyAlignment="1">
      <alignment horizontal="center" vertical="center"/>
    </xf>
    <xf numFmtId="0" fontId="17" fillId="9" borderId="12" xfId="0" applyFont="1" applyFill="1" applyBorder="1" applyAlignment="1">
      <alignment horizontal="left" vertical="center"/>
    </xf>
    <xf numFmtId="0" fontId="16" fillId="9" borderId="12" xfId="0" applyFont="1" applyFill="1" applyBorder="1" applyAlignment="1">
      <alignment horizontal="center" vertical="center"/>
    </xf>
    <xf numFmtId="0" fontId="17" fillId="0" borderId="33" xfId="0" applyFont="1" applyBorder="1" applyAlignment="1">
      <alignment vertical="center"/>
    </xf>
    <xf numFmtId="0" fontId="95" fillId="30" borderId="27" xfId="0" applyFont="1" applyFill="1" applyBorder="1" applyProtection="1">
      <protection hidden="1"/>
    </xf>
    <xf numFmtId="0" fontId="95" fillId="30" borderId="28" xfId="0" applyFont="1" applyFill="1" applyBorder="1" applyAlignment="1" applyProtection="1">
      <alignment horizontal="left"/>
      <protection hidden="1"/>
    </xf>
    <xf numFmtId="0" fontId="95" fillId="30" borderId="30" xfId="0" applyFont="1" applyFill="1" applyBorder="1" applyProtection="1">
      <protection hidden="1"/>
    </xf>
    <xf numFmtId="0" fontId="95" fillId="30" borderId="31" xfId="0" applyFont="1" applyFill="1" applyBorder="1" applyAlignment="1" applyProtection="1">
      <alignment horizontal="left"/>
      <protection hidden="1"/>
    </xf>
    <xf numFmtId="0" fontId="16" fillId="7" borderId="0" xfId="0" applyFont="1" applyFill="1" applyBorder="1" applyAlignment="1" applyProtection="1">
      <alignment vertical="center"/>
      <protection hidden="1"/>
    </xf>
    <xf numFmtId="0" fontId="16" fillId="0" borderId="33" xfId="0" applyFont="1" applyBorder="1" applyProtection="1">
      <protection hidden="1"/>
    </xf>
    <xf numFmtId="0" fontId="16" fillId="0" borderId="30" xfId="0" applyFont="1" applyBorder="1" applyProtection="1">
      <protection hidden="1"/>
    </xf>
    <xf numFmtId="0" fontId="16" fillId="0" borderId="31" xfId="0" applyFont="1" applyBorder="1" applyProtection="1">
      <protection hidden="1"/>
    </xf>
    <xf numFmtId="0" fontId="6" fillId="0" borderId="14" xfId="0" applyFont="1" applyBorder="1" applyAlignment="1">
      <alignment horizontal="center"/>
    </xf>
    <xf numFmtId="0" fontId="17" fillId="0" borderId="39" xfId="0" applyFont="1" applyBorder="1" applyAlignment="1" applyProtection="1">
      <alignment horizontal="center" vertical="center"/>
      <protection hidden="1"/>
    </xf>
    <xf numFmtId="3" fontId="16" fillId="7" borderId="39" xfId="0" applyNumberFormat="1" applyFont="1" applyFill="1" applyBorder="1" applyAlignment="1" applyProtection="1">
      <alignment horizontal="center" vertical="center"/>
      <protection hidden="1"/>
    </xf>
    <xf numFmtId="167" fontId="16" fillId="7" borderId="14" xfId="0" applyNumberFormat="1" applyFont="1" applyFill="1" applyBorder="1" applyAlignment="1" applyProtection="1">
      <alignment horizontal="center" vertical="center"/>
      <protection hidden="1"/>
    </xf>
    <xf numFmtId="167" fontId="17" fillId="0" borderId="14" xfId="0" applyNumberFormat="1" applyFont="1" applyBorder="1" applyAlignment="1" applyProtection="1">
      <alignment horizontal="center" vertical="center"/>
      <protection hidden="1"/>
    </xf>
    <xf numFmtId="167" fontId="69" fillId="0" borderId="14" xfId="0" applyNumberFormat="1" applyFont="1" applyBorder="1" applyAlignment="1" applyProtection="1">
      <alignment horizontal="center" vertical="center"/>
      <protection hidden="1"/>
    </xf>
    <xf numFmtId="167" fontId="17" fillId="7" borderId="14" xfId="0" applyNumberFormat="1" applyFont="1" applyFill="1" applyBorder="1" applyAlignment="1">
      <alignment horizontal="center" vertical="center"/>
    </xf>
    <xf numFmtId="0" fontId="17" fillId="0" borderId="63" xfId="0" applyFont="1" applyBorder="1" applyAlignment="1" applyProtection="1">
      <alignment horizontal="center" vertical="center"/>
      <protection hidden="1"/>
    </xf>
    <xf numFmtId="0" fontId="16" fillId="7" borderId="30" xfId="0" applyFont="1" applyFill="1" applyBorder="1" applyAlignment="1" applyProtection="1">
      <alignment vertical="center"/>
      <protection hidden="1"/>
    </xf>
    <xf numFmtId="0" fontId="16" fillId="7" borderId="31" xfId="0" applyFont="1" applyFill="1" applyBorder="1" applyAlignment="1" applyProtection="1">
      <alignment vertical="center"/>
      <protection hidden="1"/>
    </xf>
    <xf numFmtId="167" fontId="16" fillId="7" borderId="63" xfId="0" applyNumberFormat="1" applyFont="1" applyFill="1" applyBorder="1" applyAlignment="1" applyProtection="1">
      <alignment horizontal="center" vertical="center"/>
      <protection hidden="1"/>
    </xf>
    <xf numFmtId="167" fontId="7" fillId="0" borderId="14" xfId="0" applyNumberFormat="1" applyFont="1" applyBorder="1" applyAlignment="1" applyProtection="1">
      <alignment horizontal="center"/>
      <protection hidden="1"/>
    </xf>
    <xf numFmtId="0" fontId="6" fillId="0" borderId="14" xfId="0" applyFont="1" applyBorder="1" applyAlignment="1" applyProtection="1">
      <alignment horizontal="center"/>
      <protection hidden="1"/>
    </xf>
    <xf numFmtId="3" fontId="16" fillId="7" borderId="19" xfId="0" applyNumberFormat="1" applyFont="1" applyFill="1" applyBorder="1" applyAlignment="1" applyProtection="1">
      <alignment horizontal="center" vertical="center"/>
      <protection hidden="1"/>
    </xf>
    <xf numFmtId="3" fontId="17" fillId="0" borderId="19" xfId="0" applyNumberFormat="1" applyFont="1" applyBorder="1" applyAlignment="1" applyProtection="1">
      <alignment horizontal="center" vertical="center"/>
      <protection hidden="1"/>
    </xf>
    <xf numFmtId="164" fontId="48" fillId="0" borderId="33" xfId="0" applyNumberFormat="1" applyFont="1" applyBorder="1" applyAlignment="1" applyProtection="1">
      <alignment horizontal="center" vertical="center"/>
      <protection hidden="1"/>
    </xf>
    <xf numFmtId="167" fontId="48" fillId="0" borderId="14" xfId="0" applyNumberFormat="1" applyFont="1" applyBorder="1" applyAlignment="1" applyProtection="1">
      <alignment horizontal="center" vertical="center"/>
      <protection hidden="1"/>
    </xf>
    <xf numFmtId="164" fontId="17" fillId="11" borderId="33" xfId="0" applyNumberFormat="1" applyFont="1" applyFill="1" applyBorder="1" applyAlignment="1" applyProtection="1">
      <alignment horizontal="center" vertical="center"/>
      <protection locked="0"/>
    </xf>
    <xf numFmtId="3" fontId="16" fillId="7" borderId="30" xfId="0" applyNumberFormat="1" applyFont="1" applyFill="1" applyBorder="1" applyAlignment="1" applyProtection="1">
      <alignment horizontal="center" vertical="center"/>
      <protection hidden="1"/>
    </xf>
    <xf numFmtId="167" fontId="7" fillId="0" borderId="12" xfId="0" applyNumberFormat="1" applyFont="1" applyBorder="1" applyAlignment="1" applyProtection="1">
      <alignment horizontal="center"/>
      <protection hidden="1"/>
    </xf>
    <xf numFmtId="3" fontId="16" fillId="7" borderId="0" xfId="0" applyNumberFormat="1" applyFont="1" applyFill="1" applyBorder="1" applyAlignment="1" applyProtection="1">
      <alignment horizontal="center" vertical="center"/>
      <protection hidden="1"/>
    </xf>
    <xf numFmtId="3" fontId="17" fillId="0" borderId="0" xfId="0" applyNumberFormat="1" applyFont="1" applyBorder="1" applyAlignment="1" applyProtection="1">
      <alignment horizontal="center"/>
      <protection hidden="1"/>
    </xf>
    <xf numFmtId="164" fontId="48" fillId="0" borderId="12" xfId="0" applyNumberFormat="1" applyFont="1" applyBorder="1" applyAlignment="1" applyProtection="1">
      <alignment horizontal="center" vertical="center"/>
      <protection hidden="1"/>
    </xf>
    <xf numFmtId="3" fontId="16" fillId="7" borderId="31" xfId="0" applyNumberFormat="1" applyFont="1" applyFill="1" applyBorder="1" applyAlignment="1" applyProtection="1">
      <alignment horizontal="center" vertical="center"/>
      <protection hidden="1"/>
    </xf>
    <xf numFmtId="0" fontId="95" fillId="30" borderId="33" xfId="0" applyFont="1" applyFill="1" applyBorder="1" applyAlignment="1" applyProtection="1">
      <alignment horizontal="left" vertical="center" indent="1"/>
      <protection hidden="1"/>
    </xf>
    <xf numFmtId="0" fontId="95" fillId="30" borderId="12" xfId="0" applyFont="1" applyFill="1" applyBorder="1" applyAlignment="1" applyProtection="1">
      <alignment horizontal="left" vertical="center" indent="1"/>
      <protection hidden="1"/>
    </xf>
    <xf numFmtId="3" fontId="112" fillId="30" borderId="12" xfId="0" applyNumberFormat="1" applyFont="1" applyFill="1" applyBorder="1" applyAlignment="1" applyProtection="1">
      <alignment horizontal="left" vertical="center" indent="1"/>
      <protection hidden="1"/>
    </xf>
    <xf numFmtId="3" fontId="112" fillId="30" borderId="28" xfId="0" applyNumberFormat="1" applyFont="1" applyFill="1" applyBorder="1" applyAlignment="1" applyProtection="1">
      <alignment horizontal="left" vertical="center" indent="1"/>
      <protection hidden="1"/>
    </xf>
    <xf numFmtId="3" fontId="95" fillId="30" borderId="28" xfId="0" applyNumberFormat="1" applyFont="1" applyFill="1" applyBorder="1" applyAlignment="1" applyProtection="1">
      <alignment horizontal="left" vertical="center" indent="1"/>
      <protection hidden="1"/>
    </xf>
    <xf numFmtId="3" fontId="95" fillId="30" borderId="13" xfId="0" applyNumberFormat="1" applyFont="1" applyFill="1" applyBorder="1" applyAlignment="1" applyProtection="1">
      <alignment horizontal="left" vertical="center" indent="1"/>
      <protection hidden="1"/>
    </xf>
    <xf numFmtId="0" fontId="17" fillId="0" borderId="30" xfId="0" applyFont="1" applyBorder="1" applyProtection="1">
      <protection hidden="1"/>
    </xf>
    <xf numFmtId="0" fontId="17" fillId="0" borderId="33" xfId="0" applyFont="1" applyBorder="1" applyProtection="1">
      <protection hidden="1"/>
    </xf>
    <xf numFmtId="0" fontId="16" fillId="0" borderId="51" xfId="0" applyFont="1" applyBorder="1" applyProtection="1">
      <protection hidden="1"/>
    </xf>
    <xf numFmtId="0" fontId="6" fillId="0" borderId="50" xfId="0" applyFont="1" applyBorder="1" applyAlignment="1">
      <alignment horizontal="center"/>
    </xf>
    <xf numFmtId="0" fontId="16" fillId="0" borderId="49" xfId="0" applyFont="1" applyBorder="1" applyAlignment="1" applyProtection="1">
      <alignment horizontal="center" vertical="center"/>
      <protection hidden="1"/>
    </xf>
    <xf numFmtId="3" fontId="5" fillId="7" borderId="49" xfId="0" applyNumberFormat="1" applyFont="1" applyFill="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167" fontId="5" fillId="7" borderId="14" xfId="0" applyNumberFormat="1" applyFont="1" applyFill="1" applyBorder="1" applyAlignment="1" applyProtection="1">
      <alignment horizontal="center" vertical="center"/>
      <protection hidden="1"/>
    </xf>
    <xf numFmtId="167" fontId="8" fillId="0" borderId="14" xfId="0" applyNumberFormat="1" applyFont="1" applyBorder="1" applyAlignment="1" applyProtection="1">
      <alignment horizontal="center" vertical="center"/>
      <protection hidden="1"/>
    </xf>
    <xf numFmtId="167" fontId="8" fillId="7" borderId="14" xfId="0" applyNumberFormat="1" applyFont="1" applyFill="1" applyBorder="1" applyAlignment="1" applyProtection="1">
      <alignment horizontal="center" vertical="center"/>
      <protection hidden="1"/>
    </xf>
    <xf numFmtId="0" fontId="0" fillId="0" borderId="0" xfId="0"/>
    <xf numFmtId="164" fontId="17" fillId="9" borderId="14" xfId="0" applyNumberFormat="1" applyFont="1" applyFill="1" applyBorder="1" applyAlignment="1" applyProtection="1">
      <alignment horizontal="center" vertical="center"/>
      <protection locked="0"/>
    </xf>
    <xf numFmtId="0" fontId="17" fillId="0" borderId="31" xfId="0" applyFont="1" applyBorder="1" applyAlignment="1" applyProtection="1">
      <alignment vertical="center"/>
      <protection locked="0"/>
    </xf>
    <xf numFmtId="0" fontId="55" fillId="0" borderId="31" xfId="0" applyFont="1" applyBorder="1" applyAlignment="1" applyProtection="1">
      <alignment vertical="center"/>
      <protection locked="0"/>
    </xf>
    <xf numFmtId="0" fontId="17" fillId="0" borderId="28" xfId="0" applyFont="1" applyBorder="1" applyAlignment="1" applyProtection="1">
      <alignment vertical="center"/>
      <protection locked="0"/>
    </xf>
    <xf numFmtId="0" fontId="55" fillId="0" borderId="28" xfId="0" applyFont="1" applyBorder="1" applyAlignment="1" applyProtection="1">
      <alignment vertical="center"/>
      <protection locked="0"/>
    </xf>
    <xf numFmtId="0" fontId="0" fillId="3" borderId="0" xfId="0" applyFill="1" applyBorder="1"/>
    <xf numFmtId="0" fontId="4" fillId="0" borderId="28" xfId="0" applyFont="1" applyBorder="1"/>
    <xf numFmtId="0" fontId="31" fillId="0" borderId="28" xfId="0" applyFont="1" applyBorder="1" applyAlignment="1">
      <alignment vertical="center"/>
    </xf>
    <xf numFmtId="0" fontId="32" fillId="0" borderId="28" xfId="0" applyFont="1" applyBorder="1" applyAlignment="1">
      <alignment vertical="center"/>
    </xf>
    <xf numFmtId="0" fontId="6" fillId="0" borderId="28" xfId="0" applyFont="1" applyBorder="1" applyAlignment="1">
      <alignment vertical="center"/>
    </xf>
    <xf numFmtId="0" fontId="17" fillId="0" borderId="13" xfId="0" applyFont="1" applyBorder="1" applyAlignment="1" applyProtection="1">
      <alignment vertical="center"/>
      <protection locked="0"/>
    </xf>
    <xf numFmtId="0" fontId="4" fillId="0" borderId="0" xfId="0" applyFont="1" applyBorder="1"/>
    <xf numFmtId="0" fontId="6" fillId="0" borderId="0" xfId="0" applyFont="1" applyBorder="1" applyAlignment="1">
      <alignment vertical="center"/>
    </xf>
    <xf numFmtId="0" fontId="17" fillId="0" borderId="0" xfId="0" applyFont="1" applyBorder="1" applyAlignment="1" applyProtection="1">
      <alignment vertical="center"/>
      <protection locked="0"/>
    </xf>
    <xf numFmtId="0" fontId="17" fillId="0" borderId="29" xfId="0" applyFont="1" applyBorder="1" applyAlignment="1" applyProtection="1">
      <alignment vertical="center"/>
      <protection locked="0"/>
    </xf>
    <xf numFmtId="0" fontId="17" fillId="0" borderId="0" xfId="0" applyFont="1" applyBorder="1"/>
    <xf numFmtId="0" fontId="17" fillId="0" borderId="0" xfId="0" applyFont="1" applyBorder="1" applyAlignment="1">
      <alignment vertical="center"/>
    </xf>
    <xf numFmtId="0" fontId="55" fillId="0" borderId="0" xfId="0" applyFont="1" applyBorder="1" applyAlignment="1" applyProtection="1">
      <alignment vertical="center"/>
      <protection locked="0"/>
    </xf>
    <xf numFmtId="0" fontId="17" fillId="0" borderId="0" xfId="0" applyFont="1" applyBorder="1" applyAlignment="1" applyProtection="1">
      <alignment horizontal="left" vertical="center"/>
      <protection locked="0"/>
    </xf>
    <xf numFmtId="3" fontId="17" fillId="0" borderId="0" xfId="0" applyNumberFormat="1" applyFont="1" applyBorder="1" applyAlignment="1" applyProtection="1">
      <alignment vertical="center"/>
      <protection hidden="1"/>
    </xf>
    <xf numFmtId="0" fontId="17" fillId="0" borderId="0" xfId="0" applyFont="1" applyBorder="1" applyAlignment="1">
      <alignment horizontal="left" vertical="center"/>
    </xf>
    <xf numFmtId="0" fontId="17" fillId="0" borderId="29" xfId="0" applyFont="1" applyBorder="1" applyAlignment="1">
      <alignment vertical="center"/>
    </xf>
    <xf numFmtId="0" fontId="17" fillId="0" borderId="32" xfId="0" applyFont="1" applyBorder="1" applyAlignment="1" applyProtection="1">
      <alignment vertical="center"/>
      <protection locked="0"/>
    </xf>
    <xf numFmtId="0" fontId="48" fillId="0" borderId="0" xfId="0" applyNumberFormat="1" applyFont="1" applyBorder="1" applyAlignment="1" applyProtection="1">
      <alignment vertical="center"/>
      <protection locked="0"/>
    </xf>
    <xf numFmtId="0" fontId="103" fillId="0" borderId="0" xfId="0" applyNumberFormat="1" applyFont="1" applyBorder="1" applyAlignment="1" applyProtection="1">
      <alignment vertical="center"/>
      <protection locked="0"/>
    </xf>
    <xf numFmtId="0" fontId="48" fillId="0" borderId="29" xfId="0" applyNumberFormat="1" applyFont="1" applyBorder="1" applyAlignment="1" applyProtection="1">
      <alignment vertical="center"/>
      <protection locked="0"/>
    </xf>
    <xf numFmtId="0" fontId="17" fillId="0" borderId="31" xfId="0" applyFont="1" applyBorder="1" applyAlignment="1" applyProtection="1">
      <alignment horizontal="left" vertical="center"/>
      <protection locked="0"/>
    </xf>
    <xf numFmtId="0" fontId="5" fillId="0" borderId="0" xfId="0" applyFont="1" applyBorder="1" applyAlignment="1">
      <alignment horizontal="center"/>
    </xf>
    <xf numFmtId="3" fontId="6" fillId="0" borderId="0" xfId="0" applyNumberFormat="1" applyFont="1" applyBorder="1"/>
    <xf numFmtId="3" fontId="6" fillId="0" borderId="0" xfId="0" applyNumberFormat="1" applyFont="1" applyBorder="1" applyProtection="1">
      <protection hidden="1"/>
    </xf>
    <xf numFmtId="3" fontId="7" fillId="0" borderId="0" xfId="0" applyNumberFormat="1" applyFont="1" applyBorder="1" applyProtection="1">
      <protection hidden="1"/>
    </xf>
    <xf numFmtId="0" fontId="33" fillId="0" borderId="27" xfId="0" applyFont="1" applyBorder="1"/>
    <xf numFmtId="0" fontId="59" fillId="0" borderId="19" xfId="0" applyFont="1" applyBorder="1"/>
    <xf numFmtId="0" fontId="17" fillId="0" borderId="19" xfId="0" applyFont="1" applyBorder="1" applyAlignment="1" applyProtection="1">
      <alignment horizontal="left" vertical="center"/>
      <protection locked="0"/>
    </xf>
    <xf numFmtId="0" fontId="16" fillId="0" borderId="19" xfId="0" applyFont="1" applyBorder="1" applyAlignment="1">
      <alignment horizontal="left" vertical="center"/>
    </xf>
    <xf numFmtId="0" fontId="16" fillId="0" borderId="19" xfId="0" applyFont="1" applyBorder="1" applyAlignment="1" applyProtection="1">
      <alignment horizontal="left" vertical="center"/>
      <protection locked="0"/>
    </xf>
    <xf numFmtId="0" fontId="16" fillId="0" borderId="19" xfId="0" applyFont="1" applyBorder="1" applyAlignment="1" applyProtection="1">
      <alignment vertical="center"/>
      <protection locked="0"/>
    </xf>
    <xf numFmtId="0" fontId="59" fillId="0" borderId="19" xfId="0" applyFont="1" applyBorder="1" applyAlignment="1">
      <alignment horizontal="left" vertical="center"/>
    </xf>
    <xf numFmtId="0" fontId="102" fillId="0" borderId="19" xfId="0" applyNumberFormat="1" applyFont="1" applyBorder="1" applyAlignment="1" applyProtection="1">
      <alignment vertical="center"/>
      <protection locked="0"/>
    </xf>
    <xf numFmtId="0" fontId="17" fillId="0" borderId="30" xfId="0" applyFont="1" applyBorder="1" applyAlignment="1" applyProtection="1">
      <alignment horizontal="left" vertical="center"/>
      <protection locked="0"/>
    </xf>
    <xf numFmtId="0" fontId="54" fillId="0" borderId="19" xfId="0" applyFont="1" applyBorder="1" applyAlignment="1" applyProtection="1">
      <alignment horizontal="left" vertical="center"/>
    </xf>
    <xf numFmtId="0" fontId="17" fillId="0" borderId="0" xfId="0" applyFont="1" applyBorder="1" applyAlignment="1" applyProtection="1">
      <alignment horizontal="left" vertical="center"/>
    </xf>
    <xf numFmtId="0" fontId="17" fillId="0" borderId="0" xfId="0" applyFont="1" applyBorder="1" applyAlignment="1" applyProtection="1">
      <alignment vertical="center"/>
    </xf>
    <xf numFmtId="0" fontId="55" fillId="0" borderId="0" xfId="0" applyFont="1" applyBorder="1" applyAlignment="1" applyProtection="1">
      <alignment vertical="center"/>
    </xf>
    <xf numFmtId="0" fontId="17" fillId="0" borderId="29" xfId="0" applyFont="1" applyBorder="1" applyAlignment="1" applyProtection="1">
      <alignment vertical="center"/>
    </xf>
    <xf numFmtId="0" fontId="17" fillId="0" borderId="19" xfId="0" applyFont="1" applyBorder="1" applyAlignment="1" applyProtection="1">
      <alignment vertical="center"/>
    </xf>
    <xf numFmtId="0" fontId="59" fillId="0" borderId="19" xfId="0" applyFont="1" applyBorder="1" applyAlignment="1" applyProtection="1">
      <alignment horizontal="left" vertical="center"/>
    </xf>
    <xf numFmtId="0" fontId="0" fillId="0" borderId="28" xfId="0" applyBorder="1" applyAlignment="1">
      <alignment vertical="center"/>
    </xf>
    <xf numFmtId="0" fontId="0" fillId="0" borderId="13" xfId="0" applyBorder="1" applyAlignment="1">
      <alignment vertical="center"/>
    </xf>
    <xf numFmtId="0" fontId="17" fillId="0" borderId="19" xfId="1" applyFont="1" applyBorder="1" applyAlignment="1">
      <alignment vertical="center"/>
      <protection locked="0"/>
    </xf>
    <xf numFmtId="0" fontId="17" fillId="0" borderId="0" xfId="1" applyFont="1" applyBorder="1" applyAlignment="1">
      <alignment vertical="center"/>
      <protection locked="0"/>
    </xf>
    <xf numFmtId="0" fontId="17" fillId="0" borderId="19" xfId="0" applyFont="1" applyBorder="1" applyAlignment="1" applyProtection="1">
      <alignment vertical="center"/>
      <protection hidden="1"/>
    </xf>
    <xf numFmtId="0" fontId="17" fillId="0" borderId="0" xfId="0" applyFont="1" applyBorder="1" applyAlignment="1" applyProtection="1">
      <alignment vertical="center"/>
      <protection hidden="1"/>
    </xf>
    <xf numFmtId="0" fontId="17" fillId="0" borderId="29" xfId="0" applyFont="1" applyBorder="1" applyAlignment="1" applyProtection="1">
      <alignment vertical="center"/>
      <protection hidden="1"/>
    </xf>
    <xf numFmtId="0" fontId="17" fillId="0" borderId="30" xfId="0" applyFont="1" applyBorder="1" applyAlignment="1" applyProtection="1">
      <alignment vertical="center"/>
      <protection locked="0"/>
    </xf>
    <xf numFmtId="0" fontId="0" fillId="0" borderId="0" xfId="0" applyProtection="1"/>
    <xf numFmtId="0" fontId="33" fillId="0" borderId="0" xfId="0" applyFont="1" applyProtection="1"/>
    <xf numFmtId="0" fontId="7" fillId="0" borderId="31" xfId="0" applyFont="1" applyBorder="1" applyAlignment="1" applyProtection="1">
      <alignment vertical="center"/>
    </xf>
    <xf numFmtId="0" fontId="7" fillId="0" borderId="0" xfId="0" applyFont="1" applyAlignment="1" applyProtection="1">
      <alignment vertical="center"/>
    </xf>
    <xf numFmtId="0" fontId="17" fillId="0" borderId="0" xfId="0" applyFont="1" applyProtection="1"/>
    <xf numFmtId="3" fontId="6" fillId="3" borderId="0" xfId="0" applyNumberFormat="1" applyFont="1" applyFill="1" applyBorder="1" applyProtection="1">
      <protection hidden="1"/>
    </xf>
    <xf numFmtId="0" fontId="0" fillId="3" borderId="0" xfId="0" applyFill="1" applyBorder="1" applyProtection="1">
      <protection hidden="1"/>
    </xf>
    <xf numFmtId="0" fontId="5" fillId="3" borderId="0" xfId="0" applyFont="1" applyFill="1" applyBorder="1" applyAlignment="1">
      <alignment horizontal="center"/>
    </xf>
    <xf numFmtId="1" fontId="7" fillId="3" borderId="0" xfId="0" applyNumberFormat="1" applyFont="1" applyFill="1" applyBorder="1" applyAlignment="1" applyProtection="1">
      <alignment horizontal="center"/>
      <protection hidden="1"/>
    </xf>
    <xf numFmtId="3" fontId="6" fillId="3" borderId="0" xfId="0" applyNumberFormat="1" applyFont="1" applyFill="1" applyBorder="1" applyAlignment="1" applyProtection="1">
      <alignment horizontal="right"/>
      <protection hidden="1"/>
    </xf>
    <xf numFmtId="3" fontId="17" fillId="0" borderId="0" xfId="0" applyNumberFormat="1" applyFont="1" applyBorder="1" applyAlignment="1" applyProtection="1">
      <alignment horizontal="right"/>
      <protection locked="0"/>
    </xf>
    <xf numFmtId="0" fontId="17" fillId="0" borderId="19" xfId="0" applyNumberFormat="1" applyFont="1" applyBorder="1" applyAlignment="1" applyProtection="1">
      <alignment vertical="center"/>
      <protection locked="0"/>
    </xf>
    <xf numFmtId="0" fontId="17" fillId="0" borderId="19" xfId="0" applyFont="1" applyBorder="1" applyAlignment="1">
      <alignment vertical="center"/>
    </xf>
    <xf numFmtId="0" fontId="73" fillId="0" borderId="0" xfId="0" applyFont="1" applyBorder="1" applyAlignment="1" applyProtection="1">
      <alignment vertical="center"/>
      <protection locked="0"/>
    </xf>
    <xf numFmtId="0" fontId="17" fillId="0" borderId="19" xfId="0" applyFont="1" applyBorder="1"/>
    <xf numFmtId="0" fontId="0" fillId="0" borderId="0" xfId="0"/>
    <xf numFmtId="3" fontId="17" fillId="0" borderId="14" xfId="0" applyNumberFormat="1" applyFont="1" applyBorder="1" applyAlignment="1">
      <alignment horizontal="center" vertical="center"/>
    </xf>
    <xf numFmtId="0" fontId="4" fillId="0" borderId="13" xfId="0" applyFont="1" applyBorder="1"/>
    <xf numFmtId="0" fontId="17" fillId="0" borderId="19" xfId="0" applyFont="1" applyBorder="1" applyAlignment="1">
      <alignment horizontal="left" vertical="center"/>
    </xf>
    <xf numFmtId="0" fontId="17" fillId="0" borderId="29" xfId="0" applyFont="1" applyBorder="1" applyAlignment="1">
      <alignment horizontal="left" vertical="center"/>
    </xf>
    <xf numFmtId="0" fontId="17" fillId="3" borderId="19" xfId="0" applyFont="1" applyFill="1" applyBorder="1" applyAlignment="1" applyProtection="1">
      <alignment vertical="center"/>
      <protection locked="0"/>
    </xf>
    <xf numFmtId="0" fontId="17" fillId="3" borderId="0" xfId="0" applyFont="1" applyFill="1" applyBorder="1" applyAlignment="1" applyProtection="1">
      <alignment vertical="center"/>
      <protection locked="0"/>
    </xf>
    <xf numFmtId="0" fontId="0" fillId="0" borderId="0" xfId="0" applyBorder="1" applyProtection="1"/>
    <xf numFmtId="0" fontId="17" fillId="0" borderId="29" xfId="0" applyFont="1" applyBorder="1"/>
    <xf numFmtId="0" fontId="116" fillId="0" borderId="0" xfId="0" applyFont="1" applyAlignment="1" applyProtection="1">
      <alignment horizontal="center" vertical="center"/>
    </xf>
    <xf numFmtId="0" fontId="4" fillId="0" borderId="0" xfId="0" applyFont="1" applyProtection="1"/>
    <xf numFmtId="0" fontId="4" fillId="0" borderId="0" xfId="0" applyFont="1" applyBorder="1" applyAlignment="1" applyProtection="1">
      <alignment vertical="center"/>
    </xf>
    <xf numFmtId="0" fontId="4" fillId="0" borderId="0" xfId="0" applyFont="1" applyAlignment="1" applyProtection="1">
      <alignment vertical="center"/>
    </xf>
    <xf numFmtId="9" fontId="6" fillId="3" borderId="0" xfId="0" applyNumberFormat="1" applyFont="1" applyFill="1" applyAlignment="1" applyProtection="1">
      <alignment horizontal="right"/>
    </xf>
    <xf numFmtId="0" fontId="12" fillId="3" borderId="0" xfId="0" applyFont="1" applyFill="1" applyProtection="1"/>
    <xf numFmtId="0" fontId="0" fillId="3" borderId="0" xfId="0" applyFill="1" applyProtection="1"/>
    <xf numFmtId="167" fontId="6" fillId="3" borderId="0" xfId="0" applyNumberFormat="1" applyFont="1" applyFill="1" applyProtection="1"/>
    <xf numFmtId="9" fontId="6" fillId="3" borderId="28" xfId="0" applyNumberFormat="1" applyFont="1" applyFill="1" applyBorder="1" applyAlignment="1">
      <alignment horizontal="right"/>
    </xf>
    <xf numFmtId="167" fontId="6" fillId="3" borderId="28" xfId="0" applyNumberFormat="1" applyFont="1" applyFill="1" applyBorder="1"/>
    <xf numFmtId="0" fontId="0" fillId="3" borderId="28" xfId="0" applyFill="1" applyBorder="1"/>
    <xf numFmtId="0" fontId="0" fillId="3" borderId="13" xfId="0" applyFill="1" applyBorder="1"/>
    <xf numFmtId="0" fontId="17" fillId="3" borderId="29" xfId="0" applyFont="1" applyFill="1" applyBorder="1" applyAlignment="1" applyProtection="1">
      <alignment vertical="center"/>
      <protection locked="0"/>
    </xf>
    <xf numFmtId="0" fontId="17" fillId="3" borderId="19" xfId="0" applyFont="1" applyFill="1" applyBorder="1" applyAlignment="1">
      <alignment vertical="center"/>
    </xf>
    <xf numFmtId="0" fontId="17" fillId="3" borderId="0" xfId="0" applyFont="1" applyFill="1" applyBorder="1" applyAlignment="1">
      <alignment vertical="center"/>
    </xf>
    <xf numFmtId="0" fontId="17" fillId="3" borderId="29" xfId="0" applyFont="1" applyFill="1" applyBorder="1" applyAlignment="1">
      <alignment vertical="center"/>
    </xf>
    <xf numFmtId="0" fontId="17" fillId="3" borderId="19" xfId="2" applyNumberFormat="1" applyFont="1" applyFill="1" applyBorder="1" applyAlignment="1" applyProtection="1">
      <alignment vertical="center"/>
      <protection locked="0"/>
    </xf>
    <xf numFmtId="0" fontId="17" fillId="3" borderId="30" xfId="0" applyFont="1" applyFill="1" applyBorder="1" applyAlignment="1" applyProtection="1">
      <alignment vertical="center"/>
      <protection locked="0"/>
    </xf>
    <xf numFmtId="0" fontId="17" fillId="3" borderId="31" xfId="0" applyFont="1" applyFill="1" applyBorder="1" applyAlignment="1" applyProtection="1">
      <alignment vertical="center"/>
      <protection locked="0"/>
    </xf>
    <xf numFmtId="0" fontId="6" fillId="3" borderId="28" xfId="0" applyFont="1" applyFill="1" applyBorder="1" applyAlignment="1">
      <alignment vertical="center"/>
    </xf>
    <xf numFmtId="0" fontId="0" fillId="3" borderId="28" xfId="0" applyFill="1" applyBorder="1" applyAlignment="1">
      <alignment vertical="center"/>
    </xf>
    <xf numFmtId="0" fontId="0" fillId="3" borderId="13" xfId="0" applyFill="1" applyBorder="1" applyAlignment="1">
      <alignment vertical="center"/>
    </xf>
    <xf numFmtId="0" fontId="59" fillId="0" borderId="0" xfId="0" applyFont="1" applyBorder="1" applyAlignment="1">
      <alignment horizontal="left" vertical="center"/>
    </xf>
    <xf numFmtId="9" fontId="17" fillId="0" borderId="0" xfId="0" applyNumberFormat="1" applyFont="1" applyBorder="1" applyAlignment="1">
      <alignment horizontal="left" vertical="center"/>
    </xf>
    <xf numFmtId="0" fontId="17" fillId="0" borderId="28" xfId="0" applyFont="1" applyBorder="1" applyAlignment="1">
      <alignment vertical="center"/>
    </xf>
    <xf numFmtId="0" fontId="17" fillId="0" borderId="29" xfId="0" applyNumberFormat="1" applyFont="1" applyBorder="1" applyAlignment="1" applyProtection="1">
      <alignment vertical="center"/>
      <protection locked="0"/>
    </xf>
    <xf numFmtId="0" fontId="55" fillId="3" borderId="0" xfId="0" applyFont="1" applyFill="1" applyBorder="1" applyAlignment="1" applyProtection="1">
      <alignment vertical="center"/>
      <protection locked="0"/>
    </xf>
    <xf numFmtId="0" fontId="55" fillId="3" borderId="29" xfId="0" applyFont="1" applyFill="1" applyBorder="1" applyAlignment="1" applyProtection="1">
      <alignment vertical="center"/>
      <protection locked="0"/>
    </xf>
    <xf numFmtId="164" fontId="17" fillId="9" borderId="63" xfId="0" applyNumberFormat="1" applyFont="1" applyFill="1" applyBorder="1" applyAlignment="1" applyProtection="1">
      <alignment horizontal="center" vertical="center"/>
      <protection locked="0"/>
    </xf>
    <xf numFmtId="0" fontId="0" fillId="0" borderId="0" xfId="0"/>
    <xf numFmtId="3" fontId="16" fillId="0" borderId="14" xfId="0" applyNumberFormat="1" applyFont="1" applyBorder="1" applyAlignment="1" applyProtection="1">
      <alignment horizontal="center" vertical="center"/>
      <protection hidden="1"/>
    </xf>
    <xf numFmtId="3" fontId="17" fillId="11" borderId="14" xfId="0" applyNumberFormat="1" applyFont="1" applyFill="1" applyBorder="1" applyAlignment="1" applyProtection="1">
      <alignment horizontal="center" vertical="center"/>
      <protection locked="0"/>
    </xf>
    <xf numFmtId="0" fontId="90" fillId="0" borderId="0" xfId="0" applyFont="1" applyBorder="1" applyAlignment="1">
      <alignment vertical="center"/>
    </xf>
    <xf numFmtId="0" fontId="58" fillId="0" borderId="0" xfId="0" applyFont="1" applyBorder="1" applyAlignment="1">
      <alignment vertical="center"/>
    </xf>
    <xf numFmtId="0" fontId="117" fillId="30" borderId="1" xfId="0" applyFont="1" applyFill="1" applyBorder="1" applyAlignment="1">
      <alignment horizontal="center" vertical="center"/>
    </xf>
    <xf numFmtId="0" fontId="118" fillId="0" borderId="0" xfId="0" applyFont="1" applyAlignment="1">
      <alignment horizontal="left" vertical="center"/>
    </xf>
    <xf numFmtId="0" fontId="109" fillId="30" borderId="21" xfId="0" applyFont="1" applyFill="1" applyBorder="1" applyAlignment="1">
      <alignment horizontal="center" vertical="center"/>
    </xf>
    <xf numFmtId="0" fontId="117" fillId="30" borderId="77" xfId="0" applyFont="1" applyFill="1" applyBorder="1" applyAlignment="1">
      <alignment horizontal="center" vertical="center" wrapText="1"/>
    </xf>
    <xf numFmtId="0" fontId="109" fillId="30" borderId="21" xfId="0" applyFont="1" applyFill="1" applyBorder="1" applyAlignment="1">
      <alignment horizontal="center"/>
    </xf>
    <xf numFmtId="0" fontId="117" fillId="30" borderId="22" xfId="0" applyFont="1" applyFill="1" applyBorder="1" applyAlignment="1">
      <alignment horizontal="center" vertical="center" wrapText="1"/>
    </xf>
    <xf numFmtId="17" fontId="110" fillId="30" borderId="73" xfId="0" applyNumberFormat="1" applyFont="1" applyFill="1" applyBorder="1" applyAlignment="1">
      <alignment horizontal="center" vertical="center"/>
    </xf>
    <xf numFmtId="17" fontId="110" fillId="30" borderId="73" xfId="0" applyNumberFormat="1" applyFont="1" applyFill="1" applyBorder="1" applyAlignment="1" applyProtection="1">
      <alignment horizontal="center" vertical="center"/>
      <protection hidden="1"/>
    </xf>
    <xf numFmtId="0" fontId="110" fillId="30" borderId="77" xfId="0" applyFont="1" applyFill="1" applyBorder="1" applyAlignment="1" applyProtection="1">
      <alignment horizontal="center" vertical="center"/>
      <protection hidden="1"/>
    </xf>
    <xf numFmtId="0" fontId="110" fillId="30" borderId="7" xfId="0" applyFont="1" applyFill="1" applyBorder="1" applyAlignment="1">
      <alignment horizontal="center" vertical="center"/>
    </xf>
    <xf numFmtId="0" fontId="17" fillId="0" borderId="14" xfId="0" applyFont="1" applyBorder="1" applyAlignment="1">
      <alignment horizontal="center"/>
    </xf>
    <xf numFmtId="3" fontId="59" fillId="12" borderId="63" xfId="0" applyNumberFormat="1" applyFont="1" applyFill="1" applyBorder="1" applyAlignment="1" applyProtection="1">
      <alignment horizontal="center" vertical="center"/>
      <protection hidden="1"/>
    </xf>
    <xf numFmtId="0" fontId="7" fillId="12" borderId="10" xfId="0" applyFont="1" applyFill="1" applyBorder="1" applyAlignment="1">
      <alignment vertical="center"/>
    </xf>
    <xf numFmtId="0" fontId="0" fillId="0" borderId="0" xfId="0"/>
    <xf numFmtId="0" fontId="5" fillId="0" borderId="0" xfId="0" applyFont="1" applyBorder="1" applyAlignment="1">
      <alignment horizontal="left" vertical="center"/>
    </xf>
    <xf numFmtId="3" fontId="7" fillId="3" borderId="0" xfId="0" applyNumberFormat="1" applyFont="1" applyFill="1" applyBorder="1" applyAlignment="1" applyProtection="1">
      <alignment horizontal="left" vertical="center"/>
      <protection hidden="1"/>
    </xf>
    <xf numFmtId="9" fontId="6" fillId="3" borderId="0" xfId="0" applyNumberFormat="1" applyFont="1" applyFill="1" applyBorder="1" applyAlignment="1">
      <alignment horizontal="right"/>
    </xf>
    <xf numFmtId="0" fontId="12" fillId="3" borderId="0" xfId="0" applyFont="1" applyFill="1" applyBorder="1"/>
    <xf numFmtId="0" fontId="7" fillId="0" borderId="0" xfId="0" applyFont="1" applyAlignment="1">
      <alignment horizontal="right"/>
    </xf>
    <xf numFmtId="0" fontId="7" fillId="0" borderId="31" xfId="0" applyFont="1" applyBorder="1" applyAlignment="1">
      <alignment horizontal="left" vertical="center"/>
    </xf>
    <xf numFmtId="3" fontId="16" fillId="0" borderId="14" xfId="0" applyNumberFormat="1" applyFont="1" applyBorder="1" applyAlignment="1" applyProtection="1">
      <alignment horizontal="center" vertical="center"/>
      <protection hidden="1"/>
    </xf>
    <xf numFmtId="3" fontId="17" fillId="0" borderId="14" xfId="0" applyNumberFormat="1" applyFont="1" applyBorder="1" applyAlignment="1" applyProtection="1">
      <alignment horizontal="center" vertical="center"/>
      <protection hidden="1"/>
    </xf>
    <xf numFmtId="1" fontId="109" fillId="30" borderId="68" xfId="0" applyNumberFormat="1" applyFont="1" applyFill="1" applyBorder="1" applyAlignment="1" applyProtection="1">
      <alignment horizontal="center"/>
      <protection hidden="1"/>
    </xf>
    <xf numFmtId="1" fontId="109" fillId="30" borderId="44" xfId="0" applyNumberFormat="1" applyFont="1" applyFill="1" applyBorder="1" applyAlignment="1" applyProtection="1">
      <alignment horizontal="center"/>
      <protection hidden="1"/>
    </xf>
    <xf numFmtId="0" fontId="119" fillId="0" borderId="19"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55" fillId="0" borderId="0" xfId="0" applyFont="1" applyFill="1" applyBorder="1" applyAlignment="1" applyProtection="1">
      <alignment vertical="center"/>
      <protection locked="0"/>
    </xf>
    <xf numFmtId="0" fontId="17" fillId="0" borderId="29" xfId="0" applyFont="1" applyFill="1" applyBorder="1" applyAlignment="1" applyProtection="1">
      <alignment vertical="center"/>
      <protection locked="0"/>
    </xf>
    <xf numFmtId="0" fontId="119" fillId="0" borderId="19" xfId="0" applyFont="1" applyBorder="1" applyAlignment="1" applyProtection="1">
      <alignment vertical="center"/>
      <protection locked="0"/>
    </xf>
    <xf numFmtId="0" fontId="119" fillId="0" borderId="30" xfId="0" applyFont="1" applyBorder="1" applyAlignment="1" applyProtection="1">
      <alignment vertical="center"/>
      <protection locked="0"/>
    </xf>
    <xf numFmtId="0" fontId="73" fillId="0" borderId="31" xfId="0" applyFont="1" applyBorder="1" applyAlignment="1" applyProtection="1">
      <alignment vertical="center"/>
      <protection locked="0"/>
    </xf>
    <xf numFmtId="0" fontId="47" fillId="0" borderId="33" xfId="0" applyFont="1" applyBorder="1" applyAlignment="1">
      <alignment vertical="center"/>
    </xf>
    <xf numFmtId="0" fontId="0" fillId="0" borderId="12" xfId="0" applyBorder="1" applyAlignment="1">
      <alignment vertical="center"/>
    </xf>
    <xf numFmtId="1" fontId="16" fillId="0" borderId="33" xfId="0" applyNumberFormat="1" applyFont="1" applyBorder="1" applyAlignment="1">
      <alignment horizontal="center"/>
    </xf>
    <xf numFmtId="1" fontId="16" fillId="0" borderId="115" xfId="0" applyNumberFormat="1" applyFont="1" applyBorder="1" applyAlignment="1">
      <alignment horizontal="center"/>
    </xf>
    <xf numFmtId="1" fontId="16" fillId="0" borderId="30" xfId="0" applyNumberFormat="1" applyFont="1" applyBorder="1" applyAlignment="1">
      <alignment horizontal="center"/>
    </xf>
    <xf numFmtId="0" fontId="16" fillId="0" borderId="31" xfId="0" applyFont="1" applyBorder="1" applyAlignment="1" applyProtection="1">
      <alignment horizontal="left"/>
      <protection hidden="1"/>
    </xf>
    <xf numFmtId="0" fontId="109" fillId="30" borderId="0" xfId="0" applyFont="1" applyFill="1" applyBorder="1" applyProtection="1">
      <protection hidden="1"/>
    </xf>
    <xf numFmtId="0" fontId="95" fillId="30" borderId="0" xfId="0" applyFont="1" applyFill="1" applyBorder="1" applyAlignment="1" applyProtection="1">
      <alignment horizontal="left"/>
      <protection hidden="1"/>
    </xf>
    <xf numFmtId="3" fontId="17" fillId="0" borderId="68" xfId="0" applyNumberFormat="1" applyFont="1" applyBorder="1" applyAlignment="1" applyProtection="1">
      <alignment horizontal="center" vertical="center"/>
      <protection hidden="1"/>
    </xf>
    <xf numFmtId="3" fontId="17" fillId="0" borderId="31" xfId="0" applyNumberFormat="1" applyFont="1" applyBorder="1" applyAlignment="1" applyProtection="1">
      <alignment vertical="center"/>
      <protection hidden="1"/>
    </xf>
    <xf numFmtId="0" fontId="95" fillId="30" borderId="0" xfId="0" applyFont="1" applyFill="1" applyBorder="1" applyAlignment="1" applyProtection="1">
      <alignment vertical="center"/>
      <protection hidden="1"/>
    </xf>
    <xf numFmtId="3" fontId="112" fillId="30" borderId="0" xfId="0" applyNumberFormat="1" applyFont="1" applyFill="1" applyBorder="1" applyAlignment="1" applyProtection="1">
      <alignment vertical="center"/>
      <protection hidden="1"/>
    </xf>
    <xf numFmtId="3" fontId="95" fillId="30" borderId="0" xfId="0" applyNumberFormat="1" applyFont="1" applyFill="1" applyBorder="1" applyAlignment="1" applyProtection="1">
      <alignment vertical="center"/>
      <protection hidden="1"/>
    </xf>
    <xf numFmtId="3" fontId="16" fillId="0" borderId="11" xfId="0" applyNumberFormat="1" applyFont="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left" vertical="center"/>
      <protection hidden="1"/>
    </xf>
    <xf numFmtId="164" fontId="16" fillId="0" borderId="0" xfId="2" applyNumberFormat="1" applyFont="1" applyFill="1" applyBorder="1" applyAlignment="1" applyProtection="1">
      <alignment horizontal="center" vertical="center"/>
      <protection hidden="1"/>
    </xf>
    <xf numFmtId="164" fontId="16" fillId="0" borderId="0" xfId="2" applyNumberFormat="1" applyFont="1" applyBorder="1" applyAlignment="1" applyProtection="1">
      <alignment horizontal="center" vertical="center"/>
      <protection hidden="1"/>
    </xf>
    <xf numFmtId="0" fontId="16" fillId="0" borderId="116" xfId="0" applyFont="1" applyBorder="1" applyAlignment="1">
      <alignment horizontal="center" vertical="center"/>
    </xf>
    <xf numFmtId="0" fontId="16" fillId="0" borderId="19" xfId="0" applyFont="1" applyFill="1" applyBorder="1" applyAlignment="1">
      <alignment horizontal="center" vertical="center"/>
    </xf>
    <xf numFmtId="0" fontId="16" fillId="0" borderId="30" xfId="0" applyFont="1" applyFill="1" applyBorder="1" applyAlignment="1" applyProtection="1">
      <alignment horizontal="center" vertical="center"/>
      <protection hidden="1"/>
    </xf>
    <xf numFmtId="3" fontId="17" fillId="0" borderId="118" xfId="0" applyNumberFormat="1" applyFont="1" applyBorder="1" applyAlignment="1" applyProtection="1">
      <alignment horizontal="center" vertical="center"/>
      <protection hidden="1"/>
    </xf>
    <xf numFmtId="165" fontId="16" fillId="0" borderId="118" xfId="0" applyNumberFormat="1" applyFont="1" applyFill="1" applyBorder="1" applyAlignment="1" applyProtection="1">
      <alignment horizontal="center" vertical="center"/>
      <protection hidden="1"/>
    </xf>
    <xf numFmtId="164" fontId="16" fillId="0" borderId="118" xfId="2" applyNumberFormat="1" applyFont="1" applyFill="1" applyBorder="1" applyAlignment="1" applyProtection="1">
      <alignment horizontal="center" vertical="center"/>
      <protection hidden="1"/>
    </xf>
    <xf numFmtId="0" fontId="16" fillId="0" borderId="119" xfId="0" applyFont="1" applyBorder="1" applyAlignment="1">
      <alignment horizontal="center" vertical="center"/>
    </xf>
    <xf numFmtId="0" fontId="16" fillId="0" borderId="119" xfId="0" applyFont="1" applyFill="1" applyBorder="1" applyAlignment="1">
      <alignment horizontal="center" vertical="center"/>
    </xf>
    <xf numFmtId="0" fontId="16" fillId="0" borderId="119" xfId="0" applyFont="1" applyFill="1" applyBorder="1" applyAlignment="1" applyProtection="1">
      <alignment horizontal="center" vertical="center"/>
      <protection hidden="1"/>
    </xf>
    <xf numFmtId="0" fontId="16" fillId="0" borderId="119" xfId="0" applyFont="1" applyBorder="1" applyAlignment="1">
      <alignment vertical="center"/>
    </xf>
    <xf numFmtId="0" fontId="16" fillId="0" borderId="121" xfId="0" applyFont="1" applyBorder="1" applyAlignment="1">
      <alignment vertical="center"/>
    </xf>
    <xf numFmtId="3" fontId="17" fillId="11" borderId="118" xfId="0" applyNumberFormat="1" applyFont="1" applyFill="1" applyBorder="1" applyAlignment="1" applyProtection="1">
      <alignment horizontal="center" vertical="center"/>
      <protection locked="0"/>
    </xf>
    <xf numFmtId="0" fontId="16" fillId="0" borderId="119" xfId="0" applyFont="1" applyBorder="1" applyAlignment="1">
      <alignment horizontal="left" vertical="center"/>
    </xf>
    <xf numFmtId="0" fontId="16" fillId="0" borderId="121" xfId="0" applyFont="1" applyBorder="1" applyAlignment="1">
      <alignment horizontal="left" vertical="center"/>
    </xf>
    <xf numFmtId="3" fontId="16" fillId="0" borderId="118" xfId="0" applyNumberFormat="1" applyFont="1" applyBorder="1" applyAlignment="1" applyProtection="1">
      <alignment horizontal="center" vertical="center"/>
      <protection hidden="1"/>
    </xf>
    <xf numFmtId="0" fontId="5" fillId="0" borderId="8" xfId="0" applyFont="1" applyBorder="1" applyAlignment="1">
      <alignment horizontal="center"/>
    </xf>
    <xf numFmtId="0" fontId="109" fillId="30" borderId="0" xfId="0" applyFont="1" applyFill="1" applyBorder="1" applyAlignment="1">
      <alignment horizontal="center" vertical="center" wrapText="1"/>
    </xf>
    <xf numFmtId="0" fontId="16" fillId="0" borderId="32" xfId="0" applyFont="1" applyBorder="1" applyAlignment="1">
      <alignment horizontal="right" vertical="center" indent="1"/>
    </xf>
    <xf numFmtId="0" fontId="16" fillId="0" borderId="31" xfId="0" applyFont="1" applyBorder="1" applyAlignment="1">
      <alignment horizontal="right" vertical="center" indent="1"/>
    </xf>
    <xf numFmtId="0" fontId="117" fillId="30" borderId="122" xfId="0" applyFont="1" applyFill="1" applyBorder="1" applyAlignment="1">
      <alignment horizontal="center" vertical="center"/>
    </xf>
    <xf numFmtId="1" fontId="5" fillId="0" borderId="0" xfId="0" applyNumberFormat="1" applyFont="1" applyBorder="1" applyAlignment="1">
      <alignment horizontal="center" vertical="center"/>
    </xf>
    <xf numFmtId="164" fontId="8" fillId="11" borderId="119" xfId="0" applyNumberFormat="1" applyFont="1" applyFill="1" applyBorder="1" applyAlignment="1" applyProtection="1">
      <alignment horizontal="center" vertical="center"/>
      <protection locked="0"/>
    </xf>
    <xf numFmtId="164" fontId="8" fillId="11" borderId="118" xfId="0" applyNumberFormat="1" applyFont="1" applyFill="1" applyBorder="1" applyAlignment="1" applyProtection="1">
      <alignment horizontal="center" vertical="center"/>
      <protection locked="0"/>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horizontal="left" vertical="center"/>
      <protection hidden="1"/>
    </xf>
    <xf numFmtId="164" fontId="8" fillId="11" borderId="121" xfId="0" applyNumberFormat="1" applyFont="1" applyFill="1" applyBorder="1" applyAlignment="1" applyProtection="1">
      <alignment horizontal="center" vertical="center"/>
      <protection locked="0"/>
    </xf>
    <xf numFmtId="0" fontId="5" fillId="0" borderId="118" xfId="0" applyFont="1" applyBorder="1" applyAlignment="1">
      <alignment vertical="center"/>
    </xf>
    <xf numFmtId="3" fontId="5" fillId="0" borderId="118" xfId="0" applyNumberFormat="1" applyFont="1" applyBorder="1" applyAlignment="1" applyProtection="1">
      <alignment horizontal="center" vertical="center"/>
      <protection hidden="1"/>
    </xf>
    <xf numFmtId="0" fontId="5" fillId="0" borderId="118" xfId="0" applyFont="1" applyBorder="1" applyAlignment="1" applyProtection="1">
      <alignment vertical="center"/>
      <protection hidden="1"/>
    </xf>
    <xf numFmtId="164" fontId="5" fillId="0" borderId="118" xfId="2" applyNumberFormat="1" applyFont="1" applyBorder="1" applyAlignment="1" applyProtection="1">
      <alignment horizontal="center" vertical="center"/>
      <protection hidden="1"/>
    </xf>
    <xf numFmtId="4" fontId="8" fillId="11" borderId="119" xfId="0" applyNumberFormat="1" applyFont="1" applyFill="1" applyBorder="1" applyAlignment="1" applyProtection="1">
      <alignment horizontal="center" vertical="center"/>
      <protection locked="0"/>
    </xf>
    <xf numFmtId="3" fontId="8" fillId="11" borderId="120" xfId="0" applyNumberFormat="1" applyFont="1" applyFill="1" applyBorder="1" applyAlignment="1" applyProtection="1">
      <alignment horizontal="center" vertical="center"/>
      <protection locked="0"/>
    </xf>
    <xf numFmtId="3" fontId="8" fillId="0" borderId="119" xfId="0" applyNumberFormat="1" applyFont="1" applyBorder="1" applyAlignment="1" applyProtection="1">
      <alignment horizontal="center" vertical="center"/>
      <protection hidden="1"/>
    </xf>
    <xf numFmtId="164" fontId="8" fillId="0" borderId="119" xfId="0" applyNumberFormat="1" applyFont="1" applyBorder="1" applyAlignment="1" applyProtection="1">
      <alignment horizontal="center" vertical="center"/>
      <protection hidden="1"/>
    </xf>
    <xf numFmtId="4" fontId="8" fillId="0" borderId="119" xfId="0" applyNumberFormat="1" applyFont="1" applyBorder="1" applyAlignment="1" applyProtection="1">
      <alignment horizontal="center" vertical="center"/>
      <protection hidden="1"/>
    </xf>
    <xf numFmtId="3" fontId="8" fillId="11" borderId="119" xfId="0" applyNumberFormat="1" applyFont="1" applyFill="1" applyBorder="1" applyAlignment="1" applyProtection="1">
      <alignment horizontal="center" vertical="center"/>
      <protection locked="0"/>
    </xf>
    <xf numFmtId="2" fontId="8" fillId="11" borderId="119" xfId="0" applyNumberFormat="1" applyFont="1" applyFill="1" applyBorder="1" applyAlignment="1" applyProtection="1">
      <alignment horizontal="center" vertical="center"/>
      <protection locked="0"/>
    </xf>
    <xf numFmtId="9" fontId="8" fillId="11" borderId="119" xfId="2" applyFont="1" applyFill="1" applyBorder="1" applyAlignment="1" applyProtection="1">
      <alignment horizontal="center" vertical="center"/>
      <protection locked="0"/>
    </xf>
    <xf numFmtId="3" fontId="8" fillId="0" borderId="119" xfId="0" applyNumberFormat="1" applyFont="1" applyFill="1" applyBorder="1" applyAlignment="1" applyProtection="1">
      <alignment horizontal="center" vertical="center"/>
      <protection hidden="1"/>
    </xf>
    <xf numFmtId="0" fontId="8" fillId="0" borderId="19" xfId="0" applyFont="1" applyBorder="1" applyAlignment="1">
      <alignment vertical="center"/>
    </xf>
    <xf numFmtId="0" fontId="8" fillId="0" borderId="19" xfId="0" applyFont="1" applyBorder="1" applyAlignment="1" applyProtection="1">
      <alignment vertical="center"/>
      <protection locked="0"/>
    </xf>
    <xf numFmtId="0" fontId="8" fillId="0" borderId="19" xfId="0" applyFont="1" applyBorder="1" applyAlignment="1" applyProtection="1">
      <alignment horizontal="center" vertical="center"/>
      <protection locked="0"/>
    </xf>
    <xf numFmtId="4" fontId="117" fillId="30" borderId="122" xfId="0" applyNumberFormat="1" applyFont="1" applyFill="1" applyBorder="1" applyAlignment="1" applyProtection="1">
      <alignment horizontal="center" vertical="center"/>
      <protection hidden="1"/>
    </xf>
    <xf numFmtId="0" fontId="8" fillId="0" borderId="120" xfId="0" applyFont="1" applyBorder="1" applyAlignment="1" applyProtection="1">
      <alignment vertical="center"/>
      <protection hidden="1"/>
    </xf>
    <xf numFmtId="3" fontId="8" fillId="0" borderId="120" xfId="0" applyNumberFormat="1" applyFont="1" applyBorder="1" applyAlignment="1" applyProtection="1">
      <alignment horizontal="center" vertical="center"/>
      <protection hidden="1"/>
    </xf>
    <xf numFmtId="0" fontId="0" fillId="0" borderId="120" xfId="0" applyBorder="1" applyAlignment="1" applyProtection="1">
      <alignment vertical="center"/>
      <protection hidden="1"/>
    </xf>
    <xf numFmtId="0" fontId="0" fillId="0" borderId="120" xfId="0" applyBorder="1" applyAlignment="1" applyProtection="1">
      <alignment horizontal="center" vertical="center"/>
      <protection hidden="1"/>
    </xf>
    <xf numFmtId="0" fontId="8" fillId="0" borderId="120" xfId="0" applyFont="1" applyBorder="1" applyAlignment="1">
      <alignment vertical="center"/>
    </xf>
    <xf numFmtId="0" fontId="16" fillId="3" borderId="32" xfId="0" applyFont="1" applyFill="1" applyBorder="1" applyAlignment="1">
      <alignment horizontal="right" vertical="center" indent="1"/>
    </xf>
    <xf numFmtId="0" fontId="16" fillId="3" borderId="118" xfId="0" applyFont="1" applyFill="1" applyBorder="1" applyAlignment="1">
      <alignment horizontal="center" vertical="center"/>
    </xf>
    <xf numFmtId="1" fontId="95" fillId="30" borderId="63" xfId="0" applyNumberFormat="1" applyFont="1" applyFill="1" applyBorder="1" applyAlignment="1" applyProtection="1">
      <alignment horizontal="center" vertical="center"/>
      <protection hidden="1"/>
    </xf>
    <xf numFmtId="1" fontId="95" fillId="30" borderId="63" xfId="0" applyNumberFormat="1" applyFont="1" applyFill="1" applyBorder="1" applyAlignment="1">
      <alignment horizontal="center"/>
    </xf>
    <xf numFmtId="1" fontId="16" fillId="0" borderId="63" xfId="0" applyNumberFormat="1" applyFont="1" applyBorder="1" applyAlignment="1">
      <alignment horizontal="center"/>
    </xf>
    <xf numFmtId="1" fontId="95" fillId="30" borderId="63" xfId="0" applyNumberFormat="1" applyFont="1" applyFill="1" applyBorder="1" applyAlignment="1">
      <alignment horizontal="center" vertical="center"/>
    </xf>
    <xf numFmtId="0" fontId="16" fillId="0" borderId="118" xfId="0" applyFont="1" applyBorder="1" applyAlignment="1">
      <alignment horizontal="center" vertical="center"/>
    </xf>
    <xf numFmtId="0" fontId="16" fillId="0" borderId="11" xfId="0" applyFont="1" applyBorder="1" applyAlignment="1">
      <alignment vertical="center"/>
    </xf>
    <xf numFmtId="164" fontId="16" fillId="0" borderId="11" xfId="2" applyNumberFormat="1" applyFont="1" applyBorder="1" applyAlignment="1" applyProtection="1">
      <alignment horizontal="center" vertical="center"/>
      <protection hidden="1"/>
    </xf>
    <xf numFmtId="3" fontId="17" fillId="0" borderId="123" xfId="0" applyNumberFormat="1" applyFont="1" applyBorder="1" applyAlignment="1" applyProtection="1">
      <alignment horizontal="center" vertical="center"/>
      <protection hidden="1"/>
    </xf>
    <xf numFmtId="3" fontId="17" fillId="0" borderId="124" xfId="0" applyNumberFormat="1" applyFont="1" applyBorder="1" applyAlignment="1" applyProtection="1">
      <alignment horizontal="center" vertical="center"/>
      <protection hidden="1"/>
    </xf>
    <xf numFmtId="165" fontId="16" fillId="0" borderId="52" xfId="0" applyNumberFormat="1" applyFont="1" applyFill="1" applyBorder="1" applyAlignment="1" applyProtection="1">
      <alignment horizontal="center" vertical="center"/>
      <protection hidden="1"/>
    </xf>
    <xf numFmtId="164" fontId="16" fillId="0" borderId="79" xfId="2" applyNumberFormat="1" applyFont="1" applyFill="1" applyBorder="1" applyAlignment="1" applyProtection="1">
      <alignment horizontal="center" vertical="center"/>
      <protection hidden="1"/>
    </xf>
    <xf numFmtId="164" fontId="16" fillId="0" borderId="44" xfId="2" applyNumberFormat="1" applyFont="1" applyFill="1" applyBorder="1" applyAlignment="1" applyProtection="1">
      <alignment horizontal="center" vertical="center"/>
      <protection hidden="1"/>
    </xf>
    <xf numFmtId="3" fontId="16" fillId="0" borderId="123" xfId="0" applyNumberFormat="1" applyFont="1" applyBorder="1" applyAlignment="1" applyProtection="1">
      <alignment horizontal="center" vertical="center"/>
      <protection hidden="1"/>
    </xf>
    <xf numFmtId="3" fontId="16" fillId="0" borderId="124" xfId="0" applyNumberFormat="1" applyFont="1" applyBorder="1" applyAlignment="1" applyProtection="1">
      <alignment horizontal="center" vertical="center"/>
      <protection hidden="1"/>
    </xf>
    <xf numFmtId="3" fontId="17" fillId="0" borderId="52" xfId="0" applyNumberFormat="1" applyFont="1" applyBorder="1" applyAlignment="1" applyProtection="1">
      <alignment horizontal="center" vertical="center"/>
      <protection hidden="1"/>
    </xf>
    <xf numFmtId="3" fontId="16" fillId="0" borderId="79" xfId="0" applyNumberFormat="1" applyFont="1" applyBorder="1" applyAlignment="1" applyProtection="1">
      <alignment horizontal="center" vertical="center"/>
      <protection hidden="1"/>
    </xf>
    <xf numFmtId="3" fontId="16" fillId="0" borderId="44" xfId="0" applyNumberFormat="1" applyFont="1" applyBorder="1" applyAlignment="1" applyProtection="1">
      <alignment horizontal="center" vertical="center"/>
      <protection hidden="1"/>
    </xf>
    <xf numFmtId="1" fontId="7" fillId="9" borderId="9" xfId="0" applyNumberFormat="1" applyFont="1" applyFill="1" applyBorder="1" applyAlignment="1" applyProtection="1">
      <alignment horizontal="center" vertical="center"/>
      <protection locked="0"/>
    </xf>
    <xf numFmtId="0" fontId="5" fillId="0" borderId="29" xfId="0" applyFont="1" applyBorder="1" applyAlignment="1">
      <alignment horizontal="center"/>
    </xf>
    <xf numFmtId="1" fontId="7" fillId="0" borderId="29" xfId="0" applyNumberFormat="1" applyFont="1" applyBorder="1" applyAlignment="1">
      <alignment horizontal="center"/>
    </xf>
    <xf numFmtId="3" fontId="7" fillId="0" borderId="29" xfId="0" applyNumberFormat="1" applyFont="1" applyBorder="1"/>
    <xf numFmtId="3" fontId="7" fillId="0" borderId="29" xfId="0" applyNumberFormat="1" applyFont="1" applyBorder="1" applyProtection="1">
      <protection hidden="1"/>
    </xf>
    <xf numFmtId="164" fontId="6" fillId="0" borderId="0" xfId="0" applyNumberFormat="1" applyFont="1" applyBorder="1"/>
    <xf numFmtId="167" fontId="6" fillId="0" borderId="0" xfId="0" applyNumberFormat="1" applyFont="1" applyBorder="1"/>
    <xf numFmtId="3" fontId="7" fillId="0" borderId="0" xfId="0" applyNumberFormat="1" applyFont="1" applyBorder="1" applyAlignment="1" applyProtection="1">
      <alignment vertical="center"/>
      <protection hidden="1"/>
    </xf>
    <xf numFmtId="2" fontId="6" fillId="0" borderId="0" xfId="0" applyNumberFormat="1" applyFont="1" applyBorder="1"/>
    <xf numFmtId="3" fontId="7" fillId="0" borderId="0" xfId="0" applyNumberFormat="1" applyFont="1" applyBorder="1"/>
    <xf numFmtId="1" fontId="7" fillId="9" borderId="127" xfId="0" applyNumberFormat="1" applyFont="1" applyFill="1" applyBorder="1" applyAlignment="1" applyProtection="1">
      <alignment horizontal="center" vertical="center"/>
      <protection locked="0" hidden="1"/>
    </xf>
    <xf numFmtId="1" fontId="16" fillId="0" borderId="25" xfId="0" applyNumberFormat="1" applyFont="1" applyBorder="1" applyAlignment="1">
      <alignment horizontal="center" vertical="center"/>
    </xf>
    <xf numFmtId="3" fontId="16" fillId="0" borderId="25" xfId="0" applyNumberFormat="1" applyFont="1" applyBorder="1" applyAlignment="1" applyProtection="1">
      <alignment horizontal="center" vertical="center"/>
      <protection hidden="1"/>
    </xf>
    <xf numFmtId="3" fontId="17" fillId="3" borderId="128" xfId="0" applyNumberFormat="1" applyFont="1" applyFill="1" applyBorder="1" applyAlignment="1" applyProtection="1">
      <alignment horizontal="center" vertical="center"/>
      <protection hidden="1"/>
    </xf>
    <xf numFmtId="3" fontId="17" fillId="9" borderId="52" xfId="0" applyNumberFormat="1" applyFont="1" applyFill="1" applyBorder="1" applyAlignment="1" applyProtection="1">
      <alignment horizontal="center" vertical="center"/>
      <protection locked="0"/>
    </xf>
    <xf numFmtId="167" fontId="17" fillId="9" borderId="128" xfId="0" applyNumberFormat="1" applyFont="1" applyFill="1" applyBorder="1" applyAlignment="1" applyProtection="1">
      <alignment horizontal="center" vertical="center"/>
      <protection locked="0"/>
    </xf>
    <xf numFmtId="3" fontId="17" fillId="9" borderId="35" xfId="0" applyNumberFormat="1" applyFont="1" applyFill="1" applyBorder="1" applyAlignment="1" applyProtection="1">
      <alignment horizontal="center" vertical="center"/>
      <protection locked="0"/>
    </xf>
    <xf numFmtId="3" fontId="16" fillId="7" borderId="128" xfId="0" applyNumberFormat="1" applyFont="1" applyFill="1" applyBorder="1" applyAlignment="1" applyProtection="1">
      <alignment horizontal="center" vertical="center"/>
      <protection hidden="1"/>
    </xf>
    <xf numFmtId="3" fontId="17" fillId="7" borderId="52" xfId="0" applyNumberFormat="1" applyFont="1" applyFill="1" applyBorder="1" applyAlignment="1" applyProtection="1">
      <alignment horizontal="center" vertical="center"/>
      <protection hidden="1"/>
    </xf>
    <xf numFmtId="3" fontId="17" fillId="7" borderId="129" xfId="0" applyNumberFormat="1" applyFont="1" applyFill="1" applyBorder="1" applyAlignment="1" applyProtection="1">
      <alignment horizontal="center" vertical="center"/>
      <protection hidden="1"/>
    </xf>
    <xf numFmtId="3" fontId="16" fillId="7" borderId="55" xfId="0" applyNumberFormat="1" applyFont="1" applyFill="1" applyBorder="1" applyAlignment="1" applyProtection="1">
      <alignment horizontal="center" vertical="center"/>
      <protection hidden="1"/>
    </xf>
    <xf numFmtId="3" fontId="17" fillId="0" borderId="44" xfId="0" applyNumberFormat="1" applyFont="1" applyBorder="1" applyAlignment="1" applyProtection="1">
      <alignment horizontal="center" vertical="center"/>
      <protection hidden="1"/>
    </xf>
    <xf numFmtId="10" fontId="17" fillId="9" borderId="52" xfId="0" applyNumberFormat="1" applyFont="1" applyFill="1" applyBorder="1" applyAlignment="1" applyProtection="1">
      <alignment horizontal="center" vertical="center"/>
      <protection locked="0"/>
    </xf>
    <xf numFmtId="3" fontId="73" fillId="9" borderId="52" xfId="0" applyNumberFormat="1" applyFont="1" applyFill="1" applyBorder="1" applyAlignment="1" applyProtection="1">
      <alignment horizontal="center" vertical="center"/>
      <protection locked="0"/>
    </xf>
    <xf numFmtId="10" fontId="17" fillId="9" borderId="44" xfId="0" applyNumberFormat="1" applyFont="1" applyFill="1" applyBorder="1" applyAlignment="1" applyProtection="1">
      <alignment horizontal="center" vertical="center"/>
      <protection locked="0" hidden="1"/>
    </xf>
    <xf numFmtId="3" fontId="17" fillId="9" borderId="44" xfId="0" applyNumberFormat="1" applyFont="1" applyFill="1" applyBorder="1" applyAlignment="1" applyProtection="1">
      <alignment horizontal="center" vertical="center"/>
      <protection locked="0"/>
    </xf>
    <xf numFmtId="167" fontId="17" fillId="9" borderId="52" xfId="0" applyNumberFormat="1" applyFont="1" applyFill="1" applyBorder="1" applyAlignment="1" applyProtection="1">
      <alignment horizontal="center" vertical="center"/>
      <protection locked="0"/>
    </xf>
    <xf numFmtId="3" fontId="17" fillId="7" borderId="35" xfId="0" applyNumberFormat="1" applyFont="1" applyFill="1" applyBorder="1" applyAlignment="1" applyProtection="1">
      <alignment horizontal="center" vertical="center"/>
      <protection hidden="1"/>
    </xf>
    <xf numFmtId="4" fontId="17" fillId="9" borderId="44" xfId="0" applyNumberFormat="1" applyFont="1" applyFill="1" applyBorder="1" applyAlignment="1" applyProtection="1">
      <alignment horizontal="center" vertical="center"/>
      <protection locked="0"/>
    </xf>
    <xf numFmtId="4" fontId="17" fillId="0" borderId="52" xfId="0" applyNumberFormat="1" applyFont="1" applyBorder="1" applyAlignment="1" applyProtection="1">
      <alignment horizontal="center" vertical="center"/>
      <protection hidden="1"/>
    </xf>
    <xf numFmtId="2" fontId="17" fillId="9" borderId="52" xfId="0" applyNumberFormat="1" applyFont="1" applyFill="1" applyBorder="1" applyAlignment="1" applyProtection="1">
      <alignment horizontal="center" vertical="center"/>
      <protection locked="0"/>
    </xf>
    <xf numFmtId="4" fontId="17" fillId="9" borderId="52" xfId="0" applyNumberFormat="1" applyFont="1" applyFill="1" applyBorder="1" applyAlignment="1" applyProtection="1">
      <alignment horizontal="center" vertical="center"/>
      <protection locked="0"/>
    </xf>
    <xf numFmtId="3" fontId="16" fillId="9" borderId="25" xfId="0" applyNumberFormat="1" applyFont="1" applyFill="1" applyBorder="1" applyAlignment="1" applyProtection="1">
      <alignment horizontal="center" vertical="center"/>
      <protection locked="0"/>
    </xf>
    <xf numFmtId="3" fontId="17" fillId="9" borderId="128" xfId="0" applyNumberFormat="1" applyFont="1" applyFill="1" applyBorder="1" applyAlignment="1" applyProtection="1">
      <alignment horizontal="center" vertical="center"/>
      <protection locked="0"/>
    </xf>
    <xf numFmtId="3" fontId="17" fillId="9" borderId="124" xfId="0" applyNumberFormat="1" applyFont="1" applyFill="1" applyBorder="1" applyAlignment="1" applyProtection="1">
      <alignment horizontal="center" vertical="center"/>
      <protection locked="0"/>
    </xf>
    <xf numFmtId="3" fontId="16" fillId="9" borderId="126" xfId="0" applyNumberFormat="1" applyFont="1" applyFill="1" applyBorder="1" applyAlignment="1" applyProtection="1">
      <alignment horizontal="center" vertical="center"/>
      <protection locked="0"/>
    </xf>
    <xf numFmtId="3" fontId="16" fillId="7" borderId="128" xfId="0" applyNumberFormat="1" applyFont="1" applyFill="1" applyBorder="1" applyAlignment="1" applyProtection="1">
      <alignment horizontal="center" vertical="center"/>
      <protection locked="0"/>
    </xf>
    <xf numFmtId="3" fontId="17" fillId="0" borderId="126" xfId="0" applyNumberFormat="1" applyFont="1" applyBorder="1" applyAlignment="1" applyProtection="1">
      <alignment horizontal="center" vertical="center"/>
      <protection hidden="1"/>
    </xf>
    <xf numFmtId="3" fontId="17" fillId="0" borderId="25" xfId="0" applyNumberFormat="1" applyFont="1" applyBorder="1" applyAlignment="1" applyProtection="1">
      <alignment horizontal="center" vertical="center"/>
      <protection hidden="1"/>
    </xf>
    <xf numFmtId="3" fontId="16" fillId="0" borderId="127" xfId="0" applyNumberFormat="1" applyFont="1" applyBorder="1" applyAlignment="1" applyProtection="1">
      <alignment horizontal="center" vertical="center"/>
      <protection hidden="1"/>
    </xf>
    <xf numFmtId="0" fontId="117" fillId="30" borderId="26" xfId="0" applyFont="1" applyFill="1" applyBorder="1" applyAlignment="1">
      <alignment horizontal="center" vertical="center"/>
    </xf>
    <xf numFmtId="0" fontId="117" fillId="30" borderId="128" xfId="0" applyFont="1" applyFill="1" applyBorder="1" applyAlignment="1">
      <alignment horizontal="center" vertical="center"/>
    </xf>
    <xf numFmtId="0" fontId="35" fillId="0" borderId="0" xfId="0" applyFont="1" applyBorder="1" applyAlignment="1">
      <alignment vertical="center"/>
    </xf>
    <xf numFmtId="164" fontId="8" fillId="9" borderId="118" xfId="0" applyNumberFormat="1" applyFont="1" applyFill="1" applyBorder="1" applyAlignment="1" applyProtection="1">
      <alignment horizontal="center" vertical="center"/>
      <protection locked="0"/>
    </xf>
    <xf numFmtId="164" fontId="8" fillId="0" borderId="0" xfId="0" applyNumberFormat="1" applyFont="1" applyBorder="1" applyAlignment="1">
      <alignment horizontal="center" vertical="center"/>
    </xf>
    <xf numFmtId="0" fontId="5" fillId="0" borderId="0" xfId="0" applyFont="1" applyBorder="1" applyAlignment="1" applyProtection="1">
      <alignment horizontal="center" vertical="center"/>
      <protection locked="0"/>
    </xf>
    <xf numFmtId="3" fontId="5" fillId="0" borderId="119" xfId="0" applyNumberFormat="1" applyFont="1" applyBorder="1" applyAlignment="1" applyProtection="1">
      <alignment horizontal="center" vertical="center"/>
      <protection hidden="1"/>
    </xf>
    <xf numFmtId="4" fontId="8" fillId="9" borderId="119" xfId="0" applyNumberFormat="1" applyFont="1" applyFill="1" applyBorder="1" applyAlignment="1" applyProtection="1">
      <alignment horizontal="center" vertical="center"/>
      <protection locked="0"/>
    </xf>
    <xf numFmtId="3" fontId="8" fillId="9" borderId="119" xfId="0" applyNumberFormat="1" applyFont="1" applyFill="1" applyBorder="1" applyAlignment="1" applyProtection="1">
      <alignment horizontal="center" vertical="center"/>
      <protection locked="0"/>
    </xf>
    <xf numFmtId="164" fontId="8" fillId="9" borderId="119" xfId="0" applyNumberFormat="1" applyFont="1" applyFill="1" applyBorder="1" applyAlignment="1" applyProtection="1">
      <alignment horizontal="center" vertical="center"/>
      <protection locked="0"/>
    </xf>
    <xf numFmtId="4" fontId="8" fillId="9" borderId="118" xfId="0" applyNumberFormat="1" applyFont="1" applyFill="1" applyBorder="1" applyAlignment="1" applyProtection="1">
      <alignment horizontal="center" vertical="center"/>
      <protection locked="0"/>
    </xf>
    <xf numFmtId="3" fontId="8" fillId="9" borderId="118" xfId="0" applyNumberFormat="1" applyFont="1" applyFill="1" applyBorder="1" applyAlignment="1" applyProtection="1">
      <alignment horizontal="center" vertical="center"/>
      <protection locked="0"/>
    </xf>
    <xf numFmtId="0" fontId="8" fillId="0" borderId="0" xfId="0" applyFont="1" applyFill="1" applyAlignment="1">
      <alignment vertical="center"/>
    </xf>
    <xf numFmtId="164" fontId="8" fillId="0" borderId="0" xfId="0" applyNumberFormat="1" applyFont="1" applyFill="1" applyAlignment="1">
      <alignment horizontal="center" vertical="center"/>
    </xf>
    <xf numFmtId="0" fontId="5" fillId="0" borderId="122" xfId="0" applyFont="1" applyBorder="1" applyAlignment="1" applyProtection="1">
      <alignment vertical="center"/>
      <protection hidden="1"/>
    </xf>
    <xf numFmtId="3" fontId="5" fillId="0" borderId="122" xfId="0" applyNumberFormat="1" applyFont="1" applyBorder="1" applyAlignment="1" applyProtection="1">
      <alignment horizontal="center" vertical="center"/>
      <protection hidden="1"/>
    </xf>
    <xf numFmtId="0" fontId="117" fillId="30" borderId="130" xfId="0" applyFont="1" applyFill="1" applyBorder="1" applyAlignment="1">
      <alignment horizontal="center" vertical="center"/>
    </xf>
    <xf numFmtId="0" fontId="117" fillId="30" borderId="123" xfId="0" applyFont="1" applyFill="1" applyBorder="1" applyAlignment="1">
      <alignment horizontal="center" vertical="center"/>
    </xf>
    <xf numFmtId="0" fontId="117" fillId="30" borderId="124" xfId="0" applyFont="1" applyFill="1" applyBorder="1" applyAlignment="1">
      <alignment horizontal="center" vertical="center"/>
    </xf>
    <xf numFmtId="1" fontId="109" fillId="30" borderId="79" xfId="0" applyNumberFormat="1" applyFont="1" applyFill="1" applyBorder="1" applyAlignment="1" applyProtection="1">
      <alignment horizontal="center"/>
      <protection hidden="1"/>
    </xf>
    <xf numFmtId="1" fontId="7" fillId="0" borderId="17" xfId="0" applyNumberFormat="1" applyFont="1" applyBorder="1" applyAlignment="1">
      <alignment horizontal="center"/>
    </xf>
    <xf numFmtId="1" fontId="7" fillId="0" borderId="70" xfId="0" applyNumberFormat="1" applyFont="1" applyBorder="1" applyAlignment="1">
      <alignment horizontal="center"/>
    </xf>
    <xf numFmtId="1" fontId="7" fillId="0" borderId="52" xfId="0" applyNumberFormat="1" applyFont="1" applyBorder="1" applyAlignment="1">
      <alignment horizontal="center"/>
    </xf>
    <xf numFmtId="3" fontId="8" fillId="0" borderId="120" xfId="0" applyNumberFormat="1" applyFont="1" applyBorder="1" applyAlignment="1">
      <alignment horizontal="center" vertical="center"/>
    </xf>
    <xf numFmtId="164" fontId="8" fillId="0" borderId="120" xfId="0" applyNumberFormat="1" applyFont="1" applyBorder="1" applyAlignment="1">
      <alignment horizontal="center" vertical="center"/>
    </xf>
    <xf numFmtId="0" fontId="8" fillId="0" borderId="19" xfId="0" applyFont="1" applyBorder="1" applyAlignment="1" applyProtection="1">
      <alignment horizontal="left" vertical="center"/>
      <protection locked="0"/>
    </xf>
    <xf numFmtId="0" fontId="8" fillId="0" borderId="19" xfId="0" applyFont="1" applyBorder="1" applyAlignment="1">
      <alignment horizontal="left" vertical="center" indent="4"/>
    </xf>
    <xf numFmtId="9" fontId="8" fillId="0" borderId="19" xfId="0" applyNumberFormat="1" applyFont="1" applyBorder="1" applyAlignment="1" applyProtection="1">
      <alignment horizontal="left"/>
      <protection locked="0"/>
    </xf>
    <xf numFmtId="0" fontId="8" fillId="0" borderId="19" xfId="0" applyFont="1" applyBorder="1" applyAlignment="1" applyProtection="1">
      <alignment horizontal="left"/>
      <protection locked="0"/>
    </xf>
    <xf numFmtId="0" fontId="8" fillId="0" borderId="19" xfId="0" applyFont="1" applyBorder="1" applyAlignment="1">
      <alignment horizontal="left" indent="1"/>
    </xf>
    <xf numFmtId="0" fontId="8" fillId="0" borderId="19" xfId="0" applyFont="1" applyBorder="1" applyAlignment="1">
      <alignment horizontal="left" vertical="center" indent="1"/>
    </xf>
    <xf numFmtId="0" fontId="117" fillId="30" borderId="122" xfId="0" applyFont="1" applyFill="1" applyBorder="1" applyAlignment="1">
      <alignment horizontal="center"/>
    </xf>
    <xf numFmtId="1" fontId="109" fillId="30" borderId="63" xfId="0" applyNumberFormat="1" applyFont="1" applyFill="1" applyBorder="1" applyAlignment="1" applyProtection="1">
      <alignment horizontal="center"/>
      <protection hidden="1"/>
    </xf>
    <xf numFmtId="1" fontId="7" fillId="0" borderId="118" xfId="0" applyNumberFormat="1" applyFont="1" applyBorder="1" applyAlignment="1">
      <alignment horizontal="center"/>
    </xf>
    <xf numFmtId="0" fontId="7" fillId="0" borderId="32" xfId="0" applyFont="1" applyBorder="1" applyAlignment="1">
      <alignment horizontal="right"/>
    </xf>
    <xf numFmtId="3" fontId="8" fillId="3" borderId="120" xfId="0" applyNumberFormat="1" applyFont="1" applyFill="1" applyBorder="1" applyAlignment="1">
      <alignment horizontal="center" vertical="center"/>
    </xf>
    <xf numFmtId="0" fontId="17" fillId="0" borderId="30" xfId="0" applyFont="1" applyBorder="1" applyAlignment="1" applyProtection="1">
      <alignment horizontal="center"/>
      <protection hidden="1"/>
    </xf>
    <xf numFmtId="0" fontId="17" fillId="0" borderId="33" xfId="0" applyFont="1" applyBorder="1" applyAlignment="1" applyProtection="1">
      <alignment horizontal="center"/>
      <protection hidden="1"/>
    </xf>
    <xf numFmtId="0" fontId="16" fillId="9" borderId="30" xfId="0" applyFont="1" applyFill="1" applyBorder="1" applyAlignment="1">
      <alignment horizontal="left" vertical="center"/>
    </xf>
    <xf numFmtId="0" fontId="16" fillId="9" borderId="31" xfId="0" applyFont="1" applyFill="1" applyBorder="1" applyAlignment="1">
      <alignment horizontal="left" vertical="center"/>
    </xf>
    <xf numFmtId="0" fontId="17" fillId="9" borderId="31" xfId="0" applyFont="1" applyFill="1" applyBorder="1" applyAlignment="1">
      <alignment horizontal="left" vertical="center"/>
    </xf>
    <xf numFmtId="0" fontId="16" fillId="9" borderId="0" xfId="0" applyFont="1" applyFill="1" applyBorder="1" applyAlignment="1">
      <alignment horizontal="center" vertical="center"/>
    </xf>
    <xf numFmtId="0" fontId="16" fillId="9" borderId="30" xfId="0" applyFont="1" applyFill="1" applyBorder="1" applyAlignment="1">
      <alignment vertical="center"/>
    </xf>
    <xf numFmtId="0" fontId="17" fillId="9" borderId="31" xfId="0" applyFont="1" applyFill="1" applyBorder="1" applyAlignment="1">
      <alignment vertical="center"/>
    </xf>
    <xf numFmtId="0" fontId="110" fillId="30" borderId="0" xfId="0" applyFont="1" applyFill="1" applyBorder="1" applyProtection="1">
      <protection hidden="1"/>
    </xf>
    <xf numFmtId="3" fontId="95" fillId="30" borderId="0" xfId="0" applyNumberFormat="1" applyFont="1" applyFill="1" applyBorder="1" applyProtection="1">
      <protection hidden="1"/>
    </xf>
    <xf numFmtId="0" fontId="110" fillId="30" borderId="0" xfId="0" applyFont="1" applyFill="1" applyBorder="1"/>
    <xf numFmtId="0" fontId="112" fillId="30" borderId="0" xfId="0" applyFont="1" applyFill="1" applyBorder="1"/>
    <xf numFmtId="0" fontId="74" fillId="0" borderId="53" xfId="0" applyFont="1" applyBorder="1" applyAlignment="1">
      <alignment horizontal="left" vertical="center"/>
    </xf>
    <xf numFmtId="0" fontId="74" fillId="0" borderId="54" xfId="0" applyFont="1" applyBorder="1" applyAlignment="1">
      <alignment horizontal="left" vertical="center"/>
    </xf>
    <xf numFmtId="3" fontId="17" fillId="0" borderId="14" xfId="0" applyNumberFormat="1" applyFont="1" applyBorder="1" applyAlignment="1" applyProtection="1">
      <alignment horizontal="center" vertical="center"/>
      <protection hidden="1"/>
    </xf>
    <xf numFmtId="0" fontId="120" fillId="0" borderId="0" xfId="0" applyFont="1" applyAlignment="1">
      <alignment horizontal="left" vertical="center"/>
    </xf>
    <xf numFmtId="4" fontId="8" fillId="11" borderId="118" xfId="0" applyNumberFormat="1" applyFont="1" applyFill="1" applyBorder="1" applyAlignment="1" applyProtection="1">
      <alignment horizontal="center" vertical="center"/>
      <protection locked="0"/>
    </xf>
    <xf numFmtId="3" fontId="8" fillId="11" borderId="118" xfId="0" applyNumberFormat="1" applyFont="1" applyFill="1" applyBorder="1" applyAlignment="1" applyProtection="1">
      <alignment horizontal="center" vertical="center"/>
      <protection locked="0"/>
    </xf>
    <xf numFmtId="3" fontId="0" fillId="0" borderId="118" xfId="0" applyNumberFormat="1" applyBorder="1" applyAlignment="1">
      <alignment horizontal="center" vertical="center"/>
    </xf>
    <xf numFmtId="166" fontId="8" fillId="11" borderId="33" xfId="0" applyNumberFormat="1" applyFont="1" applyFill="1" applyBorder="1" applyAlignment="1" applyProtection="1">
      <alignment horizontal="center" vertical="center"/>
      <protection locked="0"/>
    </xf>
    <xf numFmtId="0" fontId="4" fillId="9" borderId="40" xfId="0" applyFont="1" applyFill="1" applyBorder="1" applyProtection="1">
      <protection hidden="1"/>
    </xf>
    <xf numFmtId="3" fontId="4" fillId="0" borderId="2" xfId="0" applyNumberFormat="1" applyFont="1" applyBorder="1" applyProtection="1">
      <protection hidden="1"/>
    </xf>
    <xf numFmtId="3" fontId="17" fillId="0" borderId="118" xfId="0" applyNumberFormat="1" applyFont="1" applyBorder="1" applyAlignment="1">
      <alignment horizontal="center" vertical="center"/>
    </xf>
    <xf numFmtId="166" fontId="41" fillId="0" borderId="0" xfId="0" applyNumberFormat="1" applyFont="1" applyBorder="1" applyAlignment="1" applyProtection="1">
      <alignment horizontal="center"/>
      <protection hidden="1"/>
    </xf>
    <xf numFmtId="0" fontId="41" fillId="0" borderId="124" xfId="0" applyFont="1" applyBorder="1" applyProtection="1">
      <protection hidden="1"/>
    </xf>
    <xf numFmtId="0" fontId="41" fillId="0" borderId="44" xfId="0" applyFont="1" applyBorder="1" applyProtection="1">
      <protection hidden="1"/>
    </xf>
    <xf numFmtId="0" fontId="8" fillId="0" borderId="116" xfId="0" applyFont="1" applyBorder="1" applyAlignment="1" applyProtection="1">
      <alignment horizontal="center" vertical="center"/>
      <protection locked="0"/>
    </xf>
    <xf numFmtId="1" fontId="5" fillId="0" borderId="117" xfId="0" applyNumberFormat="1" applyFont="1" applyBorder="1" applyAlignment="1">
      <alignment horizontal="center" vertical="center"/>
    </xf>
    <xf numFmtId="0" fontId="8" fillId="0" borderId="13" xfId="0" applyFont="1" applyBorder="1" applyAlignment="1" applyProtection="1">
      <alignment horizontal="left" vertical="center"/>
      <protection locked="0"/>
    </xf>
    <xf numFmtId="0" fontId="8" fillId="0" borderId="29" xfId="0" applyFont="1" applyBorder="1" applyAlignment="1" applyProtection="1">
      <alignment horizontal="left" vertical="center"/>
      <protection locked="0"/>
    </xf>
    <xf numFmtId="0" fontId="8" fillId="0" borderId="29" xfId="0" applyFont="1" applyBorder="1" applyAlignment="1" applyProtection="1">
      <alignment vertical="center"/>
      <protection locked="0"/>
    </xf>
    <xf numFmtId="0" fontId="8" fillId="0" borderId="19" xfId="0" applyFont="1" applyBorder="1" applyAlignment="1" applyProtection="1">
      <alignment horizontal="center" vertical="center"/>
      <protection hidden="1"/>
    </xf>
    <xf numFmtId="0" fontId="8" fillId="0" borderId="29" xfId="0" applyFont="1" applyBorder="1" applyAlignment="1" applyProtection="1">
      <alignment horizontal="left" vertical="center"/>
      <protection hidden="1"/>
    </xf>
    <xf numFmtId="0" fontId="8" fillId="0" borderId="19" xfId="0" applyFont="1" applyBorder="1" applyAlignment="1">
      <alignment horizontal="center" vertical="center"/>
    </xf>
    <xf numFmtId="0" fontId="8" fillId="0" borderId="29" xfId="0" applyFont="1" applyBorder="1" applyAlignment="1">
      <alignment horizontal="left" vertical="center"/>
    </xf>
    <xf numFmtId="0" fontId="8" fillId="0" borderId="19" xfId="0" applyFont="1" applyBorder="1" applyAlignment="1" applyProtection="1">
      <alignment horizontal="left" vertical="center"/>
      <protection hidden="1"/>
    </xf>
    <xf numFmtId="0" fontId="8" fillId="0" borderId="30" xfId="0" applyFont="1" applyBorder="1" applyAlignment="1" applyProtection="1">
      <alignment vertical="center"/>
      <protection locked="0"/>
    </xf>
    <xf numFmtId="0" fontId="8" fillId="0" borderId="31" xfId="0" applyFont="1" applyBorder="1" applyAlignment="1" applyProtection="1">
      <alignment vertical="center"/>
      <protection locked="0"/>
    </xf>
    <xf numFmtId="0" fontId="8" fillId="0" borderId="32" xfId="0" applyFont="1" applyBorder="1" applyAlignment="1" applyProtection="1">
      <alignment vertical="center"/>
      <protection locked="0"/>
    </xf>
    <xf numFmtId="164" fontId="8" fillId="0" borderId="116" xfId="0" applyNumberFormat="1" applyFont="1" applyBorder="1" applyAlignment="1" applyProtection="1">
      <alignment horizontal="center" vertical="center"/>
      <protection locked="0"/>
    </xf>
    <xf numFmtId="0" fontId="0" fillId="0" borderId="39" xfId="0" applyBorder="1"/>
    <xf numFmtId="0" fontId="0" fillId="0" borderId="39" xfId="0" applyBorder="1" applyProtection="1">
      <protection hidden="1"/>
    </xf>
    <xf numFmtId="0" fontId="34" fillId="0" borderId="13" xfId="0" applyFont="1" applyBorder="1" applyAlignment="1">
      <alignment horizontal="center" vertical="center"/>
    </xf>
    <xf numFmtId="1" fontId="8" fillId="0" borderId="29" xfId="0" applyNumberFormat="1" applyFont="1" applyBorder="1" applyAlignment="1">
      <alignment vertical="center"/>
    </xf>
    <xf numFmtId="164" fontId="8" fillId="0" borderId="29" xfId="0" applyNumberFormat="1" applyFont="1" applyBorder="1" applyAlignment="1">
      <alignment vertical="center"/>
    </xf>
    <xf numFmtId="0" fontId="8" fillId="0" borderId="19" xfId="0" applyFont="1" applyBorder="1" applyAlignment="1">
      <alignment horizontal="left"/>
    </xf>
    <xf numFmtId="1" fontId="8" fillId="0" borderId="29" xfId="0" applyNumberFormat="1" applyFont="1" applyBorder="1" applyAlignment="1">
      <alignment horizontal="center" vertical="center"/>
    </xf>
    <xf numFmtId="0" fontId="8" fillId="0" borderId="19" xfId="0" applyFont="1" applyBorder="1" applyAlignment="1">
      <alignment horizontal="left" indent="4"/>
    </xf>
    <xf numFmtId="164" fontId="8" fillId="0" borderId="29" xfId="0" applyNumberFormat="1" applyFont="1" applyBorder="1" applyAlignment="1" applyProtection="1">
      <alignment vertical="center"/>
      <protection locked="0"/>
    </xf>
    <xf numFmtId="0" fontId="8" fillId="0" borderId="29" xfId="0" applyFont="1" applyBorder="1" applyAlignment="1">
      <alignment vertical="center"/>
    </xf>
    <xf numFmtId="0" fontId="8" fillId="0" borderId="19" xfId="0" applyFont="1" applyFill="1" applyBorder="1" applyAlignment="1">
      <alignment horizontal="left"/>
    </xf>
    <xf numFmtId="0" fontId="8" fillId="0" borderId="19" xfId="0" applyFont="1" applyBorder="1"/>
    <xf numFmtId="0" fontId="4" fillId="0" borderId="118" xfId="0" applyFont="1" applyBorder="1" applyAlignment="1">
      <alignment horizontal="left" vertical="center"/>
    </xf>
    <xf numFmtId="0" fontId="0" fillId="0" borderId="118" xfId="0" applyBorder="1" applyAlignment="1">
      <alignment horizontal="center" vertical="center"/>
    </xf>
    <xf numFmtId="0" fontId="0" fillId="0" borderId="118" xfId="0" applyBorder="1" applyAlignment="1">
      <alignment vertical="center" wrapText="1"/>
    </xf>
    <xf numFmtId="0" fontId="4" fillId="0" borderId="118" xfId="0" applyFont="1" applyBorder="1" applyAlignment="1">
      <alignment vertical="center" wrapText="1"/>
    </xf>
    <xf numFmtId="0" fontId="4" fillId="0" borderId="118" xfId="0" applyFont="1" applyBorder="1" applyAlignment="1">
      <alignment horizontal="left" vertical="center" wrapText="1"/>
    </xf>
    <xf numFmtId="164" fontId="0" fillId="0" borderId="118" xfId="2" applyNumberFormat="1" applyFont="1" applyBorder="1" applyAlignment="1">
      <alignment horizontal="center" vertical="center"/>
    </xf>
    <xf numFmtId="0" fontId="0" fillId="0" borderId="118" xfId="0" applyBorder="1" applyAlignment="1">
      <alignment horizontal="left" vertical="center" wrapText="1"/>
    </xf>
    <xf numFmtId="0" fontId="17" fillId="0" borderId="131" xfId="0" applyFont="1" applyBorder="1" applyAlignment="1">
      <alignment vertical="center"/>
    </xf>
    <xf numFmtId="3" fontId="16" fillId="0" borderId="39" xfId="0" applyNumberFormat="1" applyFont="1" applyFill="1" applyBorder="1" applyAlignment="1" applyProtection="1">
      <alignment horizontal="center" vertical="center"/>
      <protection hidden="1"/>
    </xf>
    <xf numFmtId="0" fontId="16" fillId="0" borderId="8" xfId="0" applyFont="1" applyBorder="1" applyAlignment="1">
      <alignment horizontal="right" indent="1"/>
    </xf>
    <xf numFmtId="0" fontId="0" fillId="0" borderId="0" xfId="0"/>
    <xf numFmtId="0" fontId="16" fillId="0" borderId="8" xfId="0" applyFont="1" applyBorder="1" applyAlignment="1">
      <alignment horizontal="left"/>
    </xf>
    <xf numFmtId="0" fontId="121" fillId="0" borderId="22" xfId="1" applyFont="1" applyBorder="1" applyAlignment="1" applyProtection="1">
      <alignment vertical="center"/>
    </xf>
    <xf numFmtId="0" fontId="17" fillId="0" borderId="118" xfId="0" applyFont="1" applyBorder="1" applyAlignment="1">
      <alignment horizontal="center"/>
    </xf>
    <xf numFmtId="0" fontId="17" fillId="0" borderId="118" xfId="0" applyFont="1" applyBorder="1" applyAlignment="1" applyProtection="1">
      <alignment vertical="center"/>
      <protection hidden="1"/>
    </xf>
    <xf numFmtId="3" fontId="61" fillId="11" borderId="118" xfId="0" applyNumberFormat="1" applyFont="1" applyFill="1" applyBorder="1" applyAlignment="1" applyProtection="1">
      <alignment horizontal="center" vertical="center"/>
      <protection locked="0" hidden="1"/>
    </xf>
    <xf numFmtId="3" fontId="17" fillId="7" borderId="118" xfId="0" applyNumberFormat="1" applyFont="1" applyFill="1" applyBorder="1" applyAlignment="1" applyProtection="1">
      <alignment horizontal="center" vertical="center"/>
      <protection hidden="1"/>
    </xf>
    <xf numFmtId="0" fontId="17" fillId="0" borderId="0" xfId="0" applyFont="1" applyAlignment="1" applyProtection="1">
      <alignment vertical="center"/>
      <protection locked="0"/>
    </xf>
    <xf numFmtId="0" fontId="82" fillId="12" borderId="0" xfId="0" applyFont="1" applyFill="1" applyAlignment="1">
      <alignment horizontal="left"/>
    </xf>
    <xf numFmtId="0" fontId="9" fillId="12" borderId="0" xfId="0" applyFont="1" applyFill="1" applyAlignment="1">
      <alignment horizontal="center"/>
    </xf>
    <xf numFmtId="0" fontId="0" fillId="12" borderId="0" xfId="0" applyFill="1"/>
    <xf numFmtId="0" fontId="28" fillId="12" borderId="0" xfId="0" applyFont="1" applyFill="1" applyAlignment="1">
      <alignment horizontal="center"/>
    </xf>
    <xf numFmtId="0" fontId="24" fillId="12" borderId="0" xfId="1" applyFont="1" applyFill="1" applyAlignment="1" applyProtection="1">
      <alignment horizontal="center"/>
    </xf>
    <xf numFmtId="0" fontId="9" fillId="12" borderId="0" xfId="0" applyFont="1" applyFill="1"/>
    <xf numFmtId="0" fontId="9" fillId="12" borderId="0" xfId="0" applyFont="1" applyFill="1" applyAlignment="1">
      <alignment horizontal="left"/>
    </xf>
    <xf numFmtId="0" fontId="0" fillId="15" borderId="0" xfId="0" applyFill="1"/>
    <xf numFmtId="0" fontId="23" fillId="12" borderId="0" xfId="1" applyFont="1" applyFill="1" applyAlignment="1" applyProtection="1">
      <alignment horizontal="left"/>
    </xf>
    <xf numFmtId="0" fontId="11" fillId="12" borderId="0" xfId="1" applyFill="1" applyAlignment="1" applyProtection="1">
      <alignment horizontal="left"/>
    </xf>
    <xf numFmtId="0" fontId="7" fillId="12" borderId="0" xfId="0" applyFont="1" applyFill="1" applyAlignment="1">
      <alignment vertical="center"/>
    </xf>
    <xf numFmtId="0" fontId="7" fillId="0" borderId="0" xfId="0" applyFont="1" applyAlignment="1">
      <alignment vertical="center"/>
    </xf>
    <xf numFmtId="0" fontId="95" fillId="12" borderId="0" xfId="1" applyFont="1" applyFill="1" applyAlignment="1" applyProtection="1">
      <alignment horizontal="right" vertical="top" wrapText="1"/>
    </xf>
    <xf numFmtId="0" fontId="17" fillId="0" borderId="120" xfId="0" applyFont="1" applyBorder="1" applyAlignment="1">
      <alignment horizontal="left" vertical="center"/>
    </xf>
    <xf numFmtId="0" fontId="17" fillId="0" borderId="121" xfId="0" applyFont="1" applyBorder="1" applyAlignment="1">
      <alignment horizontal="left" vertical="center"/>
    </xf>
    <xf numFmtId="0" fontId="16" fillId="0" borderId="120" xfId="0" applyFont="1" applyBorder="1" applyAlignment="1">
      <alignment horizontal="left" vertical="center"/>
    </xf>
    <xf numFmtId="0" fontId="16" fillId="0" borderId="121" xfId="0" applyFont="1" applyBorder="1" applyAlignment="1">
      <alignment horizontal="left" vertical="center"/>
    </xf>
    <xf numFmtId="0" fontId="16" fillId="0" borderId="30" xfId="0" applyFont="1" applyBorder="1" applyAlignment="1">
      <alignment horizontal="center"/>
    </xf>
    <xf numFmtId="0" fontId="16" fillId="0" borderId="31" xfId="0" applyFont="1" applyBorder="1" applyAlignment="1">
      <alignment horizontal="center"/>
    </xf>
    <xf numFmtId="0" fontId="17" fillId="0" borderId="22" xfId="0" applyFont="1" applyBorder="1" applyAlignment="1">
      <alignment horizontal="left" vertical="center"/>
    </xf>
    <xf numFmtId="0" fontId="17" fillId="0" borderId="7" xfId="0" applyFont="1" applyBorder="1" applyAlignment="1">
      <alignment horizontal="left" vertical="center"/>
    </xf>
    <xf numFmtId="0" fontId="16" fillId="0" borderId="22" xfId="0" applyFont="1" applyBorder="1" applyAlignment="1">
      <alignment horizontal="left" vertical="center"/>
    </xf>
    <xf numFmtId="0" fontId="16" fillId="0" borderId="7" xfId="0" applyFont="1" applyBorder="1" applyAlignment="1">
      <alignment horizontal="left" vertical="center"/>
    </xf>
    <xf numFmtId="0" fontId="16" fillId="0" borderId="120" xfId="0" applyFont="1" applyFill="1" applyBorder="1" applyAlignment="1" applyProtection="1">
      <alignment horizontal="left" vertical="center"/>
      <protection hidden="1"/>
    </xf>
    <xf numFmtId="0" fontId="16" fillId="0" borderId="121" xfId="0" applyFont="1" applyFill="1" applyBorder="1" applyAlignment="1" applyProtection="1">
      <alignment horizontal="left" vertical="center"/>
      <protection hidden="1"/>
    </xf>
    <xf numFmtId="0" fontId="17" fillId="0" borderId="8" xfId="0" applyFont="1" applyBorder="1" applyAlignment="1">
      <alignment horizontal="left" vertical="center"/>
    </xf>
    <xf numFmtId="49" fontId="16" fillId="0" borderId="22" xfId="0" applyNumberFormat="1" applyFont="1" applyBorder="1" applyAlignment="1">
      <alignment horizontal="left" vertical="center"/>
    </xf>
    <xf numFmtId="49" fontId="16" fillId="0" borderId="7" xfId="0" applyNumberFormat="1" applyFont="1" applyBorder="1" applyAlignment="1">
      <alignment horizontal="left" vertical="center"/>
    </xf>
    <xf numFmtId="0" fontId="17" fillId="0" borderId="12" xfId="0" applyFont="1" applyBorder="1" applyAlignment="1">
      <alignment horizontal="left" vertical="center"/>
    </xf>
    <xf numFmtId="0" fontId="16" fillId="0" borderId="54" xfId="0" applyFont="1" applyBorder="1" applyAlignment="1">
      <alignment horizontal="left" vertical="center"/>
    </xf>
    <xf numFmtId="0" fontId="17" fillId="0" borderId="57" xfId="0" applyFont="1" applyBorder="1" applyAlignment="1">
      <alignment horizontal="left" vertical="center"/>
    </xf>
    <xf numFmtId="0" fontId="17" fillId="0" borderId="31" xfId="0" applyFont="1" applyBorder="1" applyAlignment="1">
      <alignment horizontal="left" vertical="center"/>
    </xf>
    <xf numFmtId="0" fontId="17" fillId="0" borderId="67" xfId="0" applyFont="1" applyBorder="1" applyAlignment="1">
      <alignment horizontal="left" vertical="center"/>
    </xf>
    <xf numFmtId="0" fontId="17" fillId="0" borderId="80" xfId="0" applyFont="1" applyBorder="1" applyAlignment="1">
      <alignment horizontal="left" vertical="center"/>
    </xf>
    <xf numFmtId="0" fontId="17" fillId="0" borderId="9" xfId="0" applyFont="1" applyBorder="1" applyAlignment="1">
      <alignment horizontal="left" vertical="center"/>
    </xf>
    <xf numFmtId="0" fontId="16" fillId="0" borderId="72" xfId="0" applyFont="1" applyBorder="1" applyAlignment="1">
      <alignment horizontal="left" vertical="center"/>
    </xf>
    <xf numFmtId="0" fontId="7" fillId="5" borderId="0" xfId="0" applyFont="1" applyFill="1" applyAlignment="1" applyProtection="1">
      <alignment horizontal="center" vertical="center"/>
      <protection locked="0"/>
    </xf>
    <xf numFmtId="0" fontId="7" fillId="0" borderId="0" xfId="0" applyFont="1" applyFill="1" applyBorder="1" applyAlignment="1" applyProtection="1">
      <alignment horizontal="center" vertical="center"/>
    </xf>
    <xf numFmtId="0" fontId="95" fillId="30" borderId="0" xfId="0" applyFont="1" applyFill="1" applyBorder="1" applyAlignment="1">
      <alignment horizontal="left" vertical="center" wrapText="1"/>
    </xf>
    <xf numFmtId="0" fontId="88" fillId="4" borderId="0" xfId="0" applyFont="1" applyFill="1" applyAlignment="1">
      <alignment horizontal="center" vertical="center"/>
    </xf>
    <xf numFmtId="0" fontId="70" fillId="4" borderId="0" xfId="0" applyFont="1" applyFill="1" applyAlignment="1">
      <alignment horizontal="center" vertical="center"/>
    </xf>
    <xf numFmtId="0" fontId="5" fillId="5" borderId="0" xfId="0" applyFont="1" applyFill="1" applyAlignment="1">
      <alignment horizontal="center" vertical="center" wrapText="1"/>
    </xf>
    <xf numFmtId="0" fontId="0" fillId="0" borderId="0" xfId="0"/>
    <xf numFmtId="0" fontId="7" fillId="12" borderId="0" xfId="0" applyFont="1" applyFill="1" applyAlignment="1">
      <alignment horizontal="center" vertical="center"/>
    </xf>
    <xf numFmtId="0" fontId="16" fillId="0" borderId="8" xfId="0" applyFont="1" applyBorder="1" applyAlignment="1">
      <alignment horizontal="left" vertical="center"/>
    </xf>
    <xf numFmtId="0" fontId="100" fillId="0" borderId="0" xfId="0" applyFont="1" applyAlignment="1">
      <alignment horizontal="center"/>
    </xf>
    <xf numFmtId="0" fontId="101" fillId="0" borderId="0" xfId="0" applyFont="1" applyAlignment="1">
      <alignment horizontal="center"/>
    </xf>
    <xf numFmtId="0" fontId="16" fillId="0" borderId="0" xfId="0" applyFont="1" applyAlignment="1">
      <alignment horizontal="right" vertical="center"/>
    </xf>
    <xf numFmtId="0" fontId="7" fillId="11" borderId="31" xfId="0" applyFont="1" applyFill="1" applyBorder="1" applyAlignment="1" applyProtection="1">
      <alignment horizontal="left"/>
      <protection locked="0"/>
    </xf>
    <xf numFmtId="0" fontId="7" fillId="0" borderId="0" xfId="0" applyFont="1" applyAlignment="1">
      <alignment horizontal="left"/>
    </xf>
    <xf numFmtId="0" fontId="17" fillId="0" borderId="57" xfId="0" applyFont="1" applyBorder="1" applyAlignment="1">
      <alignment horizontal="left"/>
    </xf>
    <xf numFmtId="0" fontId="17" fillId="0" borderId="12" xfId="0" applyFont="1" applyBorder="1" applyAlignment="1">
      <alignment horizontal="left"/>
    </xf>
    <xf numFmtId="0" fontId="16" fillId="0" borderId="120" xfId="0" applyFont="1" applyFill="1" applyBorder="1" applyAlignment="1">
      <alignment horizontal="left" vertical="center"/>
    </xf>
    <xf numFmtId="0" fontId="16" fillId="0" borderId="121" xfId="0" applyFont="1" applyFill="1" applyBorder="1" applyAlignment="1">
      <alignment horizontal="left" vertical="center"/>
    </xf>
    <xf numFmtId="0" fontId="17" fillId="0" borderId="31" xfId="0" applyFont="1" applyBorder="1" applyAlignment="1">
      <alignment horizontal="left"/>
    </xf>
    <xf numFmtId="0" fontId="17" fillId="0" borderId="8" xfId="0" applyFont="1" applyBorder="1" applyAlignment="1">
      <alignment horizontal="left"/>
    </xf>
    <xf numFmtId="0" fontId="7" fillId="5" borderId="0" xfId="0" applyFont="1" applyFill="1" applyAlignment="1">
      <alignment horizontal="center" vertical="center"/>
    </xf>
    <xf numFmtId="0" fontId="7" fillId="5" borderId="0" xfId="0" applyFont="1" applyFill="1" applyAlignment="1" applyProtection="1">
      <alignment horizontal="center" vertical="center"/>
      <protection hidden="1"/>
    </xf>
    <xf numFmtId="0" fontId="26" fillId="0" borderId="0" xfId="0" applyFont="1" applyAlignment="1">
      <alignment horizontal="center"/>
    </xf>
    <xf numFmtId="0" fontId="58" fillId="0" borderId="0" xfId="0" applyFont="1" applyAlignment="1">
      <alignment horizontal="center" vertical="center" wrapText="1"/>
    </xf>
    <xf numFmtId="0" fontId="57" fillId="0" borderId="0" xfId="0" applyFont="1" applyAlignment="1">
      <alignment horizontal="right" vertical="center"/>
    </xf>
    <xf numFmtId="0" fontId="16" fillId="0" borderId="0" xfId="0" applyFont="1" applyBorder="1" applyAlignment="1">
      <alignment horizontal="left"/>
    </xf>
    <xf numFmtId="0" fontId="59" fillId="0" borderId="0" xfId="0" applyFont="1" applyAlignment="1">
      <alignment horizontal="center" vertical="center" wrapText="1"/>
    </xf>
    <xf numFmtId="0" fontId="0" fillId="0" borderId="0" xfId="0" applyAlignment="1" applyProtection="1">
      <alignment horizontal="center"/>
      <protection hidden="1"/>
    </xf>
    <xf numFmtId="0" fontId="6" fillId="0" borderId="0" xfId="0" applyFont="1" applyAlignment="1">
      <alignment horizontal="center"/>
    </xf>
    <xf numFmtId="0" fontId="6" fillId="0" borderId="0" xfId="0" applyFont="1" applyAlignment="1" applyProtection="1">
      <alignment horizontal="center"/>
      <protection hidden="1"/>
    </xf>
    <xf numFmtId="0" fontId="17" fillId="0" borderId="33" xfId="0" applyFont="1" applyBorder="1" applyAlignment="1">
      <alignment horizontal="left" vertical="center"/>
    </xf>
    <xf numFmtId="0" fontId="17" fillId="0" borderId="10" xfId="0" applyFont="1" applyBorder="1" applyAlignment="1">
      <alignment horizontal="left" vertical="center"/>
    </xf>
    <xf numFmtId="3" fontId="16" fillId="0" borderId="14" xfId="0" applyNumberFormat="1" applyFont="1" applyBorder="1" applyAlignment="1" applyProtection="1">
      <alignment horizontal="center" vertical="center"/>
      <protection hidden="1"/>
    </xf>
    <xf numFmtId="0" fontId="17" fillId="0" borderId="33" xfId="0" applyFont="1" applyBorder="1" applyAlignment="1">
      <alignment horizontal="left"/>
    </xf>
    <xf numFmtId="0" fontId="17" fillId="0" borderId="10" xfId="0" applyFont="1" applyBorder="1" applyAlignment="1">
      <alignment horizontal="left"/>
    </xf>
    <xf numFmtId="0" fontId="16" fillId="0" borderId="33" xfId="0" applyFont="1" applyBorder="1" applyAlignment="1">
      <alignment horizontal="left" vertical="center"/>
    </xf>
    <xf numFmtId="0" fontId="16" fillId="0" borderId="12" xfId="0" applyFont="1" applyBorder="1" applyAlignment="1">
      <alignment horizontal="left" vertical="center"/>
    </xf>
    <xf numFmtId="0" fontId="16" fillId="0" borderId="10" xfId="0" applyFont="1" applyBorder="1" applyAlignment="1">
      <alignment horizontal="left" vertical="center"/>
    </xf>
    <xf numFmtId="0" fontId="16" fillId="0" borderId="0" xfId="0" applyFont="1" applyAlignment="1">
      <alignment horizontal="right" vertical="center" indent="1"/>
    </xf>
    <xf numFmtId="0" fontId="16" fillId="0" borderId="29" xfId="0" applyFont="1" applyBorder="1" applyAlignment="1">
      <alignment horizontal="right" vertical="center" indent="1"/>
    </xf>
    <xf numFmtId="0" fontId="17" fillId="11" borderId="33" xfId="0" applyFont="1" applyFill="1" applyBorder="1" applyAlignment="1" applyProtection="1">
      <alignment horizontal="left"/>
      <protection locked="0"/>
    </xf>
    <xf numFmtId="0" fontId="17" fillId="11" borderId="12" xfId="0" applyFont="1" applyFill="1" applyBorder="1" applyAlignment="1" applyProtection="1">
      <alignment horizontal="left"/>
      <protection locked="0"/>
    </xf>
    <xf numFmtId="0" fontId="17" fillId="11" borderId="10" xfId="0" applyFont="1" applyFill="1" applyBorder="1" applyAlignment="1" applyProtection="1">
      <alignment horizontal="left"/>
      <protection locked="0"/>
    </xf>
    <xf numFmtId="3" fontId="17" fillId="11" borderId="33" xfId="0" applyNumberFormat="1" applyFont="1" applyFill="1" applyBorder="1" applyAlignment="1" applyProtection="1">
      <alignment horizontal="center" vertical="center"/>
      <protection locked="0"/>
    </xf>
    <xf numFmtId="3" fontId="17" fillId="11" borderId="10" xfId="0" applyNumberFormat="1" applyFont="1" applyFill="1" applyBorder="1" applyAlignment="1" applyProtection="1">
      <alignment horizontal="center" vertical="center"/>
      <protection locked="0"/>
    </xf>
    <xf numFmtId="0" fontId="7" fillId="0" borderId="31" xfId="0" applyFont="1" applyFill="1" applyBorder="1" applyAlignment="1" applyProtection="1">
      <alignment horizontal="left" vertical="center"/>
    </xf>
    <xf numFmtId="0" fontId="7" fillId="0" borderId="32" xfId="0" applyFont="1" applyFill="1" applyBorder="1" applyAlignment="1" applyProtection="1">
      <alignment horizontal="left" vertical="center"/>
    </xf>
    <xf numFmtId="49" fontId="17" fillId="11" borderId="33" xfId="0" applyNumberFormat="1" applyFont="1" applyFill="1" applyBorder="1" applyAlignment="1" applyProtection="1">
      <alignment horizontal="left"/>
      <protection locked="0"/>
    </xf>
    <xf numFmtId="49" fontId="17" fillId="11" borderId="12" xfId="0" applyNumberFormat="1" applyFont="1" applyFill="1" applyBorder="1" applyAlignment="1" applyProtection="1">
      <alignment horizontal="left"/>
      <protection locked="0"/>
    </xf>
    <xf numFmtId="49" fontId="17" fillId="11" borderId="10" xfId="0" applyNumberFormat="1" applyFont="1" applyFill="1" applyBorder="1" applyAlignment="1" applyProtection="1">
      <alignment horizontal="left"/>
      <protection locked="0"/>
    </xf>
    <xf numFmtId="14" fontId="7" fillId="11" borderId="30" xfId="0" applyNumberFormat="1" applyFont="1" applyFill="1" applyBorder="1" applyAlignment="1" applyProtection="1">
      <alignment horizontal="left" vertical="center"/>
      <protection locked="0"/>
    </xf>
    <xf numFmtId="14" fontId="7" fillId="11" borderId="31" xfId="0" applyNumberFormat="1" applyFont="1" applyFill="1" applyBorder="1" applyAlignment="1" applyProtection="1">
      <alignment horizontal="left" vertical="center"/>
      <protection locked="0"/>
    </xf>
    <xf numFmtId="3" fontId="8" fillId="0" borderId="33" xfId="0" applyNumberFormat="1" applyFont="1" applyBorder="1" applyAlignment="1">
      <alignment horizontal="center" vertical="center"/>
    </xf>
    <xf numFmtId="3" fontId="8" fillId="0" borderId="10" xfId="0" applyNumberFormat="1" applyFont="1" applyBorder="1" applyAlignment="1">
      <alignment horizontal="center" vertical="center"/>
    </xf>
    <xf numFmtId="0" fontId="17" fillId="0" borderId="14" xfId="0" applyFont="1" applyBorder="1" applyAlignment="1">
      <alignment horizontal="left" vertical="center"/>
    </xf>
    <xf numFmtId="3" fontId="8" fillId="0" borderId="19" xfId="0" applyNumberFormat="1" applyFont="1" applyBorder="1" applyAlignment="1">
      <alignment horizontal="center" vertical="center"/>
    </xf>
    <xf numFmtId="3" fontId="8" fillId="0" borderId="29" xfId="0" applyNumberFormat="1" applyFont="1" applyBorder="1" applyAlignment="1">
      <alignment horizontal="center" vertical="center"/>
    </xf>
    <xf numFmtId="3" fontId="17" fillId="11" borderId="14" xfId="0" applyNumberFormat="1" applyFont="1" applyFill="1" applyBorder="1" applyAlignment="1" applyProtection="1">
      <alignment horizontal="center" vertical="center"/>
      <protection locked="0"/>
    </xf>
    <xf numFmtId="0" fontId="16" fillId="9" borderId="33" xfId="0" applyFont="1" applyFill="1" applyBorder="1" applyAlignment="1">
      <alignment horizontal="center" vertical="center"/>
    </xf>
    <xf numFmtId="0" fontId="16" fillId="9" borderId="10" xfId="0" applyFont="1" applyFill="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7" fillId="11" borderId="30" xfId="0" applyFont="1" applyFill="1" applyBorder="1" applyAlignment="1" applyProtection="1">
      <alignment horizontal="left" vertical="center"/>
      <protection locked="0"/>
    </xf>
    <xf numFmtId="0" fontId="7" fillId="11" borderId="31" xfId="0" applyFont="1" applyFill="1" applyBorder="1" applyAlignment="1" applyProtection="1">
      <alignment horizontal="left" vertical="center"/>
      <protection locked="0"/>
    </xf>
    <xf numFmtId="0" fontId="7" fillId="11" borderId="32" xfId="0" applyFont="1" applyFill="1" applyBorder="1" applyAlignment="1" applyProtection="1">
      <alignment horizontal="left" vertical="center"/>
      <protection locked="0"/>
    </xf>
    <xf numFmtId="0" fontId="111" fillId="30" borderId="27" xfId="0" applyFont="1" applyFill="1" applyBorder="1" applyAlignment="1" applyProtection="1">
      <alignment horizontal="center" vertical="center"/>
      <protection hidden="1"/>
    </xf>
    <xf numFmtId="0" fontId="111" fillId="30" borderId="28" xfId="0" applyFont="1" applyFill="1" applyBorder="1" applyAlignment="1">
      <alignment horizontal="center" vertical="center"/>
    </xf>
    <xf numFmtId="0" fontId="111" fillId="30" borderId="13" xfId="0" applyFont="1" applyFill="1" applyBorder="1" applyAlignment="1">
      <alignment horizontal="center" vertical="center"/>
    </xf>
    <xf numFmtId="0" fontId="111" fillId="30" borderId="30" xfId="0" applyFont="1" applyFill="1" applyBorder="1" applyAlignment="1">
      <alignment horizontal="center" vertical="center"/>
    </xf>
    <xf numFmtId="0" fontId="111" fillId="30" borderId="31" xfId="0" applyFont="1" applyFill="1" applyBorder="1" applyAlignment="1">
      <alignment horizontal="center" vertical="center"/>
    </xf>
    <xf numFmtId="0" fontId="111" fillId="30" borderId="32" xfId="0" applyFont="1" applyFill="1" applyBorder="1" applyAlignment="1">
      <alignment horizontal="center" vertical="center"/>
    </xf>
    <xf numFmtId="0" fontId="16" fillId="0" borderId="33" xfId="0" applyFont="1" applyBorder="1" applyAlignment="1">
      <alignment horizontal="left"/>
    </xf>
    <xf numFmtId="0" fontId="16" fillId="0" borderId="10" xfId="0" applyFont="1" applyBorder="1" applyAlignment="1">
      <alignment horizontal="left"/>
    </xf>
    <xf numFmtId="3" fontId="16" fillId="0" borderId="33" xfId="0" applyNumberFormat="1" applyFont="1" applyBorder="1" applyAlignment="1" applyProtection="1">
      <alignment horizontal="center" vertical="center"/>
      <protection hidden="1"/>
    </xf>
    <xf numFmtId="3" fontId="16" fillId="0" borderId="10" xfId="0" applyNumberFormat="1" applyFont="1" applyBorder="1" applyAlignment="1" applyProtection="1">
      <alignment horizontal="center" vertical="center"/>
      <protection hidden="1"/>
    </xf>
    <xf numFmtId="3" fontId="17" fillId="0" borderId="33" xfId="0" applyNumberFormat="1" applyFont="1" applyBorder="1" applyAlignment="1" applyProtection="1">
      <alignment horizontal="center" vertical="center"/>
      <protection hidden="1"/>
    </xf>
    <xf numFmtId="3" fontId="17" fillId="0" borderId="10" xfId="0" applyNumberFormat="1" applyFont="1" applyBorder="1" applyAlignment="1" applyProtection="1">
      <alignment horizontal="center" vertical="center"/>
      <protection hidden="1"/>
    </xf>
    <xf numFmtId="0" fontId="16" fillId="5" borderId="0" xfId="0" applyFont="1" applyFill="1" applyAlignment="1">
      <alignment horizontal="center" vertical="center"/>
    </xf>
    <xf numFmtId="9" fontId="17" fillId="11" borderId="14" xfId="2" applyFont="1" applyFill="1" applyBorder="1" applyAlignment="1" applyProtection="1">
      <alignment horizontal="center" vertical="center"/>
      <protection locked="0"/>
    </xf>
    <xf numFmtId="3" fontId="17" fillId="3" borderId="33" xfId="0" applyNumberFormat="1" applyFont="1" applyFill="1" applyBorder="1" applyAlignment="1" applyProtection="1">
      <alignment horizontal="center" vertical="center"/>
      <protection hidden="1"/>
    </xf>
    <xf numFmtId="3" fontId="17" fillId="3" borderId="10" xfId="0" applyNumberFormat="1" applyFont="1" applyFill="1" applyBorder="1" applyAlignment="1" applyProtection="1">
      <alignment horizontal="center" vertical="center"/>
      <protection hidden="1"/>
    </xf>
    <xf numFmtId="164" fontId="17" fillId="11" borderId="33" xfId="0" applyNumberFormat="1" applyFont="1" applyFill="1" applyBorder="1" applyAlignment="1" applyProtection="1">
      <alignment horizontal="center" vertical="center"/>
      <protection locked="0"/>
    </xf>
    <xf numFmtId="164" fontId="17" fillId="11" borderId="12" xfId="0" applyNumberFormat="1" applyFont="1" applyFill="1" applyBorder="1" applyAlignment="1" applyProtection="1">
      <alignment horizontal="center" vertical="center"/>
      <protection locked="0"/>
    </xf>
    <xf numFmtId="1" fontId="95" fillId="30" borderId="14" xfId="0" applyNumberFormat="1" applyFont="1" applyFill="1" applyBorder="1" applyAlignment="1" applyProtection="1">
      <alignment horizontal="center" vertical="center"/>
      <protection hidden="1"/>
    </xf>
    <xf numFmtId="3" fontId="17" fillId="0" borderId="33" xfId="0" applyNumberFormat="1" applyFont="1" applyBorder="1" applyAlignment="1">
      <alignment horizontal="center" vertical="center"/>
    </xf>
    <xf numFmtId="3" fontId="17" fillId="0" borderId="10" xfId="0" applyNumberFormat="1" applyFont="1" applyBorder="1" applyAlignment="1">
      <alignment horizontal="center" vertical="center"/>
    </xf>
    <xf numFmtId="3" fontId="17" fillId="0" borderId="12" xfId="0" applyNumberFormat="1" applyFont="1" applyBorder="1" applyAlignment="1" applyProtection="1">
      <alignment horizontal="center" vertical="center"/>
      <protection hidden="1"/>
    </xf>
    <xf numFmtId="3" fontId="16" fillId="0" borderId="12" xfId="0" applyNumberFormat="1" applyFont="1" applyBorder="1" applyAlignment="1" applyProtection="1">
      <alignment horizontal="center" vertical="center"/>
      <protection hidden="1"/>
    </xf>
    <xf numFmtId="164" fontId="17" fillId="0" borderId="33" xfId="0" applyNumberFormat="1" applyFont="1" applyBorder="1" applyAlignment="1">
      <alignment horizontal="center" vertical="center"/>
    </xf>
    <xf numFmtId="164" fontId="17" fillId="0" borderId="10" xfId="0" applyNumberFormat="1" applyFont="1" applyBorder="1" applyAlignment="1">
      <alignment horizontal="center" vertical="center"/>
    </xf>
    <xf numFmtId="0" fontId="17" fillId="0" borderId="0" xfId="0" applyFont="1" applyProtection="1"/>
    <xf numFmtId="0" fontId="17" fillId="0" borderId="0" xfId="0" applyFont="1" applyAlignment="1" applyProtection="1">
      <alignment horizontal="left"/>
    </xf>
    <xf numFmtId="0" fontId="17" fillId="0" borderId="31" xfId="0" applyFont="1" applyBorder="1" applyAlignment="1" applyProtection="1">
      <alignment horizontal="left"/>
    </xf>
    <xf numFmtId="3" fontId="17" fillId="0" borderId="33" xfId="0" applyNumberFormat="1" applyFont="1" applyBorder="1" applyAlignment="1" applyProtection="1">
      <alignment horizontal="center"/>
      <protection hidden="1"/>
    </xf>
    <xf numFmtId="3" fontId="17" fillId="0" borderId="10" xfId="0" applyNumberFormat="1" applyFont="1" applyBorder="1" applyAlignment="1" applyProtection="1">
      <alignment horizontal="center"/>
      <protection hidden="1"/>
    </xf>
    <xf numFmtId="3" fontId="16" fillId="7" borderId="33" xfId="0" applyNumberFormat="1" applyFont="1" applyFill="1" applyBorder="1" applyAlignment="1" applyProtection="1">
      <alignment horizontal="center" vertical="center"/>
      <protection hidden="1"/>
    </xf>
    <xf numFmtId="3" fontId="16" fillId="7" borderId="10" xfId="0" applyNumberFormat="1" applyFont="1" applyFill="1" applyBorder="1" applyAlignment="1" applyProtection="1">
      <alignment horizontal="center" vertical="center"/>
      <protection hidden="1"/>
    </xf>
    <xf numFmtId="0" fontId="95" fillId="30" borderId="27" xfId="0" applyFont="1" applyFill="1" applyBorder="1" applyAlignment="1" applyProtection="1">
      <alignment horizontal="center"/>
      <protection hidden="1"/>
    </xf>
    <xf numFmtId="0" fontId="95" fillId="30" borderId="13" xfId="0" applyFont="1" applyFill="1" applyBorder="1" applyAlignment="1" applyProtection="1">
      <alignment horizontal="center"/>
      <protection hidden="1"/>
    </xf>
    <xf numFmtId="0" fontId="16" fillId="0" borderId="30" xfId="0" applyFont="1" applyBorder="1" applyAlignment="1">
      <alignment horizontal="left" vertical="center"/>
    </xf>
    <xf numFmtId="0" fontId="16" fillId="0" borderId="32" xfId="0" applyFont="1" applyBorder="1" applyAlignment="1">
      <alignment horizontal="left" vertical="center"/>
    </xf>
    <xf numFmtId="1" fontId="7" fillId="0" borderId="33" xfId="0" applyNumberFormat="1" applyFont="1" applyBorder="1" applyAlignment="1">
      <alignment horizontal="center"/>
    </xf>
    <xf numFmtId="1" fontId="7" fillId="0" borderId="10" xfId="0" applyNumberFormat="1" applyFont="1" applyBorder="1" applyAlignment="1">
      <alignment horizontal="center"/>
    </xf>
    <xf numFmtId="3" fontId="16" fillId="7" borderId="19" xfId="0" applyNumberFormat="1" applyFont="1" applyFill="1" applyBorder="1" applyAlignment="1" applyProtection="1">
      <alignment horizontal="center" vertical="center"/>
      <protection hidden="1"/>
    </xf>
    <xf numFmtId="3" fontId="16" fillId="7" borderId="0" xfId="0" applyNumberFormat="1" applyFont="1" applyFill="1" applyBorder="1" applyAlignment="1" applyProtection="1">
      <alignment horizontal="center" vertical="center"/>
      <protection hidden="1"/>
    </xf>
    <xf numFmtId="3" fontId="17" fillId="3" borderId="33" xfId="0" applyNumberFormat="1" applyFont="1" applyFill="1" applyBorder="1" applyAlignment="1" applyProtection="1">
      <alignment horizontal="center"/>
      <protection hidden="1"/>
    </xf>
    <xf numFmtId="3" fontId="17" fillId="3" borderId="10" xfId="0" applyNumberFormat="1" applyFont="1" applyFill="1" applyBorder="1" applyAlignment="1" applyProtection="1">
      <alignment horizontal="center"/>
      <protection hidden="1"/>
    </xf>
    <xf numFmtId="3" fontId="16" fillId="7" borderId="12" xfId="0" applyNumberFormat="1" applyFont="1" applyFill="1" applyBorder="1" applyAlignment="1" applyProtection="1">
      <alignment horizontal="center" vertical="center"/>
      <protection hidden="1"/>
    </xf>
    <xf numFmtId="0" fontId="17" fillId="0" borderId="0" xfId="0" applyFont="1" applyAlignment="1" applyProtection="1">
      <alignment horizontal="right" vertical="center" indent="1"/>
      <protection hidden="1"/>
    </xf>
    <xf numFmtId="49" fontId="17" fillId="0" borderId="33" xfId="0" applyNumberFormat="1" applyFont="1" applyBorder="1" applyAlignment="1" applyProtection="1">
      <alignment horizontal="left" vertical="center"/>
      <protection hidden="1"/>
    </xf>
    <xf numFmtId="49" fontId="17" fillId="0" borderId="12" xfId="0" applyNumberFormat="1" applyFont="1" applyBorder="1" applyAlignment="1" applyProtection="1">
      <alignment horizontal="left" vertical="center"/>
      <protection hidden="1"/>
    </xf>
    <xf numFmtId="49" fontId="17" fillId="0" borderId="10" xfId="0" applyNumberFormat="1" applyFont="1" applyBorder="1" applyAlignment="1" applyProtection="1">
      <alignment horizontal="left" vertical="center"/>
      <protection hidden="1"/>
    </xf>
    <xf numFmtId="1" fontId="109" fillId="30" borderId="30" xfId="0" applyNumberFormat="1" applyFont="1" applyFill="1" applyBorder="1" applyAlignment="1" applyProtection="1">
      <alignment horizontal="center"/>
      <protection hidden="1"/>
    </xf>
    <xf numFmtId="1" fontId="109" fillId="30" borderId="31" xfId="0" applyNumberFormat="1" applyFont="1" applyFill="1" applyBorder="1" applyAlignment="1" applyProtection="1">
      <alignment horizontal="center"/>
      <protection hidden="1"/>
    </xf>
    <xf numFmtId="1" fontId="109" fillId="30" borderId="32" xfId="0" applyNumberFormat="1" applyFont="1" applyFill="1" applyBorder="1" applyAlignment="1" applyProtection="1">
      <alignment horizontal="center"/>
      <protection hidden="1"/>
    </xf>
    <xf numFmtId="0" fontId="100" fillId="0" borderId="0" xfId="0" applyFont="1" applyAlignment="1">
      <alignment horizontal="center" vertical="center"/>
    </xf>
    <xf numFmtId="0" fontId="16" fillId="0" borderId="27" xfId="0" applyFont="1" applyBorder="1" applyAlignment="1">
      <alignment horizontal="right"/>
    </xf>
    <xf numFmtId="0" fontId="16" fillId="0" borderId="28" xfId="0" applyFont="1" applyBorder="1" applyAlignment="1">
      <alignment horizontal="right"/>
    </xf>
    <xf numFmtId="0" fontId="8" fillId="0" borderId="0" xfId="0" applyFont="1" applyAlignment="1">
      <alignment horizontal="right" vertical="center"/>
    </xf>
    <xf numFmtId="0" fontId="17" fillId="11" borderId="27" xfId="0" applyFont="1" applyFill="1" applyBorder="1" applyAlignment="1" applyProtection="1">
      <alignment vertical="center" wrapText="1"/>
      <protection locked="0"/>
    </xf>
    <xf numFmtId="0" fontId="17" fillId="11" borderId="28" xfId="0" applyFont="1" applyFill="1" applyBorder="1" applyAlignment="1" applyProtection="1">
      <alignment vertical="center" wrapText="1"/>
      <protection locked="0"/>
    </xf>
    <xf numFmtId="0" fontId="17" fillId="11" borderId="13" xfId="0" applyFont="1" applyFill="1" applyBorder="1" applyAlignment="1" applyProtection="1">
      <alignment vertical="center" wrapText="1"/>
      <protection locked="0"/>
    </xf>
    <xf numFmtId="0" fontId="17" fillId="11" borderId="30" xfId="0" applyFont="1" applyFill="1" applyBorder="1" applyAlignment="1" applyProtection="1">
      <alignment vertical="center" wrapText="1"/>
      <protection locked="0"/>
    </xf>
    <xf numFmtId="0" fontId="17" fillId="11" borderId="31" xfId="0" applyFont="1" applyFill="1" applyBorder="1" applyAlignment="1" applyProtection="1">
      <alignment vertical="center" wrapText="1"/>
      <protection locked="0"/>
    </xf>
    <xf numFmtId="0" fontId="17" fillId="11" borderId="32" xfId="0" applyFont="1" applyFill="1" applyBorder="1" applyAlignment="1" applyProtection="1">
      <alignment vertical="center" wrapText="1"/>
      <protection locked="0"/>
    </xf>
    <xf numFmtId="0" fontId="10" fillId="0" borderId="0" xfId="0" applyFont="1" applyAlignment="1">
      <alignment horizontal="left"/>
    </xf>
    <xf numFmtId="0" fontId="8" fillId="0" borderId="0" xfId="0" applyFont="1" applyFill="1" applyAlignment="1">
      <alignment wrapText="1"/>
    </xf>
    <xf numFmtId="0" fontId="17" fillId="11" borderId="27" xfId="0" applyFont="1" applyFill="1" applyBorder="1" applyAlignment="1" applyProtection="1">
      <alignment horizontal="center" vertical="center"/>
      <protection locked="0"/>
    </xf>
    <xf numFmtId="0" fontId="17" fillId="11" borderId="13" xfId="0" applyFont="1" applyFill="1" applyBorder="1" applyAlignment="1" applyProtection="1">
      <alignment horizontal="center" vertical="center"/>
      <protection locked="0"/>
    </xf>
    <xf numFmtId="0" fontId="17" fillId="11" borderId="30" xfId="0" applyFont="1" applyFill="1" applyBorder="1" applyAlignment="1" applyProtection="1">
      <alignment horizontal="center" vertical="center"/>
      <protection locked="0"/>
    </xf>
    <xf numFmtId="0" fontId="17" fillId="11" borderId="32" xfId="0" applyFont="1" applyFill="1" applyBorder="1" applyAlignment="1" applyProtection="1">
      <alignment horizontal="center" vertical="center"/>
      <protection locked="0"/>
    </xf>
    <xf numFmtId="0" fontId="10" fillId="0" borderId="31" xfId="1" applyFont="1" applyBorder="1" applyAlignment="1" applyProtection="1">
      <alignment horizontal="center" wrapText="1"/>
      <protection hidden="1"/>
    </xf>
    <xf numFmtId="0" fontId="17" fillId="0" borderId="27" xfId="0" applyFont="1" applyBorder="1" applyAlignment="1" applyProtection="1">
      <alignment horizontal="left" vertical="center" wrapText="1" indent="1"/>
      <protection hidden="1"/>
    </xf>
    <xf numFmtId="0" fontId="17" fillId="0" borderId="28" xfId="0" applyFont="1" applyBorder="1" applyAlignment="1" applyProtection="1">
      <alignment horizontal="left" vertical="center" wrapText="1" indent="1"/>
      <protection hidden="1"/>
    </xf>
    <xf numFmtId="0" fontId="17" fillId="0" borderId="30" xfId="0" applyFont="1" applyBorder="1" applyAlignment="1" applyProtection="1">
      <alignment horizontal="left" vertical="center" wrapText="1" indent="1"/>
      <protection hidden="1"/>
    </xf>
    <xf numFmtId="0" fontId="17" fillId="0" borderId="31" xfId="0" applyFont="1" applyBorder="1" applyAlignment="1" applyProtection="1">
      <alignment horizontal="left" vertical="center" wrapText="1" indent="1"/>
      <protection hidden="1"/>
    </xf>
    <xf numFmtId="0" fontId="17" fillId="11" borderId="14" xfId="0" applyFont="1" applyFill="1" applyBorder="1" applyAlignment="1" applyProtection="1">
      <alignment horizontal="left" vertical="center"/>
      <protection locked="0"/>
    </xf>
    <xf numFmtId="0" fontId="95" fillId="30" borderId="28" xfId="0" applyFont="1" applyFill="1" applyBorder="1" applyAlignment="1" applyProtection="1">
      <alignment horizontal="center"/>
      <protection hidden="1"/>
    </xf>
    <xf numFmtId="0" fontId="17" fillId="7" borderId="0" xfId="0" applyFont="1" applyFill="1" applyAlignment="1">
      <alignment horizontal="left" vertical="center"/>
    </xf>
    <xf numFmtId="0" fontId="17" fillId="7" borderId="29" xfId="0" applyFont="1" applyFill="1" applyBorder="1" applyAlignment="1">
      <alignment horizontal="left" vertical="center"/>
    </xf>
    <xf numFmtId="0" fontId="17" fillId="7" borderId="39" xfId="0" applyFont="1" applyFill="1" applyBorder="1" applyAlignment="1">
      <alignment horizontal="left" vertical="center"/>
    </xf>
    <xf numFmtId="0" fontId="7" fillId="0" borderId="31" xfId="0" applyFont="1" applyBorder="1" applyAlignment="1">
      <alignment horizontal="left"/>
    </xf>
    <xf numFmtId="1" fontId="109" fillId="30" borderId="30" xfId="0" applyNumberFormat="1" applyFont="1" applyFill="1" applyBorder="1" applyAlignment="1">
      <alignment horizontal="center"/>
    </xf>
    <xf numFmtId="1" fontId="109" fillId="30" borderId="32" xfId="0" applyNumberFormat="1" applyFont="1" applyFill="1" applyBorder="1" applyAlignment="1">
      <alignment horizontal="center"/>
    </xf>
    <xf numFmtId="3" fontId="17" fillId="0" borderId="0" xfId="0" applyNumberFormat="1" applyFont="1" applyBorder="1" applyAlignment="1" applyProtection="1">
      <alignment horizontal="right"/>
      <protection locked="0"/>
    </xf>
    <xf numFmtId="3" fontId="17" fillId="0" borderId="14" xfId="0" applyNumberFormat="1" applyFont="1" applyBorder="1" applyAlignment="1">
      <alignment horizontal="center" vertical="center"/>
    </xf>
    <xf numFmtId="0" fontId="17" fillId="0" borderId="29" xfId="0" applyFont="1" applyBorder="1" applyAlignment="1" applyProtection="1">
      <alignment horizontal="right" vertical="center" indent="1"/>
      <protection hidden="1"/>
    </xf>
    <xf numFmtId="0" fontId="111" fillId="30" borderId="28" xfId="0" applyFont="1" applyFill="1" applyBorder="1" applyAlignment="1">
      <alignment horizontal="left" vertical="center"/>
    </xf>
    <xf numFmtId="0" fontId="110" fillId="30" borderId="31" xfId="0" applyFont="1" applyFill="1" applyBorder="1" applyAlignment="1">
      <alignment horizontal="left" vertical="center"/>
    </xf>
    <xf numFmtId="3" fontId="59" fillId="0" borderId="14" xfId="0" applyNumberFormat="1" applyFont="1" applyBorder="1" applyAlignment="1" applyProtection="1">
      <alignment horizontal="center" vertical="center"/>
      <protection hidden="1"/>
    </xf>
    <xf numFmtId="49" fontId="17" fillId="11" borderId="33" xfId="0" applyNumberFormat="1" applyFont="1" applyFill="1" applyBorder="1" applyAlignment="1" applyProtection="1">
      <alignment horizontal="left" vertical="center"/>
      <protection locked="0"/>
    </xf>
    <xf numFmtId="49" fontId="17" fillId="11" borderId="12" xfId="0" applyNumberFormat="1" applyFont="1" applyFill="1" applyBorder="1" applyAlignment="1" applyProtection="1">
      <alignment horizontal="left" vertical="center"/>
      <protection locked="0"/>
    </xf>
    <xf numFmtId="49" fontId="17" fillId="11" borderId="10" xfId="0" applyNumberFormat="1" applyFont="1" applyFill="1" applyBorder="1" applyAlignment="1" applyProtection="1">
      <alignment horizontal="left" vertical="center"/>
      <protection locked="0"/>
    </xf>
    <xf numFmtId="0" fontId="16" fillId="0" borderId="28" xfId="0" applyFont="1" applyBorder="1" applyAlignment="1">
      <alignment horizontal="right" indent="1"/>
    </xf>
    <xf numFmtId="0" fontId="16" fillId="0" borderId="13" xfId="0" applyFont="1" applyBorder="1" applyAlignment="1">
      <alignment horizontal="right" indent="1"/>
    </xf>
    <xf numFmtId="0" fontId="0" fillId="0" borderId="12" xfId="0" applyBorder="1" applyAlignment="1">
      <alignment horizontal="left"/>
    </xf>
    <xf numFmtId="0" fontId="0" fillId="0" borderId="10" xfId="0" applyBorder="1" applyAlignment="1">
      <alignment horizontal="left"/>
    </xf>
    <xf numFmtId="1" fontId="7" fillId="0" borderId="12" xfId="0" applyNumberFormat="1" applyFont="1" applyBorder="1" applyAlignment="1" applyProtection="1">
      <alignment horizontal="center"/>
      <protection hidden="1"/>
    </xf>
    <xf numFmtId="1" fontId="7" fillId="0" borderId="10" xfId="0" applyNumberFormat="1" applyFont="1" applyBorder="1" applyAlignment="1" applyProtection="1">
      <alignment horizontal="center"/>
      <protection hidden="1"/>
    </xf>
    <xf numFmtId="1" fontId="7" fillId="0" borderId="33" xfId="0" applyNumberFormat="1" applyFont="1" applyBorder="1" applyAlignment="1" applyProtection="1">
      <alignment horizontal="center"/>
      <protection hidden="1"/>
    </xf>
    <xf numFmtId="167" fontId="7" fillId="0" borderId="33" xfId="0" applyNumberFormat="1" applyFont="1" applyBorder="1" applyAlignment="1" applyProtection="1">
      <alignment horizontal="center"/>
      <protection hidden="1"/>
    </xf>
    <xf numFmtId="167" fontId="7" fillId="0" borderId="10" xfId="0" applyNumberFormat="1" applyFont="1" applyBorder="1" applyAlignment="1" applyProtection="1">
      <alignment horizontal="center"/>
      <protection hidden="1"/>
    </xf>
    <xf numFmtId="3" fontId="16" fillId="0" borderId="14" xfId="0" applyNumberFormat="1" applyFont="1" applyBorder="1" applyAlignment="1" applyProtection="1">
      <alignment horizontal="left" vertical="center"/>
      <protection hidden="1"/>
    </xf>
    <xf numFmtId="0" fontId="16" fillId="9" borderId="119" xfId="0" applyFont="1" applyFill="1" applyBorder="1" applyAlignment="1">
      <alignment horizontal="center" vertical="center"/>
    </xf>
    <xf numFmtId="0" fontId="16" fillId="9" borderId="120" xfId="0" applyFont="1" applyFill="1" applyBorder="1" applyAlignment="1">
      <alignment horizontal="center" vertical="center"/>
    </xf>
    <xf numFmtId="0" fontId="16" fillId="9" borderId="119" xfId="0" applyFont="1" applyFill="1" applyBorder="1" applyAlignment="1">
      <alignment horizontal="left" vertical="center"/>
    </xf>
    <xf numFmtId="0" fontId="16" fillId="9" borderId="120" xfId="0" applyFont="1" applyFill="1" applyBorder="1" applyAlignment="1">
      <alignment horizontal="left" vertical="center"/>
    </xf>
    <xf numFmtId="0" fontId="16" fillId="9" borderId="121" xfId="0" applyFont="1" applyFill="1" applyBorder="1" applyAlignment="1">
      <alignment horizontal="left" vertical="center"/>
    </xf>
    <xf numFmtId="3" fontId="16" fillId="7" borderId="30" xfId="0" applyNumberFormat="1" applyFont="1" applyFill="1" applyBorder="1" applyAlignment="1" applyProtection="1">
      <alignment horizontal="center" vertical="center"/>
      <protection hidden="1"/>
    </xf>
    <xf numFmtId="3" fontId="16" fillId="7" borderId="31" xfId="0" applyNumberFormat="1" applyFont="1" applyFill="1" applyBorder="1" applyAlignment="1" applyProtection="1">
      <alignment horizontal="center" vertical="center"/>
      <protection hidden="1"/>
    </xf>
    <xf numFmtId="164" fontId="48" fillId="0" borderId="33" xfId="0" applyNumberFormat="1" applyFont="1" applyBorder="1" applyAlignment="1" applyProtection="1">
      <alignment horizontal="center" vertical="center"/>
      <protection hidden="1"/>
    </xf>
    <xf numFmtId="164" fontId="48" fillId="0" borderId="10" xfId="0" applyNumberFormat="1" applyFont="1" applyBorder="1" applyAlignment="1" applyProtection="1">
      <alignment horizontal="center" vertical="center"/>
      <protection hidden="1"/>
    </xf>
    <xf numFmtId="0" fontId="7" fillId="0" borderId="31" xfId="0" applyFont="1" applyBorder="1" applyAlignment="1">
      <alignment horizontal="left" vertical="center"/>
    </xf>
    <xf numFmtId="49" fontId="17" fillId="3" borderId="15" xfId="0" applyNumberFormat="1" applyFont="1" applyFill="1" applyBorder="1" applyAlignment="1">
      <alignment horizontal="left" vertical="center"/>
    </xf>
    <xf numFmtId="49" fontId="17" fillId="3" borderId="12" xfId="0" applyNumberFormat="1" applyFont="1" applyFill="1" applyBorder="1" applyAlignment="1">
      <alignment horizontal="left" vertical="center"/>
    </xf>
    <xf numFmtId="49" fontId="17" fillId="3" borderId="10" xfId="0" applyNumberFormat="1" applyFont="1" applyFill="1" applyBorder="1" applyAlignment="1">
      <alignment horizontal="left" vertical="center"/>
    </xf>
    <xf numFmtId="0" fontId="17" fillId="0" borderId="12" xfId="0" applyFont="1" applyBorder="1" applyAlignment="1" applyProtection="1">
      <alignment horizontal="left" vertical="center"/>
      <protection hidden="1"/>
    </xf>
    <xf numFmtId="0" fontId="17" fillId="0" borderId="10" xfId="0" applyFont="1" applyBorder="1" applyAlignment="1" applyProtection="1">
      <alignment horizontal="left" vertical="center"/>
      <protection hidden="1"/>
    </xf>
    <xf numFmtId="0" fontId="17" fillId="0" borderId="15" xfId="0" applyFont="1" applyBorder="1" applyAlignment="1" applyProtection="1">
      <alignment horizontal="left" vertical="center"/>
      <protection hidden="1"/>
    </xf>
    <xf numFmtId="0" fontId="16" fillId="0" borderId="33" xfId="0" applyFont="1" applyBorder="1" applyAlignment="1" applyProtection="1">
      <alignment horizontal="left" vertical="center" wrapText="1"/>
      <protection hidden="1"/>
    </xf>
    <xf numFmtId="0" fontId="16" fillId="0" borderId="12" xfId="0" applyFont="1" applyBorder="1" applyAlignment="1" applyProtection="1">
      <alignment horizontal="left" vertical="center" wrapText="1"/>
      <protection hidden="1"/>
    </xf>
    <xf numFmtId="1" fontId="95" fillId="30" borderId="33" xfId="0" applyNumberFormat="1" applyFont="1" applyFill="1" applyBorder="1" applyAlignment="1" applyProtection="1">
      <alignment horizontal="center" vertical="center"/>
      <protection hidden="1"/>
    </xf>
    <xf numFmtId="1" fontId="95" fillId="30" borderId="10" xfId="0" applyNumberFormat="1" applyFont="1" applyFill="1" applyBorder="1" applyAlignment="1" applyProtection="1">
      <alignment horizontal="center" vertical="center"/>
      <protection hidden="1"/>
    </xf>
    <xf numFmtId="14" fontId="7" fillId="0" borderId="31" xfId="0" applyNumberFormat="1" applyFont="1" applyBorder="1" applyAlignment="1">
      <alignment horizontal="left"/>
    </xf>
    <xf numFmtId="0" fontId="71" fillId="0" borderId="0" xfId="0" applyFont="1" applyAlignment="1">
      <alignment horizontal="center" vertical="center"/>
    </xf>
    <xf numFmtId="0" fontId="33" fillId="0" borderId="0" xfId="0" applyFont="1" applyBorder="1" applyAlignment="1">
      <alignment horizontal="left" vertical="center"/>
    </xf>
    <xf numFmtId="0" fontId="58" fillId="0" borderId="0" xfId="0" applyFont="1" applyBorder="1" applyAlignment="1">
      <alignment horizontal="center" wrapText="1"/>
    </xf>
    <xf numFmtId="0" fontId="48" fillId="0" borderId="33" xfId="0" applyFont="1" applyBorder="1" applyAlignment="1">
      <alignment horizontal="left" vertical="center"/>
    </xf>
    <xf numFmtId="0" fontId="48" fillId="0" borderId="10" xfId="0" applyFont="1" applyBorder="1" applyAlignment="1">
      <alignment horizontal="left" vertical="center"/>
    </xf>
    <xf numFmtId="0" fontId="47" fillId="0" borderId="33" xfId="0" applyFont="1" applyBorder="1" applyAlignment="1">
      <alignment horizontal="left" vertical="center"/>
    </xf>
    <xf numFmtId="0" fontId="47" fillId="0" borderId="12" xfId="0" applyFont="1" applyBorder="1" applyAlignment="1">
      <alignment horizontal="left" vertical="center"/>
    </xf>
    <xf numFmtId="0" fontId="47" fillId="0" borderId="10" xfId="0" applyFont="1" applyBorder="1" applyAlignment="1">
      <alignment horizontal="left" vertical="center"/>
    </xf>
    <xf numFmtId="0" fontId="9" fillId="5"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47" fillId="0" borderId="47" xfId="0" applyFont="1" applyBorder="1" applyAlignment="1">
      <alignment horizontal="center" vertical="center"/>
    </xf>
    <xf numFmtId="0" fontId="47" fillId="0" borderId="63" xfId="0" applyFont="1" applyBorder="1" applyAlignment="1">
      <alignment horizontal="center" vertical="center"/>
    </xf>
    <xf numFmtId="0" fontId="38" fillId="11" borderId="0" xfId="0" applyFont="1" applyFill="1" applyAlignment="1" applyProtection="1">
      <alignment horizontal="left"/>
      <protection locked="0"/>
    </xf>
    <xf numFmtId="0" fontId="38" fillId="3" borderId="0" xfId="0" applyFont="1" applyFill="1" applyAlignment="1">
      <alignment horizontal="center"/>
    </xf>
    <xf numFmtId="0" fontId="49" fillId="3" borderId="0" xfId="0" applyFont="1" applyFill="1" applyAlignment="1" applyProtection="1">
      <alignment horizontal="left" vertical="center"/>
      <protection hidden="1"/>
    </xf>
    <xf numFmtId="0" fontId="109" fillId="30" borderId="22" xfId="0" applyFont="1" applyFill="1" applyBorder="1" applyAlignment="1">
      <alignment horizontal="center" vertical="center"/>
    </xf>
    <xf numFmtId="0" fontId="109" fillId="30" borderId="81" xfId="0" applyFont="1" applyFill="1" applyBorder="1" applyAlignment="1">
      <alignment horizontal="center" vertical="center"/>
    </xf>
    <xf numFmtId="0" fontId="71" fillId="0" borderId="0" xfId="0" applyFont="1" applyAlignment="1">
      <alignment horizontal="center"/>
    </xf>
    <xf numFmtId="0" fontId="7" fillId="7" borderId="2" xfId="0" applyFont="1" applyFill="1" applyBorder="1" applyAlignment="1">
      <alignment vertical="center"/>
    </xf>
    <xf numFmtId="0" fontId="0" fillId="0" borderId="63" xfId="0" applyBorder="1" applyAlignment="1">
      <alignment vertical="center"/>
    </xf>
    <xf numFmtId="0" fontId="74" fillId="0" borderId="33" xfId="0" applyFont="1" applyBorder="1" applyAlignment="1">
      <alignment horizontal="left" vertical="center"/>
    </xf>
    <xf numFmtId="0" fontId="75" fillId="0" borderId="12" xfId="0" applyFont="1" applyBorder="1" applyAlignment="1">
      <alignment horizontal="left" vertical="center"/>
    </xf>
    <xf numFmtId="0" fontId="75" fillId="0" borderId="10" xfId="0" applyFont="1" applyBorder="1" applyAlignment="1">
      <alignment horizontal="left" vertical="center"/>
    </xf>
    <xf numFmtId="0" fontId="7" fillId="7" borderId="27" xfId="0"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protection locked="0"/>
    </xf>
    <xf numFmtId="49" fontId="40" fillId="11" borderId="0" xfId="0" applyNumberFormat="1" applyFont="1" applyFill="1" applyAlignment="1" applyProtection="1">
      <alignment horizontal="left"/>
      <protection locked="0"/>
    </xf>
    <xf numFmtId="0" fontId="109" fillId="30" borderId="7" xfId="0" applyFont="1" applyFill="1" applyBorder="1" applyAlignment="1">
      <alignment horizontal="center" vertical="center"/>
    </xf>
    <xf numFmtId="0" fontId="16" fillId="8" borderId="53" xfId="0" applyFont="1" applyFill="1" applyBorder="1" applyAlignment="1" applyProtection="1">
      <alignment horizontal="left"/>
      <protection hidden="1"/>
    </xf>
    <xf numFmtId="0" fontId="16" fillId="8" borderId="54" xfId="0" applyFont="1" applyFill="1" applyBorder="1" applyAlignment="1" applyProtection="1">
      <alignment horizontal="left"/>
      <protection hidden="1"/>
    </xf>
    <xf numFmtId="0" fontId="16" fillId="8" borderId="37" xfId="0" applyFont="1" applyFill="1" applyBorder="1" applyAlignment="1" applyProtection="1">
      <alignment horizontal="left"/>
      <protection hidden="1"/>
    </xf>
    <xf numFmtId="0" fontId="7" fillId="13" borderId="59" xfId="0" applyFont="1" applyFill="1" applyBorder="1" applyAlignment="1">
      <alignment horizontal="center" vertical="center"/>
    </xf>
    <xf numFmtId="0" fontId="7" fillId="13" borderId="84" xfId="0" applyFont="1" applyFill="1" applyBorder="1" applyAlignment="1">
      <alignment horizontal="center" vertical="center"/>
    </xf>
    <xf numFmtId="0" fontId="7" fillId="13" borderId="60" xfId="0" applyFont="1" applyFill="1" applyBorder="1" applyAlignment="1">
      <alignment horizontal="center" vertical="center"/>
    </xf>
    <xf numFmtId="0" fontId="17" fillId="0" borderId="82" xfId="0" applyFont="1" applyBorder="1" applyAlignment="1">
      <alignment horizontal="left" vertical="center"/>
    </xf>
    <xf numFmtId="0" fontId="17" fillId="0" borderId="83" xfId="0" applyFont="1" applyBorder="1" applyAlignment="1">
      <alignment horizontal="left" vertical="center"/>
    </xf>
    <xf numFmtId="0" fontId="17" fillId="0" borderId="76" xfId="0" applyFont="1" applyBorder="1" applyAlignment="1">
      <alignment horizontal="left" vertical="center"/>
    </xf>
    <xf numFmtId="0" fontId="74" fillId="0" borderId="119" xfId="0" applyFont="1" applyBorder="1" applyAlignment="1">
      <alignment horizontal="left" vertical="center"/>
    </xf>
    <xf numFmtId="0" fontId="74" fillId="0" borderId="120" xfId="0" applyFont="1" applyBorder="1" applyAlignment="1">
      <alignment horizontal="left" vertical="center"/>
    </xf>
    <xf numFmtId="0" fontId="74" fillId="0" borderId="121" xfId="0" applyFont="1" applyBorder="1" applyAlignment="1">
      <alignment horizontal="left" vertical="center"/>
    </xf>
    <xf numFmtId="0" fontId="7" fillId="8" borderId="30" xfId="0" applyFont="1" applyFill="1" applyBorder="1" applyAlignment="1" applyProtection="1">
      <alignment horizontal="left"/>
      <protection hidden="1"/>
    </xf>
    <xf numFmtId="0" fontId="7" fillId="8" borderId="31" xfId="0" applyFont="1" applyFill="1" applyBorder="1" applyAlignment="1" applyProtection="1">
      <alignment horizontal="left"/>
      <protection hidden="1"/>
    </xf>
    <xf numFmtId="0" fontId="7" fillId="8" borderId="32" xfId="0" applyFont="1" applyFill="1" applyBorder="1" applyAlignment="1" applyProtection="1">
      <alignment horizontal="left"/>
      <protection hidden="1"/>
    </xf>
    <xf numFmtId="0" fontId="0" fillId="0" borderId="12" xfId="0" applyBorder="1" applyAlignment="1">
      <alignment horizontal="left" vertical="center"/>
    </xf>
    <xf numFmtId="0" fontId="47" fillId="0" borderId="27" xfId="0" applyFont="1" applyBorder="1" applyAlignment="1">
      <alignment horizontal="left" vertical="center"/>
    </xf>
    <xf numFmtId="0" fontId="0" fillId="0" borderId="28" xfId="0" applyBorder="1" applyAlignment="1">
      <alignment horizontal="left" vertical="center"/>
    </xf>
    <xf numFmtId="0" fontId="76" fillId="0" borderId="33" xfId="0" applyFont="1" applyBorder="1" applyAlignment="1">
      <alignment horizontal="left" vertical="center"/>
    </xf>
    <xf numFmtId="0" fontId="77" fillId="0" borderId="12" xfId="0" applyFont="1" applyBorder="1" applyAlignment="1">
      <alignment horizontal="left" vertical="center"/>
    </xf>
    <xf numFmtId="0" fontId="7" fillId="8" borderId="33" xfId="0" applyFont="1" applyFill="1" applyBorder="1" applyAlignment="1" applyProtection="1">
      <alignment horizontal="left"/>
      <protection hidden="1"/>
    </xf>
    <xf numFmtId="0" fontId="7" fillId="8" borderId="12" xfId="0" applyFont="1" applyFill="1" applyBorder="1" applyAlignment="1" applyProtection="1">
      <alignment horizontal="left"/>
      <protection hidden="1"/>
    </xf>
    <xf numFmtId="0" fontId="7" fillId="8" borderId="10" xfId="0" applyFont="1" applyFill="1" applyBorder="1" applyAlignment="1" applyProtection="1">
      <alignment horizontal="left"/>
      <protection hidden="1"/>
    </xf>
    <xf numFmtId="0" fontId="47" fillId="0" borderId="82" xfId="0" applyFont="1" applyBorder="1" applyAlignment="1">
      <alignment horizontal="left" vertical="center"/>
    </xf>
    <xf numFmtId="0" fontId="47" fillId="0" borderId="83" xfId="0" applyFont="1" applyBorder="1" applyAlignment="1">
      <alignment horizontal="left" vertical="center"/>
    </xf>
    <xf numFmtId="0" fontId="0" fillId="0" borderId="10" xfId="0" applyBorder="1" applyAlignment="1">
      <alignment horizontal="left" vertical="center"/>
    </xf>
    <xf numFmtId="0" fontId="48" fillId="0" borderId="12" xfId="0" applyFont="1" applyBorder="1" applyAlignment="1">
      <alignment horizontal="left" vertical="center"/>
    </xf>
    <xf numFmtId="0" fontId="61" fillId="0" borderId="33" xfId="0" applyFont="1" applyBorder="1" applyAlignment="1">
      <alignment horizontal="left" vertical="center"/>
    </xf>
    <xf numFmtId="0" fontId="61" fillId="0" borderId="12" xfId="0" applyFont="1" applyBorder="1" applyAlignment="1">
      <alignment horizontal="left" vertical="center"/>
    </xf>
    <xf numFmtId="0" fontId="61" fillId="0" borderId="10" xfId="0" applyFont="1" applyBorder="1" applyAlignment="1">
      <alignment horizontal="left" vertical="center"/>
    </xf>
    <xf numFmtId="0" fontId="7" fillId="9" borderId="31" xfId="0" applyFont="1" applyFill="1" applyBorder="1" applyAlignment="1" applyProtection="1">
      <alignment horizontal="left" vertical="center"/>
      <protection locked="0"/>
    </xf>
    <xf numFmtId="0" fontId="88" fillId="9" borderId="0" xfId="0" applyFont="1" applyFill="1" applyAlignment="1">
      <alignment horizontal="center" vertical="center"/>
    </xf>
    <xf numFmtId="0" fontId="89" fillId="9" borderId="0" xfId="0" applyFont="1" applyFill="1" applyAlignment="1">
      <alignment horizontal="center" vertical="center"/>
    </xf>
    <xf numFmtId="0" fontId="70" fillId="0" borderId="0" xfId="0" applyFont="1" applyAlignment="1">
      <alignment horizontal="center" vertical="center"/>
    </xf>
    <xf numFmtId="0" fontId="109" fillId="30" borderId="0" xfId="0" applyFont="1" applyFill="1" applyBorder="1" applyAlignment="1">
      <alignment horizontal="center" vertical="center" wrapText="1"/>
    </xf>
    <xf numFmtId="0" fontId="109" fillId="30" borderId="20" xfId="0" applyFont="1" applyFill="1" applyBorder="1" applyAlignment="1">
      <alignment horizontal="center" vertical="center" wrapText="1"/>
    </xf>
    <xf numFmtId="0" fontId="16" fillId="0" borderId="117" xfId="0" applyFont="1" applyBorder="1" applyAlignment="1">
      <alignment horizontal="left" vertical="center"/>
    </xf>
    <xf numFmtId="0" fontId="17" fillId="0" borderId="125" xfId="0" applyFont="1" applyBorder="1" applyAlignment="1">
      <alignment horizontal="left" vertical="center"/>
    </xf>
    <xf numFmtId="0" fontId="17" fillId="0" borderId="70" xfId="0" applyFont="1" applyBorder="1" applyAlignment="1">
      <alignment horizontal="left" vertical="center"/>
    </xf>
    <xf numFmtId="0" fontId="16" fillId="0" borderId="31" xfId="0" applyFont="1" applyBorder="1" applyAlignment="1">
      <alignment horizontal="left" vertical="center"/>
    </xf>
    <xf numFmtId="0" fontId="17" fillId="0" borderId="11" xfId="0" applyFont="1" applyBorder="1" applyAlignment="1">
      <alignment horizontal="left" vertical="center"/>
    </xf>
    <xf numFmtId="0" fontId="16" fillId="0" borderId="31" xfId="0" applyFont="1" applyFill="1" applyBorder="1" applyAlignment="1" applyProtection="1">
      <alignment horizontal="left" vertical="center"/>
      <protection hidden="1"/>
    </xf>
    <xf numFmtId="0" fontId="16" fillId="5" borderId="0" xfId="0" applyFont="1" applyFill="1" applyAlignment="1" applyProtection="1">
      <alignment horizontal="center" vertical="center"/>
      <protection locked="0"/>
    </xf>
    <xf numFmtId="0" fontId="16" fillId="0" borderId="0" xfId="0" applyFont="1" applyAlignment="1">
      <alignment horizontal="left"/>
    </xf>
    <xf numFmtId="0" fontId="5" fillId="0" borderId="116" xfId="0" applyFont="1" applyBorder="1" applyAlignment="1">
      <alignment horizontal="center" vertical="center"/>
    </xf>
    <xf numFmtId="0" fontId="5" fillId="0" borderId="117" xfId="0" applyFont="1" applyBorder="1" applyAlignment="1">
      <alignment horizontal="center" vertical="center"/>
    </xf>
    <xf numFmtId="0" fontId="6" fillId="0" borderId="0" xfId="0" applyFont="1" applyAlignment="1">
      <alignment horizontal="left"/>
    </xf>
    <xf numFmtId="0" fontId="7" fillId="0" borderId="0" xfId="0" applyFont="1" applyBorder="1" applyAlignment="1">
      <alignment horizontal="left"/>
    </xf>
    <xf numFmtId="0" fontId="6" fillId="0" borderId="0" xfId="0" applyFont="1" applyBorder="1" applyAlignment="1">
      <alignment horizontal="left"/>
    </xf>
    <xf numFmtId="0" fontId="58" fillId="0" borderId="0" xfId="0" applyFont="1" applyAlignment="1">
      <alignment horizontal="center" wrapText="1"/>
    </xf>
    <xf numFmtId="164" fontId="17" fillId="9" borderId="14" xfId="0" applyNumberFormat="1" applyFont="1" applyFill="1" applyBorder="1" applyAlignment="1" applyProtection="1">
      <alignment horizontal="center" vertical="center"/>
      <protection locked="0"/>
    </xf>
    <xf numFmtId="3" fontId="16" fillId="7" borderId="14" xfId="0" applyNumberFormat="1" applyFont="1" applyFill="1" applyBorder="1" applyAlignment="1" applyProtection="1">
      <alignment horizontal="center" vertical="center"/>
      <protection hidden="1"/>
    </xf>
    <xf numFmtId="0" fontId="7" fillId="0" borderId="0" xfId="0" applyFont="1" applyAlignment="1">
      <alignment horizontal="left" vertical="center"/>
    </xf>
    <xf numFmtId="0" fontId="0" fillId="0" borderId="0" xfId="0" applyAlignment="1">
      <alignment horizontal="left" vertical="center"/>
    </xf>
    <xf numFmtId="3" fontId="17" fillId="9" borderId="33" xfId="0" applyNumberFormat="1" applyFont="1" applyFill="1" applyBorder="1" applyAlignment="1" applyProtection="1">
      <alignment horizontal="center" vertical="center"/>
      <protection locked="0"/>
    </xf>
    <xf numFmtId="3" fontId="17" fillId="9" borderId="10" xfId="0" applyNumberFormat="1" applyFont="1" applyFill="1" applyBorder="1" applyAlignment="1" applyProtection="1">
      <alignment horizontal="center" vertical="center"/>
      <protection locked="0"/>
    </xf>
    <xf numFmtId="49" fontId="17" fillId="9" borderId="12" xfId="0" applyNumberFormat="1" applyFont="1" applyFill="1" applyBorder="1" applyAlignment="1" applyProtection="1">
      <alignment horizontal="left" vertical="center"/>
      <protection locked="0"/>
    </xf>
    <xf numFmtId="49" fontId="17" fillId="9" borderId="10" xfId="0" applyNumberFormat="1" applyFont="1" applyFill="1" applyBorder="1" applyAlignment="1" applyProtection="1">
      <alignment horizontal="left" vertical="center"/>
      <protection locked="0"/>
    </xf>
    <xf numFmtId="0" fontId="16" fillId="9" borderId="30" xfId="0" applyFont="1" applyFill="1" applyBorder="1" applyAlignment="1">
      <alignment horizontal="center" vertical="center"/>
    </xf>
    <xf numFmtId="0" fontId="16" fillId="9" borderId="32" xfId="0" applyFont="1" applyFill="1" applyBorder="1" applyAlignment="1">
      <alignment horizontal="center" vertical="center"/>
    </xf>
    <xf numFmtId="0" fontId="17" fillId="9" borderId="12" xfId="0" applyFont="1" applyFill="1" applyBorder="1" applyAlignment="1" applyProtection="1">
      <alignment horizontal="left" vertical="center"/>
      <protection locked="0"/>
    </xf>
    <xf numFmtId="0" fontId="17" fillId="9" borderId="10" xfId="0" applyFont="1" applyFill="1" applyBorder="1" applyAlignment="1" applyProtection="1">
      <alignment horizontal="left" vertical="center"/>
      <protection locked="0"/>
    </xf>
    <xf numFmtId="49" fontId="17" fillId="9" borderId="33" xfId="0" applyNumberFormat="1" applyFont="1" applyFill="1" applyBorder="1" applyAlignment="1" applyProtection="1">
      <alignment horizontal="left" vertical="center"/>
      <protection locked="0"/>
    </xf>
    <xf numFmtId="0" fontId="17" fillId="9" borderId="33" xfId="0" applyFont="1" applyFill="1" applyBorder="1" applyAlignment="1" applyProtection="1">
      <alignment horizontal="left" vertical="center"/>
      <protection locked="0"/>
    </xf>
    <xf numFmtId="3" fontId="16" fillId="7" borderId="49" xfId="0" applyNumberFormat="1" applyFont="1" applyFill="1" applyBorder="1" applyAlignment="1" applyProtection="1">
      <alignment horizontal="center" vertical="center"/>
      <protection hidden="1"/>
    </xf>
    <xf numFmtId="1" fontId="7" fillId="0" borderId="30" xfId="0" applyNumberFormat="1" applyFont="1" applyBorder="1" applyAlignment="1" applyProtection="1">
      <alignment horizontal="center"/>
      <protection hidden="1"/>
    </xf>
    <xf numFmtId="1" fontId="7" fillId="0" borderId="31" xfId="0" applyNumberFormat="1" applyFont="1" applyBorder="1" applyAlignment="1" applyProtection="1">
      <alignment horizontal="center"/>
      <protection hidden="1"/>
    </xf>
    <xf numFmtId="1" fontId="7" fillId="0" borderId="32" xfId="0" applyNumberFormat="1" applyFont="1" applyBorder="1" applyAlignment="1" applyProtection="1">
      <alignment horizontal="center"/>
      <protection hidden="1"/>
    </xf>
    <xf numFmtId="0" fontId="95" fillId="30" borderId="0" xfId="0" applyFont="1" applyFill="1" applyBorder="1" applyAlignment="1" applyProtection="1">
      <alignment horizontal="center"/>
      <protection hidden="1"/>
    </xf>
    <xf numFmtId="0" fontId="96" fillId="0" borderId="0" xfId="0" applyFont="1" applyBorder="1" applyAlignment="1" applyProtection="1">
      <alignment horizontal="left" vertical="center"/>
      <protection hidden="1"/>
    </xf>
    <xf numFmtId="0" fontId="16" fillId="5" borderId="0" xfId="0" applyFont="1" applyFill="1" applyAlignment="1" applyProtection="1">
      <alignment horizontal="center" vertical="center"/>
    </xf>
    <xf numFmtId="0" fontId="0" fillId="9" borderId="30" xfId="0" applyFill="1" applyBorder="1" applyAlignment="1" applyProtection="1">
      <alignment horizontal="left" vertical="center"/>
      <protection locked="0"/>
    </xf>
    <xf numFmtId="0" fontId="0" fillId="9" borderId="31" xfId="0" applyFill="1" applyBorder="1" applyAlignment="1" applyProtection="1">
      <alignment horizontal="left" vertical="center"/>
      <protection locked="0"/>
    </xf>
    <xf numFmtId="0" fontId="0" fillId="9" borderId="32" xfId="0" applyFill="1" applyBorder="1" applyAlignment="1" applyProtection="1">
      <alignment horizontal="left" vertical="center"/>
      <protection locked="0"/>
    </xf>
    <xf numFmtId="3" fontId="16" fillId="7" borderId="30" xfId="0" applyNumberFormat="1" applyFont="1" applyFill="1" applyBorder="1" applyAlignment="1" applyProtection="1">
      <alignment horizontal="center"/>
      <protection hidden="1"/>
    </xf>
    <xf numFmtId="3" fontId="16" fillId="7" borderId="32" xfId="0" applyNumberFormat="1" applyFont="1" applyFill="1" applyBorder="1" applyAlignment="1" applyProtection="1">
      <alignment horizontal="center"/>
      <protection hidden="1"/>
    </xf>
    <xf numFmtId="3" fontId="59" fillId="0" borderId="33" xfId="0" applyNumberFormat="1" applyFont="1" applyBorder="1" applyAlignment="1" applyProtection="1">
      <alignment horizontal="center" vertical="center"/>
      <protection hidden="1"/>
    </xf>
    <xf numFmtId="3" fontId="59" fillId="0" borderId="10" xfId="0" applyNumberFormat="1" applyFont="1" applyBorder="1" applyAlignment="1" applyProtection="1">
      <alignment horizontal="center" vertical="center"/>
      <protection hidden="1"/>
    </xf>
    <xf numFmtId="3" fontId="16" fillId="0" borderId="12" xfId="0" applyNumberFormat="1" applyFont="1" applyBorder="1" applyAlignment="1" applyProtection="1">
      <alignment horizontal="left" vertical="center"/>
      <protection hidden="1"/>
    </xf>
    <xf numFmtId="3" fontId="16" fillId="0" borderId="10" xfId="0" applyNumberFormat="1" applyFont="1" applyBorder="1" applyAlignment="1" applyProtection="1">
      <alignment horizontal="left" vertical="center"/>
      <protection hidden="1"/>
    </xf>
    <xf numFmtId="3" fontId="17" fillId="0" borderId="14" xfId="0" applyNumberFormat="1" applyFont="1" applyBorder="1" applyAlignment="1" applyProtection="1">
      <alignment horizontal="center" vertical="center"/>
      <protection hidden="1"/>
    </xf>
    <xf numFmtId="14" fontId="7" fillId="9" borderId="30" xfId="0" applyNumberFormat="1" applyFont="1" applyFill="1" applyBorder="1" applyAlignment="1" applyProtection="1">
      <alignment horizontal="left" vertical="center"/>
      <protection locked="0"/>
    </xf>
    <xf numFmtId="14" fontId="7" fillId="9" borderId="31" xfId="0" applyNumberFormat="1" applyFont="1" applyFill="1" applyBorder="1" applyAlignment="1" applyProtection="1">
      <alignment horizontal="left" vertical="center"/>
      <protection locked="0"/>
    </xf>
    <xf numFmtId="0" fontId="16" fillId="0" borderId="13" xfId="0" applyFont="1" applyBorder="1" applyAlignment="1">
      <alignment horizontal="right"/>
    </xf>
    <xf numFmtId="3" fontId="95" fillId="30" borderId="0" xfId="0" applyNumberFormat="1" applyFont="1" applyFill="1" applyBorder="1" applyAlignment="1" applyProtection="1">
      <alignment horizontal="center" vertical="center"/>
      <protection hidden="1"/>
    </xf>
    <xf numFmtId="1" fontId="109" fillId="30" borderId="0" xfId="0" applyNumberFormat="1" applyFont="1" applyFill="1" applyBorder="1" applyAlignment="1" applyProtection="1">
      <alignment horizontal="center"/>
      <protection hidden="1"/>
    </xf>
    <xf numFmtId="0" fontId="16" fillId="0" borderId="0" xfId="0" applyFont="1" applyAlignment="1">
      <alignment horizontal="right"/>
    </xf>
    <xf numFmtId="0" fontId="16" fillId="0" borderId="29" xfId="0" applyFont="1" applyBorder="1" applyAlignment="1">
      <alignment horizontal="right"/>
    </xf>
    <xf numFmtId="0" fontId="16" fillId="0" borderId="33" xfId="0" applyFont="1" applyBorder="1" applyAlignment="1" applyProtection="1">
      <alignment vertical="center" wrapText="1"/>
      <protection hidden="1"/>
    </xf>
    <xf numFmtId="0" fontId="16" fillId="0" borderId="12" xfId="0" applyFont="1" applyBorder="1" applyAlignment="1" applyProtection="1">
      <alignment vertical="center" wrapText="1"/>
      <protection hidden="1"/>
    </xf>
    <xf numFmtId="0" fontId="7" fillId="0" borderId="0" xfId="0" applyFont="1" applyBorder="1" applyAlignment="1">
      <alignment horizontal="left" vertical="center"/>
    </xf>
    <xf numFmtId="0" fontId="111" fillId="30" borderId="0" xfId="0" applyFont="1" applyFill="1" applyBorder="1" applyAlignment="1" applyProtection="1">
      <alignment horizontal="left" vertical="center"/>
      <protection hidden="1"/>
    </xf>
    <xf numFmtId="0" fontId="10" fillId="0" borderId="0" xfId="0" applyFont="1" applyAlignment="1">
      <alignment horizontal="left" vertical="center"/>
    </xf>
    <xf numFmtId="9" fontId="17" fillId="9" borderId="14" xfId="2" applyFont="1" applyFill="1" applyBorder="1" applyAlignment="1" applyProtection="1">
      <alignment horizontal="center"/>
      <protection locked="0"/>
    </xf>
    <xf numFmtId="14" fontId="7" fillId="0" borderId="0" xfId="0" applyNumberFormat="1" applyFont="1" applyBorder="1" applyAlignment="1">
      <alignment horizontal="right"/>
    </xf>
    <xf numFmtId="0" fontId="8" fillId="0" borderId="0" xfId="0" applyFont="1" applyAlignment="1">
      <alignment horizontal="right" wrapText="1"/>
    </xf>
    <xf numFmtId="3" fontId="17" fillId="0" borderId="0" xfId="0" applyNumberFormat="1" applyFont="1" applyBorder="1" applyAlignment="1" applyProtection="1">
      <alignment horizontal="right" vertical="center"/>
      <protection hidden="1"/>
    </xf>
    <xf numFmtId="1" fontId="109" fillId="30" borderId="0" xfId="0" applyNumberFormat="1" applyFont="1" applyFill="1" applyBorder="1" applyAlignment="1">
      <alignment horizontal="center"/>
    </xf>
    <xf numFmtId="1" fontId="7" fillId="0" borderId="30" xfId="0" applyNumberFormat="1" applyFont="1" applyBorder="1" applyAlignment="1">
      <alignment horizontal="center"/>
    </xf>
    <xf numFmtId="1" fontId="7" fillId="0" borderId="32" xfId="0" applyNumberFormat="1" applyFont="1" applyBorder="1" applyAlignment="1">
      <alignment horizontal="center"/>
    </xf>
    <xf numFmtId="3" fontId="17" fillId="0" borderId="63" xfId="0" applyNumberFormat="1" applyFont="1" applyBorder="1" applyAlignment="1" applyProtection="1">
      <alignment horizontal="center" vertical="center"/>
      <protection hidden="1"/>
    </xf>
    <xf numFmtId="0" fontId="17" fillId="9" borderId="14" xfId="0" applyFont="1" applyFill="1" applyBorder="1" applyAlignment="1" applyProtection="1">
      <alignment horizontal="center" vertical="center"/>
      <protection locked="0"/>
    </xf>
    <xf numFmtId="0" fontId="17" fillId="0" borderId="13" xfId="0" applyFont="1" applyBorder="1" applyAlignment="1" applyProtection="1">
      <alignment horizontal="left" vertical="center" wrapText="1" indent="1"/>
      <protection hidden="1"/>
    </xf>
    <xf numFmtId="0" fontId="17" fillId="0" borderId="32" xfId="0" applyFont="1" applyBorder="1" applyAlignment="1" applyProtection="1">
      <alignment horizontal="left" vertical="center" wrapText="1" indent="1"/>
      <protection hidden="1"/>
    </xf>
    <xf numFmtId="0" fontId="10" fillId="0" borderId="0" xfId="1" applyFont="1" applyAlignment="1" applyProtection="1">
      <alignment horizontal="center" wrapText="1"/>
      <protection hidden="1"/>
    </xf>
    <xf numFmtId="0" fontId="17" fillId="9" borderId="27" xfId="0" applyFont="1" applyFill="1" applyBorder="1" applyAlignment="1" applyProtection="1">
      <alignment horizontal="left" vertical="center" wrapText="1"/>
      <protection locked="0"/>
    </xf>
    <xf numFmtId="0" fontId="17" fillId="9" borderId="28" xfId="0" applyFont="1" applyFill="1" applyBorder="1" applyAlignment="1" applyProtection="1">
      <alignment horizontal="left" vertical="center" wrapText="1"/>
      <protection locked="0"/>
    </xf>
    <xf numFmtId="0" fontId="17" fillId="9" borderId="13" xfId="0" applyFont="1" applyFill="1" applyBorder="1" applyAlignment="1" applyProtection="1">
      <alignment horizontal="left" vertical="center" wrapText="1"/>
      <protection locked="0"/>
    </xf>
    <xf numFmtId="0" fontId="17" fillId="9" borderId="30" xfId="0" applyFont="1" applyFill="1" applyBorder="1" applyAlignment="1" applyProtection="1">
      <alignment horizontal="left" vertical="center" wrapText="1"/>
      <protection locked="0"/>
    </xf>
    <xf numFmtId="0" fontId="17" fillId="9" borderId="31" xfId="0" applyFont="1" applyFill="1" applyBorder="1" applyAlignment="1" applyProtection="1">
      <alignment horizontal="left" vertical="center" wrapText="1"/>
      <protection locked="0"/>
    </xf>
    <xf numFmtId="0" fontId="17" fillId="9" borderId="32" xfId="0" applyFont="1" applyFill="1" applyBorder="1" applyAlignment="1" applyProtection="1">
      <alignment horizontal="left" vertical="center" wrapText="1"/>
      <protection locked="0"/>
    </xf>
    <xf numFmtId="0" fontId="111" fillId="30" borderId="0" xfId="0" applyFont="1" applyFill="1" applyBorder="1" applyAlignment="1">
      <alignment horizontal="left" vertical="center"/>
    </xf>
    <xf numFmtId="0" fontId="110" fillId="30" borderId="0" xfId="0" applyFont="1" applyFill="1" applyBorder="1" applyAlignment="1">
      <alignment horizontal="left" vertical="center"/>
    </xf>
    <xf numFmtId="166" fontId="16" fillId="0" borderId="50" xfId="0" applyNumberFormat="1" applyFont="1" applyBorder="1" applyAlignment="1" applyProtection="1">
      <alignment horizontal="center"/>
      <protection hidden="1"/>
    </xf>
    <xf numFmtId="1" fontId="95" fillId="30" borderId="33" xfId="0" applyNumberFormat="1" applyFont="1" applyFill="1" applyBorder="1" applyAlignment="1">
      <alignment horizontal="center"/>
    </xf>
    <xf numFmtId="1" fontId="95" fillId="30" borderId="12" xfId="0" applyNumberFormat="1" applyFont="1" applyFill="1" applyBorder="1" applyAlignment="1">
      <alignment horizontal="center"/>
    </xf>
    <xf numFmtId="3" fontId="7" fillId="7" borderId="55" xfId="0" applyNumberFormat="1" applyFont="1" applyFill="1" applyBorder="1" applyAlignment="1" applyProtection="1">
      <alignment horizontal="center"/>
      <protection hidden="1"/>
    </xf>
    <xf numFmtId="3" fontId="7" fillId="7" borderId="49" xfId="0" applyNumberFormat="1" applyFont="1" applyFill="1" applyBorder="1" applyAlignment="1" applyProtection="1">
      <alignment horizontal="center"/>
      <protection hidden="1"/>
    </xf>
    <xf numFmtId="1" fontId="7" fillId="0" borderId="40" xfId="0" applyNumberFormat="1" applyFont="1" applyBorder="1" applyAlignment="1">
      <alignment horizontal="center"/>
    </xf>
    <xf numFmtId="1" fontId="7" fillId="0" borderId="6" xfId="0" applyNumberFormat="1" applyFont="1" applyBorder="1" applyAlignment="1">
      <alignment horizontal="center"/>
    </xf>
    <xf numFmtId="3" fontId="7" fillId="7" borderId="14" xfId="0" applyNumberFormat="1" applyFont="1" applyFill="1" applyBorder="1" applyAlignment="1" applyProtection="1">
      <alignment horizontal="center"/>
      <protection hidden="1"/>
    </xf>
    <xf numFmtId="1" fontId="0" fillId="0" borderId="40" xfId="0" applyNumberFormat="1" applyBorder="1" applyAlignment="1">
      <alignment horizontal="center"/>
    </xf>
    <xf numFmtId="1" fontId="0" fillId="0" borderId="6" xfId="0" applyNumberFormat="1" applyBorder="1" applyAlignment="1">
      <alignment horizontal="center"/>
    </xf>
    <xf numFmtId="0" fontId="17" fillId="0" borderId="90" xfId="0" applyFont="1" applyBorder="1" applyAlignment="1" applyProtection="1">
      <alignment horizontal="left"/>
      <protection hidden="1"/>
    </xf>
    <xf numFmtId="0" fontId="17" fillId="0" borderId="87" xfId="0" applyFont="1" applyBorder="1" applyAlignment="1" applyProtection="1">
      <alignment horizontal="left"/>
      <protection hidden="1"/>
    </xf>
    <xf numFmtId="0" fontId="17" fillId="0" borderId="88" xfId="0" applyFont="1" applyBorder="1" applyAlignment="1" applyProtection="1">
      <alignment horizontal="left"/>
      <protection hidden="1"/>
    </xf>
    <xf numFmtId="0" fontId="7" fillId="12" borderId="0" xfId="0" applyFont="1" applyFill="1" applyBorder="1" applyAlignment="1" applyProtection="1">
      <alignment horizontal="center" vertical="center"/>
    </xf>
    <xf numFmtId="0" fontId="65" fillId="5" borderId="0" xfId="0" applyFont="1" applyFill="1" applyAlignment="1" applyProtection="1">
      <alignment horizontal="center"/>
      <protection locked="0"/>
    </xf>
    <xf numFmtId="0" fontId="104" fillId="32" borderId="108" xfId="3" applyFont="1" applyFill="1" applyBorder="1" applyAlignment="1">
      <alignment horizontal="center" vertical="center" wrapText="1"/>
    </xf>
    <xf numFmtId="0" fontId="110" fillId="30" borderId="109" xfId="0" applyFont="1" applyFill="1" applyBorder="1" applyAlignment="1">
      <alignment horizontal="center" vertical="center" wrapText="1"/>
    </xf>
    <xf numFmtId="0" fontId="104" fillId="32" borderId="109" xfId="3" applyFont="1" applyFill="1" applyBorder="1" applyAlignment="1">
      <alignment horizontal="center" vertical="center" wrapText="1"/>
    </xf>
    <xf numFmtId="0" fontId="104" fillId="32" borderId="113" xfId="3" applyFont="1" applyFill="1" applyBorder="1" applyAlignment="1">
      <alignment horizontal="center" vertical="center" wrapText="1"/>
    </xf>
    <xf numFmtId="0" fontId="109" fillId="30" borderId="114" xfId="0" applyFont="1" applyFill="1" applyBorder="1" applyAlignment="1">
      <alignment horizontal="center" vertical="center" wrapText="1"/>
    </xf>
    <xf numFmtId="0" fontId="104" fillId="32" borderId="111" xfId="3" applyFont="1" applyFill="1" applyBorder="1" applyAlignment="1">
      <alignment horizontal="center" vertical="center" wrapText="1"/>
    </xf>
    <xf numFmtId="0" fontId="110" fillId="30" borderId="112" xfId="0" applyFont="1" applyFill="1" applyBorder="1" applyAlignment="1">
      <alignment horizontal="center" vertical="center" wrapText="1"/>
    </xf>
    <xf numFmtId="0" fontId="104" fillId="32" borderId="108" xfId="3" applyFont="1" applyFill="1" applyBorder="1" applyAlignment="1">
      <alignment horizontal="center" wrapText="1"/>
    </xf>
    <xf numFmtId="0" fontId="110" fillId="30" borderId="109" xfId="0" applyFont="1" applyFill="1" applyBorder="1" applyAlignment="1">
      <alignment horizontal="center" wrapText="1"/>
    </xf>
  </cellXfs>
  <cellStyles count="4">
    <cellStyle name="Hyperlinkki" xfId="1" builtinId="8"/>
    <cellStyle name="Normaali" xfId="0" builtinId="0"/>
    <cellStyle name="Normaali 2" xfId="3" xr:uid="{00000000-0005-0000-0000-000002000000}"/>
    <cellStyle name="Prosenttia" xfId="2" builtinId="5"/>
  </cellStyles>
  <dxfs count="41">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0152A1"/>
      <color rgb="FFFFCC00"/>
      <color rgb="FFFFFFCC"/>
      <color rgb="FFFFCC66"/>
      <color rgb="FF0053A3"/>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0472440944881892E-2"/>
          <c:y val="0.23231481481481481"/>
          <c:w val="0.90489701718319693"/>
          <c:h val="0.58746864975211444"/>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Kaaviot!$B$21:$F$21</c:f>
              <c:numCache>
                <c:formatCode>General</c:formatCode>
                <c:ptCount val="5"/>
                <c:pt idx="0">
                  <c:v>2019</c:v>
                </c:pt>
                <c:pt idx="1">
                  <c:v>2020</c:v>
                </c:pt>
                <c:pt idx="2" formatCode="0">
                  <c:v>2023</c:v>
                </c:pt>
                <c:pt idx="3" formatCode="0">
                  <c:v>2024</c:v>
                </c:pt>
                <c:pt idx="4" formatCode="0">
                  <c:v>2025</c:v>
                </c:pt>
              </c:numCache>
            </c:numRef>
          </c:cat>
          <c:val>
            <c:numRef>
              <c:f>Kaaviot!$B$22:$F$22</c:f>
              <c:numCache>
                <c:formatCode>#\ ##0.0</c:formatCode>
                <c:ptCount val="5"/>
                <c:pt idx="0">
                  <c:v>75</c:v>
                </c:pt>
                <c:pt idx="1">
                  <c:v>64</c:v>
                </c:pt>
                <c:pt idx="2">
                  <c:v>87.85718349928878</c:v>
                </c:pt>
                <c:pt idx="3">
                  <c:v>99.258887624466553</c:v>
                </c:pt>
                <c:pt idx="4">
                  <c:v>109.896035341394</c:v>
                </c:pt>
              </c:numCache>
            </c:numRef>
          </c:val>
          <c:extLst>
            <c:ext xmlns:c16="http://schemas.microsoft.com/office/drawing/2014/chart" uri="{C3380CC4-5D6E-409C-BE32-E72D297353CC}">
              <c16:uniqueId val="{00000000-6FDE-4CF1-B055-B9808B8DC5F7}"/>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Kaaviot!$B$21:$F$21</c:f>
              <c:numCache>
                <c:formatCode>General</c:formatCode>
                <c:ptCount val="5"/>
                <c:pt idx="0">
                  <c:v>2019</c:v>
                </c:pt>
                <c:pt idx="1">
                  <c:v>2020</c:v>
                </c:pt>
                <c:pt idx="2" formatCode="0">
                  <c:v>2023</c:v>
                </c:pt>
                <c:pt idx="3" formatCode="0">
                  <c:v>2024</c:v>
                </c:pt>
                <c:pt idx="4" formatCode="0">
                  <c:v>2025</c:v>
                </c:pt>
              </c:numCache>
            </c:numRef>
          </c:cat>
          <c:val>
            <c:numRef>
              <c:f>Kaaviot!$B$23:$F$23</c:f>
              <c:numCache>
                <c:formatCode>0.0</c:formatCode>
                <c:ptCount val="5"/>
                <c:pt idx="0">
                  <c:v>0</c:v>
                </c:pt>
                <c:pt idx="1">
                  <c:v>0</c:v>
                </c:pt>
                <c:pt idx="2" formatCode="#\ ##0.0">
                  <c:v>3.5084134341070428</c:v>
                </c:pt>
                <c:pt idx="3" formatCode="#\ ##0.0">
                  <c:v>4.0453691011321613</c:v>
                </c:pt>
                <c:pt idx="4" formatCode="#\ ##0.0">
                  <c:v>4.3138118742637879</c:v>
                </c:pt>
              </c:numCache>
            </c:numRef>
          </c:val>
          <c:extLst>
            <c:ext xmlns:c16="http://schemas.microsoft.com/office/drawing/2014/chart" uri="{C3380CC4-5D6E-409C-BE32-E72D297353CC}">
              <c16:uniqueId val="{00000001-6FDE-4CF1-B055-B9808B8DC5F7}"/>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705823410004778"/>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9862470412057386"/>
          <c:y val="3.240740740740740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7.4301459550028578E-2"/>
          <c:y val="0.16051775579334635"/>
          <c:w val="0.90314831494771641"/>
          <c:h val="0.72052852367813003"/>
        </c:manualLayout>
      </c:layout>
      <c:barChart>
        <c:barDir val="col"/>
        <c:grouping val="clustered"/>
        <c:varyColors val="0"/>
        <c:ser>
          <c:idx val="0"/>
          <c:order val="0"/>
          <c:tx>
            <c:v>Driftsbidrags-%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Kaaviot!$B$43:$F$43</c:f>
              <c:numCache>
                <c:formatCode>General</c:formatCode>
                <c:ptCount val="5"/>
                <c:pt idx="0">
                  <c:v>2019</c:v>
                </c:pt>
                <c:pt idx="1">
                  <c:v>2020</c:v>
                </c:pt>
                <c:pt idx="2" formatCode="0">
                  <c:v>2023</c:v>
                </c:pt>
                <c:pt idx="3" formatCode="0">
                  <c:v>2024</c:v>
                </c:pt>
                <c:pt idx="4" formatCode="0">
                  <c:v>2025</c:v>
                </c:pt>
              </c:numCache>
            </c:numRef>
          </c:cat>
          <c:val>
            <c:numRef>
              <c:f>Kaaviot!$B$29:$F$29</c:f>
              <c:numCache>
                <c:formatCode>0.0\ %</c:formatCode>
                <c:ptCount val="5"/>
                <c:pt idx="0">
                  <c:v>5.7000000000000002E-2</c:v>
                </c:pt>
                <c:pt idx="1">
                  <c:v>5.5E-2</c:v>
                </c:pt>
                <c:pt idx="2">
                  <c:v>1.3671974432291406E-2</c:v>
                </c:pt>
                <c:pt idx="3">
                  <c:v>7.6919177797828267E-2</c:v>
                </c:pt>
                <c:pt idx="4">
                  <c:v>0.10023492040220795</c:v>
                </c:pt>
              </c:numCache>
            </c:numRef>
          </c:val>
          <c:extLst>
            <c:ext xmlns:c16="http://schemas.microsoft.com/office/drawing/2014/chart" uri="{C3380CC4-5D6E-409C-BE32-E72D297353CC}">
              <c16:uniqueId val="{00000000-A893-4506-81BF-A6A512BF4838}"/>
            </c:ext>
          </c:extLst>
        </c:ser>
        <c:dLbls>
          <c:dLblPos val="outEnd"/>
          <c:showLegendKey val="0"/>
          <c:showVal val="1"/>
          <c:showCatName val="0"/>
          <c:showSerName val="0"/>
          <c:showPercent val="0"/>
          <c:showBubbleSize val="0"/>
        </c:dLbls>
        <c:gapWidth val="219"/>
        <c:overlap val="-27"/>
        <c:axId val="722667560"/>
        <c:axId val="722663624"/>
      </c:barChart>
      <c:catAx>
        <c:axId val="722667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722663624"/>
        <c:crosses val="autoZero"/>
        <c:auto val="1"/>
        <c:lblAlgn val="ctr"/>
        <c:lblOffset val="100"/>
        <c:noMultiLvlLbl val="0"/>
      </c:catAx>
      <c:valAx>
        <c:axId val="72266362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22667560"/>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7.8880127083159238E-2"/>
          <c:y val="0.14872474948728576"/>
          <c:w val="0.87544077719057456"/>
          <c:h val="0.7771028722624248"/>
        </c:manualLayout>
      </c:layout>
      <c:barChart>
        <c:barDir val="col"/>
        <c:grouping val="clustered"/>
        <c:varyColors val="0"/>
        <c:ser>
          <c:idx val="0"/>
          <c:order val="0"/>
          <c:tx>
            <c:strRef>
              <c:f>Kassabudget!$C$55</c:f>
              <c:strCache>
                <c:ptCount val="1"/>
                <c:pt idx="0">
                  <c:v> INTÄKTER - UTGIFTER</c:v>
                </c:pt>
              </c:strCache>
            </c:strRef>
          </c:tx>
          <c:spPr>
            <a:solidFill>
              <a:schemeClr val="accent5">
                <a:tint val="77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Kassabudget!$G$55:$R$55</c:f>
              <c:numCache>
                <c:formatCode>#,##0</c:formatCode>
                <c:ptCount val="12"/>
                <c:pt idx="0">
                  <c:v>-25764.940152584313</c:v>
                </c:pt>
                <c:pt idx="1">
                  <c:v>-2323.2115070490472</c:v>
                </c:pt>
                <c:pt idx="2">
                  <c:v>7204.5022517565722</c:v>
                </c:pt>
                <c:pt idx="3">
                  <c:v>-583.76637421696432</c:v>
                </c:pt>
                <c:pt idx="4">
                  <c:v>870.53899873923365</c:v>
                </c:pt>
                <c:pt idx="5">
                  <c:v>1699.3279950395154</c:v>
                </c:pt>
                <c:pt idx="6">
                  <c:v>3653.1169913397898</c:v>
                </c:pt>
                <c:pt idx="7">
                  <c:v>3493.7386344952902</c:v>
                </c:pt>
                <c:pt idx="8">
                  <c:v>3430.7222578393703</c:v>
                </c:pt>
                <c:pt idx="9">
                  <c:v>3430.7222578393703</c:v>
                </c:pt>
                <c:pt idx="10">
                  <c:v>3430.7222578393703</c:v>
                </c:pt>
                <c:pt idx="11">
                  <c:v>2868.2222578393703</c:v>
                </c:pt>
              </c:numCache>
            </c:numRef>
          </c:val>
          <c:extLst>
            <c:ext xmlns:c16="http://schemas.microsoft.com/office/drawing/2014/chart" uri="{C3380CC4-5D6E-409C-BE32-E72D297353CC}">
              <c16:uniqueId val="{00000000-EC02-44D3-9583-EFEE0E34CBD1}"/>
            </c:ext>
          </c:extLst>
        </c:ser>
        <c:ser>
          <c:idx val="1"/>
          <c:order val="1"/>
          <c:tx>
            <c:strRef>
              <c:f>Kassabudget!$C$56</c:f>
              <c:strCache>
                <c:ptCount val="1"/>
                <c:pt idx="0">
                  <c:v> KASSA I SLUTET AV PERIODEN</c:v>
                </c:pt>
              </c:strCache>
            </c:strRef>
          </c:tx>
          <c:spPr>
            <a:solidFill>
              <a:schemeClr val="accent5">
                <a:shade val="76000"/>
              </a:schemeClr>
            </a:solidFill>
            <a:ln>
              <a:noFill/>
            </a:ln>
            <a:effectLst/>
          </c:spPr>
          <c:invertIfNegative val="0"/>
          <c:cat>
            <c:strRef>
              <c:f>Kassabudget!$G$6:$R$6</c:f>
              <c:strCache>
                <c:ptCount val="12"/>
                <c:pt idx="0">
                  <c:v>JAN</c:v>
                </c:pt>
                <c:pt idx="1">
                  <c:v>FEB</c:v>
                </c:pt>
                <c:pt idx="2">
                  <c:v>MARS</c:v>
                </c:pt>
                <c:pt idx="3">
                  <c:v>APR</c:v>
                </c:pt>
                <c:pt idx="4">
                  <c:v>MAJ</c:v>
                </c:pt>
                <c:pt idx="5">
                  <c:v>JUNI</c:v>
                </c:pt>
                <c:pt idx="6">
                  <c:v>JULI</c:v>
                </c:pt>
                <c:pt idx="7">
                  <c:v>AUG</c:v>
                </c:pt>
                <c:pt idx="8">
                  <c:v>SEP</c:v>
                </c:pt>
                <c:pt idx="9">
                  <c:v>OKT</c:v>
                </c:pt>
                <c:pt idx="10">
                  <c:v>NOV</c:v>
                </c:pt>
                <c:pt idx="11">
                  <c:v>DEC</c:v>
                </c:pt>
              </c:strCache>
            </c:strRef>
          </c:cat>
          <c:val>
            <c:numRef>
              <c:f>Kassabudget!$G$56:$R$56</c:f>
              <c:numCache>
                <c:formatCode>#,##0</c:formatCode>
                <c:ptCount val="12"/>
                <c:pt idx="0">
                  <c:v>-14151.940152584313</c:v>
                </c:pt>
                <c:pt idx="1">
                  <c:v>-16475.15165963336</c:v>
                </c:pt>
                <c:pt idx="2">
                  <c:v>-9270.6494078767882</c:v>
                </c:pt>
                <c:pt idx="3">
                  <c:v>-9854.4157820937526</c:v>
                </c:pt>
                <c:pt idx="4">
                  <c:v>-8983.8767833545189</c:v>
                </c:pt>
                <c:pt idx="5">
                  <c:v>-7284.5487883150035</c:v>
                </c:pt>
                <c:pt idx="6">
                  <c:v>-3631.4317969752137</c:v>
                </c:pt>
                <c:pt idx="7">
                  <c:v>-137.69316247992356</c:v>
                </c:pt>
                <c:pt idx="8">
                  <c:v>3293.0290953594467</c:v>
                </c:pt>
                <c:pt idx="9">
                  <c:v>6723.751353198817</c:v>
                </c:pt>
                <c:pt idx="10">
                  <c:v>10154.473611038187</c:v>
                </c:pt>
                <c:pt idx="11">
                  <c:v>13022.695868877558</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cat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Algn val="ctr"/>
        <c:lblOffset val="100"/>
        <c:noMultiLvlLbl val="1"/>
      </c:cat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r"/>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ayout>
        <c:manualLayout>
          <c:xMode val="edge"/>
          <c:yMode val="edge"/>
          <c:x val="0.16867497988454253"/>
          <c:y val="0.17206477732793521"/>
          <c:w val="0.70548960496403812"/>
          <c:h val="8.9068825910931154E-2"/>
        </c:manualLayout>
      </c:layout>
      <c:overlay val="0"/>
      <c:spPr>
        <a:solidFill>
          <a:schemeClr val="accent1">
            <a:lumMod val="20000"/>
            <a:lumOff val="80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latin typeface="Arial" panose="020B0604020202020204" pitchFamily="34" charset="0"/>
                <a:cs typeface="Arial" panose="020B0604020202020204" pitchFamily="34" charset="0"/>
              </a:rPr>
              <a:t>Driftsbidrags-%</a:t>
            </a:r>
          </a:p>
        </c:rich>
      </c:tx>
      <c:layout>
        <c:manualLayout>
          <c:xMode val="edge"/>
          <c:yMode val="edge"/>
          <c:x val="0.4898609895985224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9647092306232811E-2"/>
          <c:y val="0.16621317750753936"/>
          <c:w val="0.90826455428011255"/>
          <c:h val="0.71892696793989574"/>
        </c:manualLayout>
      </c:layout>
      <c:barChart>
        <c:barDir val="col"/>
        <c:grouping val="clustered"/>
        <c:varyColors val="0"/>
        <c:ser>
          <c:idx val="0"/>
          <c:order val="0"/>
          <c:tx>
            <c:v>Dirfsbidrags-%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Kaaviot!$B$43:$F$43</c:f>
              <c:numCache>
                <c:formatCode>General</c:formatCode>
                <c:ptCount val="5"/>
                <c:pt idx="0">
                  <c:v>2019</c:v>
                </c:pt>
                <c:pt idx="1">
                  <c:v>2020</c:v>
                </c:pt>
                <c:pt idx="2" formatCode="0">
                  <c:v>2023</c:v>
                </c:pt>
                <c:pt idx="3" formatCode="0">
                  <c:v>2024</c:v>
                </c:pt>
                <c:pt idx="4" formatCode="0">
                  <c:v>2025</c:v>
                </c:pt>
              </c:numCache>
            </c:numRef>
          </c:cat>
          <c:val>
            <c:numRef>
              <c:f>Kaaviot!$B$44:$F$44</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8B42-494A-B11C-F37535A5B919}"/>
            </c:ext>
          </c:extLst>
        </c:ser>
        <c:dLbls>
          <c:showLegendKey val="0"/>
          <c:showVal val="0"/>
          <c:showCatName val="0"/>
          <c:showSerName val="0"/>
          <c:showPercent val="0"/>
          <c:showBubbleSize val="0"/>
        </c:dLbls>
        <c:gapWidth val="219"/>
        <c:overlap val="-27"/>
        <c:axId val="644394832"/>
        <c:axId val="644396800"/>
      </c:barChart>
      <c:catAx>
        <c:axId val="64439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644396800"/>
        <c:crosses val="autoZero"/>
        <c:auto val="1"/>
        <c:lblAlgn val="ctr"/>
        <c:lblOffset val="100"/>
        <c:noMultiLvlLbl val="0"/>
      </c:catAx>
      <c:valAx>
        <c:axId val="644396800"/>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4439483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Omsättning</a:t>
            </a:r>
            <a:r>
              <a:rPr lang="fi-FI" sz="1200" b="1" baseline="0">
                <a:latin typeface="Arial" panose="020B0604020202020204" pitchFamily="34" charset="0"/>
                <a:cs typeface="Arial" panose="020B0604020202020204" pitchFamily="34" charset="0"/>
              </a:rPr>
              <a:t> och Driftskapital/person</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118226600985219"/>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0472440944881892E-2"/>
          <c:y val="0.20916666666666667"/>
          <c:w val="0.90489701718319693"/>
          <c:h val="0.63376494604841049"/>
        </c:manualLayout>
      </c:layout>
      <c:barChart>
        <c:barDir val="col"/>
        <c:grouping val="clustered"/>
        <c:varyColors val="0"/>
        <c:ser>
          <c:idx val="0"/>
          <c:order val="0"/>
          <c:tx>
            <c:v>Omsättning/person</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Kaaviot!$B$21:$F$21</c:f>
              <c:numCache>
                <c:formatCode>General</c:formatCode>
                <c:ptCount val="5"/>
                <c:pt idx="0">
                  <c:v>2019</c:v>
                </c:pt>
                <c:pt idx="1">
                  <c:v>2020</c:v>
                </c:pt>
                <c:pt idx="2" formatCode="0">
                  <c:v>2023</c:v>
                </c:pt>
                <c:pt idx="3" formatCode="0">
                  <c:v>2024</c:v>
                </c:pt>
                <c:pt idx="4" formatCode="0">
                  <c:v>2025</c:v>
                </c:pt>
              </c:numCache>
            </c:numRef>
          </c:cat>
          <c:val>
            <c:numRef>
              <c:f>Kaaviot!$B$39:$F$39</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0512-46AE-8E6F-FAC5291CA732}"/>
            </c:ext>
          </c:extLst>
        </c:ser>
        <c:ser>
          <c:idx val="1"/>
          <c:order val="1"/>
          <c:tx>
            <c:v>Driftskapital/person</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Kaaviot!$B$21:$F$21</c:f>
              <c:numCache>
                <c:formatCode>General</c:formatCode>
                <c:ptCount val="5"/>
                <c:pt idx="0">
                  <c:v>2019</c:v>
                </c:pt>
                <c:pt idx="1">
                  <c:v>2020</c:v>
                </c:pt>
                <c:pt idx="2" formatCode="0">
                  <c:v>2023</c:v>
                </c:pt>
                <c:pt idx="3" formatCode="0">
                  <c:v>2024</c:v>
                </c:pt>
                <c:pt idx="4" formatCode="0">
                  <c:v>2025</c:v>
                </c:pt>
              </c:numCache>
            </c:numRef>
          </c:cat>
          <c:val>
            <c:numRef>
              <c:f>Kaaviot!$B$40:$F$40</c:f>
              <c:numCache>
                <c:formatCode>#\ ##0.0</c:formatCode>
                <c:ptCount val="5"/>
                <c:pt idx="0">
                  <c:v>0</c:v>
                </c:pt>
                <c:pt idx="1">
                  <c:v>0</c:v>
                </c:pt>
                <c:pt idx="2">
                  <c:v>1.328963243243243</c:v>
                </c:pt>
                <c:pt idx="3">
                  <c:v>1.4089618378378379</c:v>
                </c:pt>
                <c:pt idx="4">
                  <c:v>1.4371410745945945</c:v>
                </c:pt>
              </c:numCache>
            </c:numRef>
          </c:val>
          <c:extLst>
            <c:ext xmlns:c16="http://schemas.microsoft.com/office/drawing/2014/chart" uri="{C3380CC4-5D6E-409C-BE32-E72D297353CC}">
              <c16:uniqueId val="{00000001-0512-46AE-8E6F-FAC5291CA732}"/>
            </c:ext>
          </c:extLst>
        </c:ser>
        <c:dLbls>
          <c:showLegendKey val="0"/>
          <c:showVal val="0"/>
          <c:showCatName val="0"/>
          <c:showSerName val="0"/>
          <c:showPercent val="0"/>
          <c:showBubbleSize val="0"/>
        </c:dLbls>
        <c:gapWidth val="219"/>
        <c:overlap val="-27"/>
        <c:axId val="812683840"/>
        <c:axId val="812688760"/>
      </c:barChart>
      <c:catAx>
        <c:axId val="81268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i-FI"/>
          </a:p>
        </c:txPr>
        <c:crossAx val="812688760"/>
        <c:crosses val="autoZero"/>
        <c:auto val="1"/>
        <c:lblAlgn val="ctr"/>
        <c:lblOffset val="100"/>
        <c:noMultiLvlLbl val="0"/>
      </c:catAx>
      <c:valAx>
        <c:axId val="812688760"/>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12683840"/>
        <c:crosses val="autoZero"/>
        <c:crossBetween val="between"/>
      </c:valAx>
      <c:spPr>
        <a:solidFill>
          <a:schemeClr val="bg1">
            <a:lumMod val="95000"/>
          </a:schemeClr>
        </a:solidFill>
        <a:ln>
          <a:noFill/>
        </a:ln>
        <a:effectLst/>
      </c:spPr>
    </c:plotArea>
    <c:legend>
      <c:legendPos val="b"/>
      <c:layout>
        <c:manualLayout>
          <c:xMode val="edge"/>
          <c:yMode val="edge"/>
          <c:x val="0.29911077925604124"/>
          <c:y val="0.90798556430446198"/>
          <c:w val="0.40588337018217552"/>
          <c:h val="7.81255468066491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hyperlink" Target="#'FS1 Kostnader '!A1"/><Relationship Id="rId1" Type="http://schemas.openxmlformats.org/officeDocument/2006/relationships/image" Target="../media/image1.png"/><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hyperlink" Target="#Kassabudget!A1"/><Relationship Id="rId7" Type="http://schemas.openxmlformats.org/officeDocument/2006/relationships/image" Target="../media/image37.jpeg"/><Relationship Id="rId12" Type="http://schemas.openxmlformats.org/officeDocument/2006/relationships/image" Target="../media/image33.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Ekonomiska parametrar'!A1"/><Relationship Id="rId11" Type="http://schemas.openxmlformats.org/officeDocument/2006/relationships/image" Target="../media/image22.png"/><Relationship Id="rId5" Type="http://schemas.openxmlformats.org/officeDocument/2006/relationships/hyperlink" Target="#'FS1 Kostnader '!A1"/><Relationship Id="rId10" Type="http://schemas.openxmlformats.org/officeDocument/2006/relationships/image" Target="../media/image39.png"/><Relationship Id="rId4" Type="http://schemas.openxmlformats.org/officeDocument/2006/relationships/hyperlink" Target="#'FS2 F&#246;rs&#228;ljning '!A1"/><Relationship Id="rId9"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3" Type="http://schemas.openxmlformats.org/officeDocument/2006/relationships/hyperlink" Target="#'FS3 Resultat'!A1"/><Relationship Id="rId2" Type="http://schemas.openxmlformats.org/officeDocument/2006/relationships/image" Target="../media/image40.png"/><Relationship Id="rId1" Type="http://schemas.openxmlformats.org/officeDocument/2006/relationships/hyperlink" Target="#'K3 Resultat'!A1"/><Relationship Id="rId4" Type="http://schemas.openxmlformats.org/officeDocument/2006/relationships/image" Target="../media/image4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xml.rels><?xml version="1.0" encoding="UTF-8" standalone="yes"?>
<Relationships xmlns="http://schemas.openxmlformats.org/package/2006/relationships"><Relationship Id="rId8" Type="http://schemas.openxmlformats.org/officeDocument/2006/relationships/hyperlink" Target="#Kassabudget!A1"/><Relationship Id="rId3" Type="http://schemas.openxmlformats.org/officeDocument/2006/relationships/image" Target="../media/image6.png"/><Relationship Id="rId7" Type="http://schemas.openxmlformats.org/officeDocument/2006/relationships/image" Target="../media/image9.png"/><Relationship Id="rId2" Type="http://schemas.openxmlformats.org/officeDocument/2006/relationships/image" Target="../media/image5.jpeg"/><Relationship Id="rId1" Type="http://schemas.openxmlformats.org/officeDocument/2006/relationships/hyperlink" Target="#'K2 F&#246;rs&#228;ljning'!A1"/><Relationship Id="rId6" Type="http://schemas.openxmlformats.org/officeDocument/2006/relationships/hyperlink" Target="#'K3 Resultat'!A1"/><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1.jpeg"/><Relationship Id="rId7" Type="http://schemas.openxmlformats.org/officeDocument/2006/relationships/image" Target="../media/image14.png"/><Relationship Id="rId2" Type="http://schemas.openxmlformats.org/officeDocument/2006/relationships/hyperlink" Target="#'K3 Resultat'!A1"/><Relationship Id="rId1" Type="http://schemas.openxmlformats.org/officeDocument/2006/relationships/hyperlink" Target="#'K1 Kostnader'!A1"/><Relationship Id="rId6" Type="http://schemas.openxmlformats.org/officeDocument/2006/relationships/image" Target="../media/image6.png"/><Relationship Id="rId5" Type="http://schemas.openxmlformats.org/officeDocument/2006/relationships/image" Target="../media/image13.jpeg"/><Relationship Id="rId4" Type="http://schemas.openxmlformats.org/officeDocument/2006/relationships/image" Target="../media/image12.jpeg"/><Relationship Id="rId9"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K2 F&#246;rs&#228;ljning'!A1"/><Relationship Id="rId7" Type="http://schemas.openxmlformats.org/officeDocument/2006/relationships/image" Target="../media/image18.jpeg"/><Relationship Id="rId12" Type="http://schemas.openxmlformats.org/officeDocument/2006/relationships/chart" Target="../charts/chart2.xml"/><Relationship Id="rId2" Type="http://schemas.openxmlformats.org/officeDocument/2006/relationships/hyperlink" Target="#'K1 Kostnader'!A1"/><Relationship Id="rId1" Type="http://schemas.openxmlformats.org/officeDocument/2006/relationships/chart" Target="../charts/chart1.xml"/><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hyperlink" Target="#'Ekonomiska parametrar'!A1"/><Relationship Id="rId10" Type="http://schemas.openxmlformats.org/officeDocument/2006/relationships/image" Target="../media/image21.png"/><Relationship Id="rId4" Type="http://schemas.openxmlformats.org/officeDocument/2006/relationships/hyperlink" Target="#Kassabudget!A1"/><Relationship Id="rId9"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hyperlink" Target="#'K1 Kostnader'!A1"/><Relationship Id="rId2" Type="http://schemas.openxmlformats.org/officeDocument/2006/relationships/image" Target="../media/image3.png"/><Relationship Id="rId1" Type="http://schemas.openxmlformats.org/officeDocument/2006/relationships/hyperlink" Target="#'FS1 Kostnader '!A1"/><Relationship Id="rId5" Type="http://schemas.openxmlformats.org/officeDocument/2006/relationships/image" Target="../media/image24.jpe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FS3 Resultat'!A1"/><Relationship Id="rId1" Type="http://schemas.openxmlformats.org/officeDocument/2006/relationships/hyperlink" Target="#'FS2 F&#246;rs&#228;ljning '!A1"/><Relationship Id="rId5" Type="http://schemas.openxmlformats.org/officeDocument/2006/relationships/image" Target="../media/image29.png"/><Relationship Id="rId4" Type="http://schemas.openxmlformats.org/officeDocument/2006/relationships/image" Target="../media/image28.png"/></Relationships>
</file>

<file path=xl/drawings/_rels/drawing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30.png"/><Relationship Id="rId7" Type="http://schemas.openxmlformats.org/officeDocument/2006/relationships/image" Target="../media/image34.jpeg"/><Relationship Id="rId2" Type="http://schemas.openxmlformats.org/officeDocument/2006/relationships/hyperlink" Target="#'FS3 Resultat'!A1"/><Relationship Id="rId1" Type="http://schemas.openxmlformats.org/officeDocument/2006/relationships/hyperlink" Target="#'FS1 Kostnader '!A1"/><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9"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1</xdr:col>
      <xdr:colOff>81642</xdr:colOff>
      <xdr:row>4</xdr:row>
      <xdr:rowOff>195944</xdr:rowOff>
    </xdr:from>
    <xdr:to>
      <xdr:col>12</xdr:col>
      <xdr:colOff>576943</xdr:colOff>
      <xdr:row>32</xdr:row>
      <xdr:rowOff>66825</xdr:rowOff>
    </xdr:to>
    <xdr:pic>
      <xdr:nvPicPr>
        <xdr:cNvPr id="6" name="Kuva 5">
          <a:extLst>
            <a:ext uri="{FF2B5EF4-FFF2-40B4-BE49-F238E27FC236}">
              <a16:creationId xmlns:a16="http://schemas.microsoft.com/office/drawing/2014/main" id="{ED2AF25C-2F94-4D5D-BE3B-C86B5C696E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8585" y="800101"/>
          <a:ext cx="8196944" cy="4627938"/>
        </a:xfrm>
        <a:prstGeom prst="rect">
          <a:avLst/>
        </a:prstGeom>
      </xdr:spPr>
    </xdr:pic>
    <xdr:clientData/>
  </xdr:twoCellAnchor>
  <xdr:twoCellAnchor>
    <xdr:from>
      <xdr:col>3</xdr:col>
      <xdr:colOff>462643</xdr:colOff>
      <xdr:row>2</xdr:row>
      <xdr:rowOff>92529</xdr:rowOff>
    </xdr:from>
    <xdr:to>
      <xdr:col>13</xdr:col>
      <xdr:colOff>47624</xdr:colOff>
      <xdr:row>5</xdr:row>
      <xdr:rowOff>38101</xdr:rowOff>
    </xdr:to>
    <xdr:sp macro="" textlink="">
      <xdr:nvSpPr>
        <xdr:cNvPr id="36" name="Tekstikehys 35">
          <a:extLst>
            <a:ext uri="{FF2B5EF4-FFF2-40B4-BE49-F238E27FC236}">
              <a16:creationId xmlns:a16="http://schemas.microsoft.com/office/drawing/2014/main" id="{00000000-0008-0000-0000-000024000000}"/>
            </a:ext>
          </a:extLst>
        </xdr:cNvPr>
        <xdr:cNvSpPr txBox="1"/>
      </xdr:nvSpPr>
      <xdr:spPr>
        <a:xfrm>
          <a:off x="2340429" y="408215"/>
          <a:ext cx="6617152" cy="440872"/>
        </a:xfrm>
        <a:prstGeom prst="rect">
          <a:avLst/>
        </a:prstGeom>
        <a:solidFill>
          <a:srgbClr val="0053A3"/>
        </a:solid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fi-FI" sz="1600" b="1" i="1">
              <a:solidFill>
                <a:schemeClr val="bg1"/>
              </a:solidFill>
            </a:rPr>
            <a:t>  FT5 NYFÖRETAGETS</a:t>
          </a:r>
          <a:r>
            <a:rPr lang="fi-FI" sz="1600" b="1" i="1" baseline="0">
              <a:solidFill>
                <a:schemeClr val="bg1"/>
              </a:solidFill>
            </a:rPr>
            <a:t> EKONOMIPLAN </a:t>
          </a:r>
          <a:r>
            <a:rPr lang="fi-FI" sz="1600" b="1" i="1">
              <a:solidFill>
                <a:schemeClr val="bg1"/>
              </a:solidFill>
            </a:rPr>
            <a:t> </a:t>
          </a:r>
          <a:endParaRPr lang="fi-FI" sz="1200" b="1" i="1">
            <a:solidFill>
              <a:schemeClr val="bg1"/>
            </a:solidFill>
          </a:endParaRPr>
        </a:p>
      </xdr:txBody>
    </xdr:sp>
    <xdr:clientData/>
  </xdr:twoCellAnchor>
  <xdr:twoCellAnchor>
    <xdr:from>
      <xdr:col>0</xdr:col>
      <xdr:colOff>0</xdr:colOff>
      <xdr:row>32</xdr:row>
      <xdr:rowOff>32343</xdr:rowOff>
    </xdr:from>
    <xdr:to>
      <xdr:col>13</xdr:col>
      <xdr:colOff>142874</xdr:colOff>
      <xdr:row>32</xdr:row>
      <xdr:rowOff>123825</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0" y="5499693"/>
          <a:ext cx="8524874" cy="91482"/>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293913</xdr:colOff>
      <xdr:row>9</xdr:row>
      <xdr:rowOff>164645</xdr:rowOff>
    </xdr:from>
    <xdr:to>
      <xdr:col>12</xdr:col>
      <xdr:colOff>66813</xdr:colOff>
      <xdr:row>12</xdr:row>
      <xdr:rowOff>8817</xdr:rowOff>
    </xdr:to>
    <xdr:sp macro="" textlink="">
      <xdr:nvSpPr>
        <xdr:cNvPr id="43" name="Pyöristetty suorakulmio 42">
          <a:hlinkClick xmlns:r="http://schemas.openxmlformats.org/officeDocument/2006/relationships" r:id="rId2"/>
          <a:extLst>
            <a:ext uri="{FF2B5EF4-FFF2-40B4-BE49-F238E27FC236}">
              <a16:creationId xmlns:a16="http://schemas.microsoft.com/office/drawing/2014/main" id="{00000000-0008-0000-0000-00002B000000}"/>
            </a:ext>
          </a:extLst>
        </xdr:cNvPr>
        <xdr:cNvSpPr/>
      </xdr:nvSpPr>
      <xdr:spPr>
        <a:xfrm>
          <a:off x="5083627" y="1579788"/>
          <a:ext cx="3240000" cy="432000"/>
        </a:xfrm>
        <a:prstGeom prst="roundRect">
          <a:avLst>
            <a:gd name="adj" fmla="val 24414"/>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TJÄNSTER FÖR FÖRETAG </a:t>
          </a:r>
          <a:endParaRPr lang="fi-FI" sz="1100">
            <a:solidFill>
              <a:sysClr val="windowText" lastClr="000000"/>
            </a:solidFill>
          </a:endParaRPr>
        </a:p>
      </xdr:txBody>
    </xdr:sp>
    <xdr:clientData/>
  </xdr:twoCellAnchor>
  <xdr:twoCellAnchor>
    <xdr:from>
      <xdr:col>1</xdr:col>
      <xdr:colOff>319089</xdr:colOff>
      <xdr:row>9</xdr:row>
      <xdr:rowOff>152398</xdr:rowOff>
    </xdr:from>
    <xdr:to>
      <xdr:col>5</xdr:col>
      <xdr:colOff>494761</xdr:colOff>
      <xdr:row>11</xdr:row>
      <xdr:rowOff>192512</xdr:rowOff>
    </xdr:to>
    <xdr:sp macro="" textlink="">
      <xdr:nvSpPr>
        <xdr:cNvPr id="40" name="Pyöristetty suorakulmio 39">
          <a:hlinkClick xmlns:r="http://schemas.openxmlformats.org/officeDocument/2006/relationships" r:id="rId3"/>
          <a:extLst>
            <a:ext uri="{FF2B5EF4-FFF2-40B4-BE49-F238E27FC236}">
              <a16:creationId xmlns:a16="http://schemas.microsoft.com/office/drawing/2014/main" id="{00000000-0008-0000-0000-000028000000}"/>
            </a:ext>
          </a:extLst>
        </xdr:cNvPr>
        <xdr:cNvSpPr/>
      </xdr:nvSpPr>
      <xdr:spPr>
        <a:xfrm>
          <a:off x="890589" y="1567541"/>
          <a:ext cx="3240001" cy="432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KONSUMENTTJÄNSTER</a:t>
          </a:r>
          <a:r>
            <a:rPr lang="fi-FI" sz="1400" b="1" baseline="0">
              <a:solidFill>
                <a:sysClr val="windowText" lastClr="000000"/>
              </a:solidFill>
            </a:rPr>
            <a:t> </a:t>
          </a:r>
          <a:endParaRPr lang="fi-FI" sz="1100" b="1">
            <a:solidFill>
              <a:sysClr val="windowText" lastClr="000000"/>
            </a:solidFill>
          </a:endParaRPr>
        </a:p>
      </xdr:txBody>
    </xdr:sp>
    <xdr:clientData/>
  </xdr:twoCellAnchor>
  <xdr:twoCellAnchor editAs="oneCell">
    <xdr:from>
      <xdr:col>1</xdr:col>
      <xdr:colOff>373743</xdr:colOff>
      <xdr:row>2</xdr:row>
      <xdr:rowOff>96469</xdr:rowOff>
    </xdr:from>
    <xdr:to>
      <xdr:col>3</xdr:col>
      <xdr:colOff>391885</xdr:colOff>
      <xdr:row>5</xdr:row>
      <xdr:rowOff>58538</xdr:rowOff>
    </xdr:to>
    <xdr:pic>
      <xdr:nvPicPr>
        <xdr:cNvPr id="12" name="Kuva 37" descr="Företagstolken logo Liten .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5243" y="412155"/>
          <a:ext cx="1324428" cy="457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391886</xdr:colOff>
      <xdr:row>12</xdr:row>
      <xdr:rowOff>152400</xdr:rowOff>
    </xdr:from>
    <xdr:to>
      <xdr:col>5</xdr:col>
      <xdr:colOff>370114</xdr:colOff>
      <xdr:row>28</xdr:row>
      <xdr:rowOff>21771</xdr:rowOff>
    </xdr:to>
    <xdr:sp macro="" textlink="">
      <xdr:nvSpPr>
        <xdr:cNvPr id="7" name="Tekstiruutu 6">
          <a:extLst>
            <a:ext uri="{FF2B5EF4-FFF2-40B4-BE49-F238E27FC236}">
              <a16:creationId xmlns:a16="http://schemas.microsoft.com/office/drawing/2014/main" id="{EF5EE98F-DDBA-4ED0-BA19-333BE99B94E3}"/>
            </a:ext>
          </a:extLst>
        </xdr:cNvPr>
        <xdr:cNvSpPr txBox="1"/>
      </xdr:nvSpPr>
      <xdr:spPr>
        <a:xfrm>
          <a:off x="963386" y="2155371"/>
          <a:ext cx="3042557" cy="2824843"/>
        </a:xfrm>
        <a:prstGeom prst="rect">
          <a:avLst/>
        </a:prstGeom>
        <a:solidFill>
          <a:srgbClr val="FFFF00">
            <a:alpha val="7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1</xdr:col>
      <xdr:colOff>561976</xdr:colOff>
      <xdr:row>13</xdr:row>
      <xdr:rowOff>104774</xdr:rowOff>
    </xdr:from>
    <xdr:to>
      <xdr:col>5</xdr:col>
      <xdr:colOff>201386</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138919" y="2303688"/>
          <a:ext cx="2703738"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Detalj- och partihandel </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Restaurangbranschen och inkvartering</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Turism- och motionstjänster</a:t>
          </a:r>
          <a:endParaRPr lang="fi-FI" sz="1100">
            <a:effectLst/>
          </a:endParaRP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Skönhetsvård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Hälsovård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Socialvård</a:t>
          </a:r>
        </a:p>
        <a:p>
          <a:pPr marL="171450" marR="0" indent="-171450" defTabSz="914400" eaLnBrk="1" fontAlgn="auto" latinLnBrk="0" hangingPunct="1">
            <a:lnSpc>
              <a:spcPts val="1500"/>
            </a:lnSpc>
            <a:spcBef>
              <a:spcPts val="0"/>
            </a:spcBef>
            <a:spcAft>
              <a:spcPts val="0"/>
            </a:spcAft>
            <a:buClrTx/>
            <a:buSzTx/>
            <a:buFont typeface="Arial" panose="020B0604020202020204" pitchFamily="34" charset="0"/>
            <a:buChar char="•"/>
            <a:tabLst/>
            <a:defRPr/>
          </a:pPr>
          <a:r>
            <a:rPr lang="fi-FI" sz="1100" b="1" baseline="0">
              <a:solidFill>
                <a:schemeClr val="dk1"/>
              </a:solidFill>
              <a:effectLst/>
              <a:latin typeface="+mn-lt"/>
              <a:ea typeface="+mn-ea"/>
              <a:cs typeface="+mn-cs"/>
            </a:rPr>
            <a:t>Övriga konsumenttjänster</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8165</xdr:colOff>
      <xdr:row>20</xdr:row>
      <xdr:rowOff>122464</xdr:rowOff>
    </xdr:from>
    <xdr:to>
      <xdr:col>4</xdr:col>
      <xdr:colOff>358823</xdr:colOff>
      <xdr:row>27</xdr:row>
      <xdr:rowOff>26807</xdr:rowOff>
    </xdr:to>
    <xdr:pic>
      <xdr:nvPicPr>
        <xdr:cNvPr id="13925221"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57BD4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1394" y="3785507"/>
          <a:ext cx="1080000" cy="10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440872</xdr:colOff>
      <xdr:row>12</xdr:row>
      <xdr:rowOff>141516</xdr:rowOff>
    </xdr:from>
    <xdr:to>
      <xdr:col>11</xdr:col>
      <xdr:colOff>168729</xdr:colOff>
      <xdr:row>28</xdr:row>
      <xdr:rowOff>27214</xdr:rowOff>
    </xdr:to>
    <xdr:sp macro="" textlink="">
      <xdr:nvSpPr>
        <xdr:cNvPr id="16" name="Tekstiruutu 15">
          <a:extLst>
            <a:ext uri="{FF2B5EF4-FFF2-40B4-BE49-F238E27FC236}">
              <a16:creationId xmlns:a16="http://schemas.microsoft.com/office/drawing/2014/main" id="{D5374AE3-EFC3-4BE0-BB30-FBEC1E92408A}"/>
            </a:ext>
          </a:extLst>
        </xdr:cNvPr>
        <xdr:cNvSpPr txBox="1"/>
      </xdr:nvSpPr>
      <xdr:spPr>
        <a:xfrm>
          <a:off x="5230586" y="2144487"/>
          <a:ext cx="2977243" cy="2841170"/>
        </a:xfrm>
        <a:prstGeom prst="rect">
          <a:avLst/>
        </a:prstGeom>
        <a:solidFill>
          <a:schemeClr val="accent1">
            <a:lumMod val="20000"/>
            <a:lumOff val="80000"/>
            <a:alpha val="7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i-FI" sz="1100"/>
        </a:p>
      </xdr:txBody>
    </xdr:sp>
    <xdr:clientData/>
  </xdr:twoCellAnchor>
  <xdr:twoCellAnchor>
    <xdr:from>
      <xdr:col>6</xdr:col>
      <xdr:colOff>609600</xdr:colOff>
      <xdr:row>13</xdr:row>
      <xdr:rowOff>103414</xdr:rowOff>
    </xdr:from>
    <xdr:to>
      <xdr:col>11</xdr:col>
      <xdr:colOff>69396</xdr:colOff>
      <xdr:row>20</xdr:row>
      <xdr:rowOff>151039</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404757" y="2302328"/>
          <a:ext cx="2720068"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Industri </a:t>
          </a:r>
          <a:endParaRPr lang="fi-FI" sz="1100">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Företagarservice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Installations- och monterigsverksamhet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Byggnadsbranschen </a:t>
          </a:r>
          <a:endParaRPr lang="fi-FI">
            <a:effectLst/>
          </a:endParaRP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Maskinentreprenörer </a:t>
          </a:r>
        </a:p>
        <a:p>
          <a:pPr marL="171450" indent="-171450">
            <a:lnSpc>
              <a:spcPts val="1600"/>
            </a:lnSpc>
            <a:buFont typeface="Arial" panose="020B0604020202020204" pitchFamily="34" charset="0"/>
            <a:buChar char="•"/>
          </a:pPr>
          <a:r>
            <a:rPr lang="fi-FI" sz="1100" b="1" baseline="0">
              <a:solidFill>
                <a:schemeClr val="dk1"/>
              </a:solidFill>
              <a:effectLst/>
              <a:latin typeface="+mn-lt"/>
              <a:ea typeface="+mn-ea"/>
              <a:cs typeface="+mn-cs"/>
            </a:rPr>
            <a:t>Yrkesbilister  </a:t>
          </a:r>
          <a:endParaRPr lang="fi-FI">
            <a:effectLst/>
          </a:endParaRPr>
        </a:p>
        <a:p>
          <a:endParaRPr lang="fi-FI" sz="1100"/>
        </a:p>
      </xdr:txBody>
    </xdr:sp>
    <xdr:clientData/>
  </xdr:twoCellAnchor>
  <xdr:twoCellAnchor editAs="oneCell">
    <xdr:from>
      <xdr:col>7</xdr:col>
      <xdr:colOff>319768</xdr:colOff>
      <xdr:row>20</xdr:row>
      <xdr:rowOff>117022</xdr:rowOff>
    </xdr:from>
    <xdr:to>
      <xdr:col>9</xdr:col>
      <xdr:colOff>98925</xdr:colOff>
      <xdr:row>27</xdr:row>
      <xdr:rowOff>21365</xdr:rowOff>
    </xdr:to>
    <xdr:pic>
      <xdr:nvPicPr>
        <xdr:cNvPr id="13925218" name="Kuva 39" descr="C:\Users\Henri\AppData\Local\Microsoft\Windows\Temporary Internet Files\Content.IE5\9ZN2D3X7\MC900432666[1].png">
          <a:hlinkClick xmlns:r="http://schemas.openxmlformats.org/officeDocument/2006/relationships" r:id="rId2"/>
          <a:extLst>
            <a:ext uri="{FF2B5EF4-FFF2-40B4-BE49-F238E27FC236}">
              <a16:creationId xmlns:a16="http://schemas.microsoft.com/office/drawing/2014/main" id="{00000000-0008-0000-0000-0000627BD4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16411" y="3780065"/>
          <a:ext cx="1080000" cy="10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48320</xdr:colOff>
      <xdr:row>34</xdr:row>
      <xdr:rowOff>28468</xdr:rowOff>
    </xdr:from>
    <xdr:to>
      <xdr:col>9</xdr:col>
      <xdr:colOff>321130</xdr:colOff>
      <xdr:row>38</xdr:row>
      <xdr:rowOff>136070</xdr:rowOff>
    </xdr:to>
    <xdr:pic>
      <xdr:nvPicPr>
        <xdr:cNvPr id="14" name="Kuva 13">
          <a:extLst>
            <a:ext uri="{FF2B5EF4-FFF2-40B4-BE49-F238E27FC236}">
              <a16:creationId xmlns:a16="http://schemas.microsoft.com/office/drawing/2014/main" id="{8586F2F1-5849-4C19-BE05-3127299C50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76334" y="5705368"/>
          <a:ext cx="925953" cy="96213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228600</xdr:colOff>
      <xdr:row>113</xdr:row>
      <xdr:rowOff>167640</xdr:rowOff>
    </xdr:from>
    <xdr:to>
      <xdr:col>11</xdr:col>
      <xdr:colOff>335280</xdr:colOff>
      <xdr:row>130</xdr:row>
      <xdr:rowOff>0</xdr:rowOff>
    </xdr:to>
    <xdr:graphicFrame macro="">
      <xdr:nvGraphicFramePr>
        <xdr:cNvPr id="20" name="Kaavio 19">
          <a:extLst>
            <a:ext uri="{FF2B5EF4-FFF2-40B4-BE49-F238E27FC236}">
              <a16:creationId xmlns:a16="http://schemas.microsoft.com/office/drawing/2014/main" id="{B58BD472-B0BA-41CC-B233-7D8AA1B73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220980</xdr:colOff>
      <xdr:row>97</xdr:row>
      <xdr:rowOff>45720</xdr:rowOff>
    </xdr:from>
    <xdr:to>
      <xdr:col>12</xdr:col>
      <xdr:colOff>0</xdr:colOff>
      <xdr:row>113</xdr:row>
      <xdr:rowOff>106680</xdr:rowOff>
    </xdr:to>
    <xdr:graphicFrame macro="">
      <xdr:nvGraphicFramePr>
        <xdr:cNvPr id="21" name="Kaavio 20">
          <a:extLst>
            <a:ext uri="{FF2B5EF4-FFF2-40B4-BE49-F238E27FC236}">
              <a16:creationId xmlns:a16="http://schemas.microsoft.com/office/drawing/2014/main" id="{C83DDFC1-E57A-4AF9-AEE9-46983E3AA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255815</xdr:colOff>
      <xdr:row>67</xdr:row>
      <xdr:rowOff>110218</xdr:rowOff>
    </xdr:from>
    <xdr:to>
      <xdr:col>14</xdr:col>
      <xdr:colOff>555172</xdr:colOff>
      <xdr:row>70</xdr:row>
      <xdr:rowOff>35379</xdr:rowOff>
    </xdr:to>
    <xdr:sp macro="" textlink="">
      <xdr:nvSpPr>
        <xdr:cNvPr id="28" name="Tekstiruutu 27">
          <a:hlinkClick xmlns:r="http://schemas.openxmlformats.org/officeDocument/2006/relationships" r:id="rId3"/>
          <a:extLst>
            <a:ext uri="{FF2B5EF4-FFF2-40B4-BE49-F238E27FC236}">
              <a16:creationId xmlns:a16="http://schemas.microsoft.com/office/drawing/2014/main" id="{00000000-0008-0000-0D00-00001C000000}"/>
            </a:ext>
          </a:extLst>
        </xdr:cNvPr>
        <xdr:cNvSpPr txBox="1"/>
      </xdr:nvSpPr>
      <xdr:spPr>
        <a:xfrm>
          <a:off x="7424058" y="10538732"/>
          <a:ext cx="1268185" cy="344261"/>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KASSABUDGET</a:t>
          </a:r>
        </a:p>
      </xdr:txBody>
    </xdr:sp>
    <xdr:clientData fPrintsWithSheet="0"/>
  </xdr:twoCellAnchor>
  <xdr:twoCellAnchor>
    <xdr:from>
      <xdr:col>12</xdr:col>
      <xdr:colOff>50346</xdr:colOff>
      <xdr:row>126</xdr:row>
      <xdr:rowOff>69397</xdr:rowOff>
    </xdr:from>
    <xdr:to>
      <xdr:col>14</xdr:col>
      <xdr:colOff>293915</xdr:colOff>
      <xdr:row>128</xdr:row>
      <xdr:rowOff>70757</xdr:rowOff>
    </xdr:to>
    <xdr:sp macro="" textlink="">
      <xdr:nvSpPr>
        <xdr:cNvPr id="15" name="Tekstiruutu 14">
          <a:hlinkClick xmlns:r="http://schemas.openxmlformats.org/officeDocument/2006/relationships" r:id="rId3"/>
          <a:extLst>
            <a:ext uri="{FF2B5EF4-FFF2-40B4-BE49-F238E27FC236}">
              <a16:creationId xmlns:a16="http://schemas.microsoft.com/office/drawing/2014/main" id="{00000000-0008-0000-0D00-00000F000000}"/>
            </a:ext>
          </a:extLst>
        </xdr:cNvPr>
        <xdr:cNvSpPr txBox="1"/>
      </xdr:nvSpPr>
      <xdr:spPr>
        <a:xfrm>
          <a:off x="7218589" y="19903168"/>
          <a:ext cx="1212397" cy="31704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KASSABUDGET</a:t>
          </a:r>
        </a:p>
      </xdr:txBody>
    </xdr:sp>
    <xdr:clientData fPrintsWithSheet="0"/>
  </xdr:twoCellAnchor>
  <xdr:twoCellAnchor>
    <xdr:from>
      <xdr:col>13</xdr:col>
      <xdr:colOff>733</xdr:colOff>
      <xdr:row>4</xdr:row>
      <xdr:rowOff>140258</xdr:rowOff>
    </xdr:from>
    <xdr:to>
      <xdr:col>15</xdr:col>
      <xdr:colOff>217713</xdr:colOff>
      <xdr:row>6</xdr:row>
      <xdr:rowOff>86613</xdr:rowOff>
    </xdr:to>
    <xdr:sp macro="" textlink="">
      <xdr:nvSpPr>
        <xdr:cNvPr id="27" name="Tekstiruutu 26">
          <a:hlinkClick xmlns:r="http://schemas.openxmlformats.org/officeDocument/2006/relationships" r:id="rId4"/>
          <a:extLst>
            <a:ext uri="{FF2B5EF4-FFF2-40B4-BE49-F238E27FC236}">
              <a16:creationId xmlns:a16="http://schemas.microsoft.com/office/drawing/2014/main" id="{00000000-0008-0000-0D00-00001B000000}"/>
            </a:ext>
          </a:extLst>
        </xdr:cNvPr>
        <xdr:cNvSpPr txBox="1"/>
      </xdr:nvSpPr>
      <xdr:spPr>
        <a:xfrm>
          <a:off x="7403019" y="869601"/>
          <a:ext cx="1632123" cy="289255"/>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100" b="1">
              <a:solidFill>
                <a:schemeClr val="bg1"/>
              </a:solidFill>
            </a:rPr>
            <a:t>FS2 FÖRSÄLJNING</a:t>
          </a:r>
        </a:p>
      </xdr:txBody>
    </xdr:sp>
    <xdr:clientData fPrintsWithSheet="0"/>
  </xdr:twoCellAnchor>
  <xdr:twoCellAnchor>
    <xdr:from>
      <xdr:col>13</xdr:col>
      <xdr:colOff>0</xdr:colOff>
      <xdr:row>7</xdr:row>
      <xdr:rowOff>76200</xdr:rowOff>
    </xdr:from>
    <xdr:to>
      <xdr:col>16</xdr:col>
      <xdr:colOff>38100</xdr:colOff>
      <xdr:row>9</xdr:row>
      <xdr:rowOff>53957</xdr:rowOff>
    </xdr:to>
    <xdr:sp macro="" textlink="">
      <xdr:nvSpPr>
        <xdr:cNvPr id="29" name="Tekstiruutu 28">
          <a:hlinkClick xmlns:r="http://schemas.openxmlformats.org/officeDocument/2006/relationships" r:id="rId5"/>
          <a:extLst>
            <a:ext uri="{FF2B5EF4-FFF2-40B4-BE49-F238E27FC236}">
              <a16:creationId xmlns:a16="http://schemas.microsoft.com/office/drawing/2014/main" id="{00000000-0008-0000-0D00-00001D000000}"/>
            </a:ext>
          </a:extLst>
        </xdr:cNvPr>
        <xdr:cNvSpPr txBox="1"/>
      </xdr:nvSpPr>
      <xdr:spPr>
        <a:xfrm>
          <a:off x="7402286" y="1300843"/>
          <a:ext cx="2160814" cy="288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solidFill>
                <a:schemeClr val="bg1"/>
              </a:solidFill>
            </a:rPr>
            <a:t>FS1 VERKSAMHETSKOSTNADER</a:t>
          </a:r>
        </a:p>
      </xdr:txBody>
    </xdr:sp>
    <xdr:clientData fPrintsWithSheet="0"/>
  </xdr:twoCellAnchor>
  <xdr:twoCellAnchor>
    <xdr:from>
      <xdr:col>12</xdr:col>
      <xdr:colOff>104776</xdr:colOff>
      <xdr:row>93</xdr:row>
      <xdr:rowOff>155122</xdr:rowOff>
    </xdr:from>
    <xdr:to>
      <xdr:col>14</xdr:col>
      <xdr:colOff>416380</xdr:colOff>
      <xdr:row>96</xdr:row>
      <xdr:rowOff>48985</xdr:rowOff>
    </xdr:to>
    <xdr:sp macro="" textlink="">
      <xdr:nvSpPr>
        <xdr:cNvPr id="30" name="Tekstiruutu 29">
          <a:hlinkClick xmlns:r="http://schemas.openxmlformats.org/officeDocument/2006/relationships" r:id="rId6"/>
          <a:extLst>
            <a:ext uri="{FF2B5EF4-FFF2-40B4-BE49-F238E27FC236}">
              <a16:creationId xmlns:a16="http://schemas.microsoft.com/office/drawing/2014/main" id="{00000000-0008-0000-0D00-00001E000000}"/>
            </a:ext>
          </a:extLst>
        </xdr:cNvPr>
        <xdr:cNvSpPr txBox="1"/>
      </xdr:nvSpPr>
      <xdr:spPr>
        <a:xfrm>
          <a:off x="7373712" y="14812736"/>
          <a:ext cx="1299482" cy="449035"/>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EKONOMISKA</a:t>
          </a:r>
          <a:br>
            <a:rPr lang="fi-FI" sz="1100" b="1">
              <a:solidFill>
                <a:schemeClr val="bg1"/>
              </a:solidFill>
            </a:rPr>
          </a:br>
          <a:r>
            <a:rPr lang="fi-FI" sz="1100" b="1">
              <a:solidFill>
                <a:schemeClr val="bg1"/>
              </a:solidFill>
            </a:rPr>
            <a:t>PARAMETRAR</a:t>
          </a:r>
        </a:p>
      </xdr:txBody>
    </xdr:sp>
    <xdr:clientData fPrintsWithSheet="0"/>
  </xdr:twoCellAnchor>
  <xdr:twoCellAnchor>
    <xdr:from>
      <xdr:col>2</xdr:col>
      <xdr:colOff>495300</xdr:colOff>
      <xdr:row>98</xdr:row>
      <xdr:rowOff>19049</xdr:rowOff>
    </xdr:from>
    <xdr:to>
      <xdr:col>4</xdr:col>
      <xdr:colOff>434340</xdr:colOff>
      <xdr:row>111</xdr:row>
      <xdr:rowOff>11429</xdr:rowOff>
    </xdr:to>
    <xdr:sp macro="" textlink="">
      <xdr:nvSpPr>
        <xdr:cNvPr id="4" name="Tekstiruutu 3">
          <a:extLst>
            <a:ext uri="{FF2B5EF4-FFF2-40B4-BE49-F238E27FC236}">
              <a16:creationId xmlns:a16="http://schemas.microsoft.com/office/drawing/2014/main" id="{61990C60-5E0E-46FB-9FEE-DF6306DFBC53}"/>
            </a:ext>
          </a:extLst>
        </xdr:cNvPr>
        <xdr:cNvSpPr txBox="1"/>
      </xdr:nvSpPr>
      <xdr:spPr>
        <a:xfrm>
          <a:off x="1112520" y="15571469"/>
          <a:ext cx="2255520" cy="2171700"/>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xdr:from>
      <xdr:col>2</xdr:col>
      <xdr:colOff>487680</xdr:colOff>
      <xdr:row>113</xdr:row>
      <xdr:rowOff>228600</xdr:rowOff>
    </xdr:from>
    <xdr:to>
      <xdr:col>4</xdr:col>
      <xdr:colOff>396240</xdr:colOff>
      <xdr:row>128</xdr:row>
      <xdr:rowOff>22859</xdr:rowOff>
    </xdr:to>
    <xdr:sp macro="" textlink="">
      <xdr:nvSpPr>
        <xdr:cNvPr id="5" name="Tekstiruutu 4">
          <a:extLst>
            <a:ext uri="{FF2B5EF4-FFF2-40B4-BE49-F238E27FC236}">
              <a16:creationId xmlns:a16="http://schemas.microsoft.com/office/drawing/2014/main" id="{76601EF0-99F4-4A78-BF94-A23E2F23475C}"/>
            </a:ext>
          </a:extLst>
        </xdr:cNvPr>
        <xdr:cNvSpPr txBox="1"/>
      </xdr:nvSpPr>
      <xdr:spPr>
        <a:xfrm>
          <a:off x="1104900" y="18295620"/>
          <a:ext cx="2225040" cy="2438399"/>
        </a:xfrm>
        <a:prstGeom prst="rect">
          <a:avLst/>
        </a:prstGeom>
        <a:solidFill>
          <a:schemeClr val="tx2">
            <a:lumMod val="20000"/>
            <a:lumOff val="80000"/>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solidFill>
                <a:schemeClr val="dk1"/>
              </a:solidFill>
              <a:effectLst/>
              <a:latin typeface="+mn-lt"/>
              <a:ea typeface="+mn-ea"/>
              <a:cs typeface="+mn-cs"/>
            </a:rPr>
            <a:t>Realiserad</a:t>
          </a:r>
          <a:r>
            <a:rPr lang="fi-FI" sz="1100" b="1" baseline="0">
              <a:solidFill>
                <a:schemeClr val="dk1"/>
              </a:solidFill>
              <a:effectLst/>
              <a:latin typeface="+mn-lt"/>
              <a:ea typeface="+mn-ea"/>
              <a:cs typeface="+mn-cs"/>
            </a:rPr>
            <a:t> medianvärde i branschen</a:t>
          </a:r>
          <a:endParaRPr lang="fi-FI">
            <a:effectLst/>
          </a:endParaRPr>
        </a:p>
      </xdr:txBody>
    </xdr:sp>
    <xdr:clientData/>
  </xdr:twoCellAnchor>
  <xdr:twoCellAnchor editAs="oneCell">
    <xdr:from>
      <xdr:col>10</xdr:col>
      <xdr:colOff>33338</xdr:colOff>
      <xdr:row>3</xdr:row>
      <xdr:rowOff>23812</xdr:rowOff>
    </xdr:from>
    <xdr:to>
      <xdr:col>12</xdr:col>
      <xdr:colOff>1715</xdr:colOff>
      <xdr:row>5</xdr:row>
      <xdr:rowOff>18478</xdr:rowOff>
    </xdr:to>
    <xdr:pic>
      <xdr:nvPicPr>
        <xdr:cNvPr id="7" name="Kuva 6">
          <a:extLst>
            <a:ext uri="{FF2B5EF4-FFF2-40B4-BE49-F238E27FC236}">
              <a16:creationId xmlns:a16="http://schemas.microsoft.com/office/drawing/2014/main" id="{B40C5D0F-B447-4056-A863-8D06744E0D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76963" y="566737"/>
          <a:ext cx="1078992" cy="371856"/>
        </a:xfrm>
        <a:prstGeom prst="rect">
          <a:avLst/>
        </a:prstGeom>
      </xdr:spPr>
    </xdr:pic>
    <xdr:clientData/>
  </xdr:twoCellAnchor>
  <xdr:twoCellAnchor editAs="oneCell">
    <xdr:from>
      <xdr:col>9</xdr:col>
      <xdr:colOff>345758</xdr:colOff>
      <xdr:row>68</xdr:row>
      <xdr:rowOff>129540</xdr:rowOff>
    </xdr:from>
    <xdr:to>
      <xdr:col>11</xdr:col>
      <xdr:colOff>321755</xdr:colOff>
      <xdr:row>71</xdr:row>
      <xdr:rowOff>57531</xdr:rowOff>
    </xdr:to>
    <xdr:pic>
      <xdr:nvPicPr>
        <xdr:cNvPr id="9" name="Kuva 8">
          <a:extLst>
            <a:ext uri="{FF2B5EF4-FFF2-40B4-BE49-F238E27FC236}">
              <a16:creationId xmlns:a16="http://schemas.microsoft.com/office/drawing/2014/main" id="{C71E3F83-5799-4B9E-B0D4-F489E50E56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55018" y="10927080"/>
          <a:ext cx="1042797" cy="366141"/>
        </a:xfrm>
        <a:prstGeom prst="rect">
          <a:avLst/>
        </a:prstGeom>
      </xdr:spPr>
    </xdr:pic>
    <xdr:clientData/>
  </xdr:twoCellAnchor>
  <xdr:twoCellAnchor editAs="oneCell">
    <xdr:from>
      <xdr:col>13</xdr:col>
      <xdr:colOff>25811</xdr:colOff>
      <xdr:row>4</xdr:row>
      <xdr:rowOff>173593</xdr:rowOff>
    </xdr:from>
    <xdr:to>
      <xdr:col>13</xdr:col>
      <xdr:colOff>154032</xdr:colOff>
      <xdr:row>6</xdr:row>
      <xdr:rowOff>55580</xdr:rowOff>
    </xdr:to>
    <xdr:pic>
      <xdr:nvPicPr>
        <xdr:cNvPr id="11" name="Kuva 10">
          <a:extLst>
            <a:ext uri="{FF2B5EF4-FFF2-40B4-BE49-F238E27FC236}">
              <a16:creationId xmlns:a16="http://schemas.microsoft.com/office/drawing/2014/main" id="{1AACD220-0483-48DF-A0CD-3A8FA563994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567706" y="907018"/>
          <a:ext cx="128221" cy="234412"/>
        </a:xfrm>
        <a:prstGeom prst="rect">
          <a:avLst/>
        </a:prstGeom>
      </xdr:spPr>
    </xdr:pic>
    <xdr:clientData fPrintsWithSheet="0"/>
  </xdr:twoCellAnchor>
  <xdr:twoCellAnchor editAs="oneCell">
    <xdr:from>
      <xdr:col>13</xdr:col>
      <xdr:colOff>29936</xdr:colOff>
      <xdr:row>7</xdr:row>
      <xdr:rowOff>93885</xdr:rowOff>
    </xdr:from>
    <xdr:to>
      <xdr:col>13</xdr:col>
      <xdr:colOff>168185</xdr:colOff>
      <xdr:row>9</xdr:row>
      <xdr:rowOff>19596</xdr:rowOff>
    </xdr:to>
    <xdr:pic>
      <xdr:nvPicPr>
        <xdr:cNvPr id="13" name="Kuva 12">
          <a:extLst>
            <a:ext uri="{FF2B5EF4-FFF2-40B4-BE49-F238E27FC236}">
              <a16:creationId xmlns:a16="http://schemas.microsoft.com/office/drawing/2014/main" id="{D1BCDA14-8269-4602-884D-72F8D6BD032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571015" y="1323971"/>
          <a:ext cx="130629" cy="240308"/>
        </a:xfrm>
        <a:prstGeom prst="rect">
          <a:avLst/>
        </a:prstGeom>
      </xdr:spPr>
    </xdr:pic>
    <xdr:clientData fPrintsWithSheet="0"/>
  </xdr:twoCellAnchor>
  <xdr:twoCellAnchor editAs="oneCell">
    <xdr:from>
      <xdr:col>14</xdr:col>
      <xdr:colOff>146958</xdr:colOff>
      <xdr:row>93</xdr:row>
      <xdr:rowOff>179615</xdr:rowOff>
    </xdr:from>
    <xdr:to>
      <xdr:col>14</xdr:col>
      <xdr:colOff>363498</xdr:colOff>
      <xdr:row>96</xdr:row>
      <xdr:rowOff>19596</xdr:rowOff>
    </xdr:to>
    <xdr:pic>
      <xdr:nvPicPr>
        <xdr:cNvPr id="17" name="Kuva 16">
          <a:extLst>
            <a:ext uri="{FF2B5EF4-FFF2-40B4-BE49-F238E27FC236}">
              <a16:creationId xmlns:a16="http://schemas.microsoft.com/office/drawing/2014/main" id="{22030B1C-36BB-4CF2-A759-F11678DC6D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03772" y="14837229"/>
          <a:ext cx="212730" cy="391343"/>
        </a:xfrm>
        <a:prstGeom prst="rect">
          <a:avLst/>
        </a:prstGeom>
      </xdr:spPr>
    </xdr:pic>
    <xdr:clientData fPrintsWithSheet="0"/>
  </xdr:twoCellAnchor>
  <xdr:twoCellAnchor editAs="oneCell">
    <xdr:from>
      <xdr:col>14</xdr:col>
      <xdr:colOff>78923</xdr:colOff>
      <xdr:row>126</xdr:row>
      <xdr:rowOff>117022</xdr:rowOff>
    </xdr:from>
    <xdr:to>
      <xdr:col>14</xdr:col>
      <xdr:colOff>212621</xdr:colOff>
      <xdr:row>128</xdr:row>
      <xdr:rowOff>21774</xdr:rowOff>
    </xdr:to>
    <xdr:pic>
      <xdr:nvPicPr>
        <xdr:cNvPr id="19" name="Kuva 18">
          <a:extLst>
            <a:ext uri="{FF2B5EF4-FFF2-40B4-BE49-F238E27FC236}">
              <a16:creationId xmlns:a16="http://schemas.microsoft.com/office/drawing/2014/main" id="{6205460E-D3AD-4E09-972C-4BE3535C17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215994" y="19950793"/>
          <a:ext cx="137508" cy="228058"/>
        </a:xfrm>
        <a:prstGeom prst="rect">
          <a:avLst/>
        </a:prstGeom>
      </xdr:spPr>
    </xdr:pic>
    <xdr:clientData fPrintsWithSheet="0"/>
  </xdr:twoCellAnchor>
  <xdr:twoCellAnchor editAs="oneCell">
    <xdr:from>
      <xdr:col>14</xdr:col>
      <xdr:colOff>326571</xdr:colOff>
      <xdr:row>67</xdr:row>
      <xdr:rowOff>146957</xdr:rowOff>
    </xdr:from>
    <xdr:to>
      <xdr:col>14</xdr:col>
      <xdr:colOff>477667</xdr:colOff>
      <xdr:row>70</xdr:row>
      <xdr:rowOff>16328</xdr:rowOff>
    </xdr:to>
    <xdr:pic>
      <xdr:nvPicPr>
        <xdr:cNvPr id="18" name="Kuva 17">
          <a:extLst>
            <a:ext uri="{FF2B5EF4-FFF2-40B4-BE49-F238E27FC236}">
              <a16:creationId xmlns:a16="http://schemas.microsoft.com/office/drawing/2014/main" id="{1677BDFE-3EF6-43B0-AD14-F38DAD130D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63642" y="10575471"/>
          <a:ext cx="154906" cy="277041"/>
        </a:xfrm>
        <a:prstGeom prst="rect">
          <a:avLst/>
        </a:prstGeom>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1</xdr:col>
      <xdr:colOff>47624</xdr:colOff>
      <xdr:row>2</xdr:row>
      <xdr:rowOff>412937</xdr:rowOff>
    </xdr:from>
    <xdr:to>
      <xdr:col>2</xdr:col>
      <xdr:colOff>1828799</xdr:colOff>
      <xdr:row>4</xdr:row>
      <xdr:rowOff>90488</xdr:rowOff>
    </xdr:to>
    <xdr:sp macro="" textlink="">
      <xdr:nvSpPr>
        <xdr:cNvPr id="2" name="Tekstiruutu 1">
          <a:extLst>
            <a:ext uri="{FF2B5EF4-FFF2-40B4-BE49-F238E27FC236}">
              <a16:creationId xmlns:a16="http://schemas.microsoft.com/office/drawing/2014/main" id="{368465D7-9F4E-4C8F-955D-EEDD4B731344}"/>
            </a:ext>
          </a:extLst>
        </xdr:cNvPr>
        <xdr:cNvSpPr txBox="1"/>
      </xdr:nvSpPr>
      <xdr:spPr>
        <a:xfrm>
          <a:off x="180974" y="774887"/>
          <a:ext cx="2171700" cy="382401"/>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strike="noStrike" baseline="0"/>
            <a:t>FS3 Resultat och finansiering</a:t>
          </a:r>
        </a:p>
      </xdr:txBody>
    </xdr:sp>
    <xdr:clientData fPrintsWithSheet="0"/>
  </xdr:twoCellAnchor>
  <xdr:twoCellAnchor>
    <xdr:from>
      <xdr:col>1</xdr:col>
      <xdr:colOff>47624</xdr:colOff>
      <xdr:row>1</xdr:row>
      <xdr:rowOff>40567</xdr:rowOff>
    </xdr:from>
    <xdr:to>
      <xdr:col>2</xdr:col>
      <xdr:colOff>1828800</xdr:colOff>
      <xdr:row>2</xdr:row>
      <xdr:rowOff>256613</xdr:rowOff>
    </xdr:to>
    <xdr:sp macro="" textlink="">
      <xdr:nvSpPr>
        <xdr:cNvPr id="3" name="Tekstiruutu 2">
          <a:extLst>
            <a:ext uri="{FF2B5EF4-FFF2-40B4-BE49-F238E27FC236}">
              <a16:creationId xmlns:a16="http://schemas.microsoft.com/office/drawing/2014/main" id="{70C44FEB-FEEF-49E0-ACF0-82CF56DCF061}"/>
            </a:ext>
          </a:extLst>
        </xdr:cNvPr>
        <xdr:cNvSpPr txBox="1"/>
      </xdr:nvSpPr>
      <xdr:spPr>
        <a:xfrm>
          <a:off x="171449" y="202492"/>
          <a:ext cx="2143126" cy="41607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K3 Resultat</a:t>
          </a:r>
          <a:r>
            <a:rPr lang="fi-FI" sz="1100" b="1" baseline="0"/>
            <a:t> och finansiering</a:t>
          </a:r>
          <a:endParaRPr lang="fi-FI" sz="1100" b="1"/>
        </a:p>
      </xdr:txBody>
    </xdr:sp>
    <xdr:clientData fPrintsWithSheet="0"/>
  </xdr:twoCellAnchor>
  <xdr:oneCellAnchor>
    <xdr:from>
      <xdr:col>1</xdr:col>
      <xdr:colOff>57149</xdr:colOff>
      <xdr:row>1</xdr:row>
      <xdr:rowOff>47624</xdr:rowOff>
    </xdr:from>
    <xdr:ext cx="421233" cy="406539"/>
    <xdr:pic>
      <xdr:nvPicPr>
        <xdr:cNvPr id="4" name="Kuva 3" descr="C:\Users\Henri\AppData\Local\Microsoft\Windows\Temporary Internet Files\Content.IE5\N4VBPFWY\MC900432667[1].png">
          <a:hlinkClick xmlns:r="http://schemas.openxmlformats.org/officeDocument/2006/relationships" r:id="rId1"/>
          <a:extLst>
            <a:ext uri="{FF2B5EF4-FFF2-40B4-BE49-F238E27FC236}">
              <a16:creationId xmlns:a16="http://schemas.microsoft.com/office/drawing/2014/main" id="{535E3075-8896-4B64-BB2D-A847E133AB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4" y="209549"/>
          <a:ext cx="421233" cy="406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oneCellAnchor>
    <xdr:from>
      <xdr:col>1</xdr:col>
      <xdr:colOff>19053</xdr:colOff>
      <xdr:row>2</xdr:row>
      <xdr:rowOff>390525</xdr:rowOff>
    </xdr:from>
    <xdr:ext cx="435486" cy="425700"/>
    <xdr:pic>
      <xdr:nvPicPr>
        <xdr:cNvPr id="5" name="Kuva 4" descr="C:\Users\Henri\AppData\Local\Microsoft\Windows\Temporary Internet Files\Content.IE5\N4VBPFWY\MC900432667[1].png">
          <a:hlinkClick xmlns:r="http://schemas.openxmlformats.org/officeDocument/2006/relationships" r:id="rId3"/>
          <a:extLst>
            <a:ext uri="{FF2B5EF4-FFF2-40B4-BE49-F238E27FC236}">
              <a16:creationId xmlns:a16="http://schemas.microsoft.com/office/drawing/2014/main" id="{99FEC682-580E-47FA-98A9-4AAB0EA08CA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3" y="485775"/>
          <a:ext cx="435486" cy="42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0</xdr:col>
      <xdr:colOff>845820</xdr:colOff>
      <xdr:row>3</xdr:row>
      <xdr:rowOff>137160</xdr:rowOff>
    </xdr:from>
    <xdr:to>
      <xdr:col>12</xdr:col>
      <xdr:colOff>478155</xdr:colOff>
      <xdr:row>16</xdr:row>
      <xdr:rowOff>133350</xdr:rowOff>
    </xdr:to>
    <xdr:pic>
      <xdr:nvPicPr>
        <xdr:cNvPr id="9" name="Kuva 8">
          <a:extLst>
            <a:ext uri="{FF2B5EF4-FFF2-40B4-BE49-F238E27FC236}">
              <a16:creationId xmlns:a16="http://schemas.microsoft.com/office/drawing/2014/main" id="{2C205ADD-2F03-46A2-859E-E64C28A0A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 y="640080"/>
          <a:ext cx="8498205"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480060</xdr:colOff>
      <xdr:row>3</xdr:row>
      <xdr:rowOff>22860</xdr:rowOff>
    </xdr:from>
    <xdr:to>
      <xdr:col>7</xdr:col>
      <xdr:colOff>30480</xdr:colOff>
      <xdr:row>5</xdr:row>
      <xdr:rowOff>129540</xdr:rowOff>
    </xdr:to>
    <xdr:sp macro="" textlink="">
      <xdr:nvSpPr>
        <xdr:cNvPr id="10" name="Ellipsi 9">
          <a:extLst>
            <a:ext uri="{FF2B5EF4-FFF2-40B4-BE49-F238E27FC236}">
              <a16:creationId xmlns:a16="http://schemas.microsoft.com/office/drawing/2014/main" id="{ED32A091-149B-4B9E-BE30-AE3BEEE061E6}"/>
            </a:ext>
          </a:extLst>
        </xdr:cNvPr>
        <xdr:cNvSpPr/>
      </xdr:nvSpPr>
      <xdr:spPr>
        <a:xfrm>
          <a:off x="3703320" y="22860"/>
          <a:ext cx="769620" cy="4419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9</xdr:col>
      <xdr:colOff>15240</xdr:colOff>
      <xdr:row>3</xdr:row>
      <xdr:rowOff>0</xdr:rowOff>
    </xdr:from>
    <xdr:to>
      <xdr:col>10</xdr:col>
      <xdr:colOff>327660</xdr:colOff>
      <xdr:row>5</xdr:row>
      <xdr:rowOff>106680</xdr:rowOff>
    </xdr:to>
    <xdr:sp macro="" textlink="">
      <xdr:nvSpPr>
        <xdr:cNvPr id="11" name="Ellipsi 10">
          <a:extLst>
            <a:ext uri="{FF2B5EF4-FFF2-40B4-BE49-F238E27FC236}">
              <a16:creationId xmlns:a16="http://schemas.microsoft.com/office/drawing/2014/main" id="{C8592F56-4101-4D75-B5F4-5888DD182D3A}"/>
            </a:ext>
          </a:extLst>
        </xdr:cNvPr>
        <xdr:cNvSpPr/>
      </xdr:nvSpPr>
      <xdr:spPr>
        <a:xfrm>
          <a:off x="5676900" y="502920"/>
          <a:ext cx="922020" cy="4419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449580</xdr:colOff>
      <xdr:row>3</xdr:row>
      <xdr:rowOff>15240</xdr:rowOff>
    </xdr:from>
    <xdr:to>
      <xdr:col>14</xdr:col>
      <xdr:colOff>198120</xdr:colOff>
      <xdr:row>5</xdr:row>
      <xdr:rowOff>121920</xdr:rowOff>
    </xdr:to>
    <xdr:sp macro="" textlink="">
      <xdr:nvSpPr>
        <xdr:cNvPr id="12" name="Ellipsi 11">
          <a:extLst>
            <a:ext uri="{FF2B5EF4-FFF2-40B4-BE49-F238E27FC236}">
              <a16:creationId xmlns:a16="http://schemas.microsoft.com/office/drawing/2014/main" id="{23CC26DE-BCF1-4747-8080-D95E342CDFE9}"/>
            </a:ext>
          </a:extLst>
        </xdr:cNvPr>
        <xdr:cNvSpPr/>
      </xdr:nvSpPr>
      <xdr:spPr>
        <a:xfrm>
          <a:off x="8382000" y="518160"/>
          <a:ext cx="967740" cy="4419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3</xdr:col>
      <xdr:colOff>403860</xdr:colOff>
      <xdr:row>0</xdr:row>
      <xdr:rowOff>99060</xdr:rowOff>
    </xdr:from>
    <xdr:to>
      <xdr:col>5</xdr:col>
      <xdr:colOff>342900</xdr:colOff>
      <xdr:row>3</xdr:row>
      <xdr:rowOff>53340</xdr:rowOff>
    </xdr:to>
    <xdr:sp macro="" textlink="">
      <xdr:nvSpPr>
        <xdr:cNvPr id="13" name="Kuvaselite: Viiva 12">
          <a:extLst>
            <a:ext uri="{FF2B5EF4-FFF2-40B4-BE49-F238E27FC236}">
              <a16:creationId xmlns:a16="http://schemas.microsoft.com/office/drawing/2014/main" id="{F1175CB3-8E09-40B7-B79F-B72E2269764A}"/>
            </a:ext>
          </a:extLst>
        </xdr:cNvPr>
        <xdr:cNvSpPr/>
      </xdr:nvSpPr>
      <xdr:spPr>
        <a:xfrm>
          <a:off x="2407920" y="99060"/>
          <a:ext cx="1158240" cy="457200"/>
        </a:xfrm>
        <a:prstGeom prst="borderCallout1">
          <a:avLst>
            <a:gd name="adj1" fmla="val 28554"/>
            <a:gd name="adj2" fmla="val 102193"/>
            <a:gd name="adj3" fmla="val 110539"/>
            <a:gd name="adj4" fmla="val 134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a:t>H</a:t>
          </a:r>
          <a:r>
            <a:rPr lang="fi-FI" sz="1100" b="1">
              <a:solidFill>
                <a:sysClr val="windowText" lastClr="000000"/>
              </a:solidFill>
            </a:rPr>
            <a:t>´Hakuarvo</a:t>
          </a:r>
          <a:r>
            <a:rPr lang="fi-FI" sz="1100" b="1" baseline="0">
              <a:solidFill>
                <a:sysClr val="windowText" lastClr="000000"/>
              </a:solidFill>
            </a:rPr>
            <a:t> = toimialanumero</a:t>
          </a:r>
          <a:endParaRPr lang="fi-FI" sz="1100" b="1"/>
        </a:p>
      </xdr:txBody>
    </xdr:sp>
    <xdr:clientData/>
  </xdr:twoCellAnchor>
  <xdr:twoCellAnchor>
    <xdr:from>
      <xdr:col>6</xdr:col>
      <xdr:colOff>487680</xdr:colOff>
      <xdr:row>0</xdr:row>
      <xdr:rowOff>60960</xdr:rowOff>
    </xdr:from>
    <xdr:to>
      <xdr:col>9</xdr:col>
      <xdr:colOff>320040</xdr:colOff>
      <xdr:row>3</xdr:row>
      <xdr:rowOff>15240</xdr:rowOff>
    </xdr:to>
    <xdr:sp macro="" textlink="">
      <xdr:nvSpPr>
        <xdr:cNvPr id="14" name="Kuvaselite: Viiva 13">
          <a:extLst>
            <a:ext uri="{FF2B5EF4-FFF2-40B4-BE49-F238E27FC236}">
              <a16:creationId xmlns:a16="http://schemas.microsoft.com/office/drawing/2014/main" id="{233A59DD-2E9F-49BB-8965-A2EECBF0E733}"/>
            </a:ext>
          </a:extLst>
        </xdr:cNvPr>
        <xdr:cNvSpPr/>
      </xdr:nvSpPr>
      <xdr:spPr>
        <a:xfrm>
          <a:off x="4320540" y="60960"/>
          <a:ext cx="1661160" cy="457200"/>
        </a:xfrm>
        <a:prstGeom prst="borderCallout1">
          <a:avLst>
            <a:gd name="adj1" fmla="val 28554"/>
            <a:gd name="adj2" fmla="val 102193"/>
            <a:gd name="adj3" fmla="val 118872"/>
            <a:gd name="adj4" fmla="val 1166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Hakuvektori</a:t>
          </a:r>
          <a:r>
            <a:rPr lang="fi-FI" sz="1100" b="1" baseline="0">
              <a:solidFill>
                <a:sysClr val="windowText" lastClr="000000"/>
              </a:solidFill>
            </a:rPr>
            <a:t> = toimiala-numerot-sarake</a:t>
          </a:r>
          <a:endParaRPr lang="fi-FI" sz="1100" b="1"/>
        </a:p>
      </xdr:txBody>
    </xdr:sp>
    <xdr:clientData/>
  </xdr:twoCellAnchor>
  <xdr:twoCellAnchor>
    <xdr:from>
      <xdr:col>10</xdr:col>
      <xdr:colOff>541020</xdr:colOff>
      <xdr:row>0</xdr:row>
      <xdr:rowOff>68580</xdr:rowOff>
    </xdr:from>
    <xdr:to>
      <xdr:col>12</xdr:col>
      <xdr:colOff>457200</xdr:colOff>
      <xdr:row>3</xdr:row>
      <xdr:rowOff>22860</xdr:rowOff>
    </xdr:to>
    <xdr:sp macro="" textlink="">
      <xdr:nvSpPr>
        <xdr:cNvPr id="15" name="Kuvaselite: Viiva 14">
          <a:extLst>
            <a:ext uri="{FF2B5EF4-FFF2-40B4-BE49-F238E27FC236}">
              <a16:creationId xmlns:a16="http://schemas.microsoft.com/office/drawing/2014/main" id="{F4C940E6-AF85-4087-9029-9FB19AE887D2}"/>
            </a:ext>
          </a:extLst>
        </xdr:cNvPr>
        <xdr:cNvSpPr/>
      </xdr:nvSpPr>
      <xdr:spPr>
        <a:xfrm>
          <a:off x="6812280" y="68580"/>
          <a:ext cx="1135380" cy="457200"/>
        </a:xfrm>
        <a:prstGeom prst="borderCallout1">
          <a:avLst>
            <a:gd name="adj1" fmla="val 28554"/>
            <a:gd name="adj2" fmla="val 102193"/>
            <a:gd name="adj3" fmla="val 107205"/>
            <a:gd name="adj4" fmla="val 12525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a:t>H</a:t>
          </a:r>
          <a:r>
            <a:rPr lang="fi-FI" sz="1100" b="1">
              <a:solidFill>
                <a:sysClr val="windowText" lastClr="000000"/>
              </a:solidFill>
            </a:rPr>
            <a:t>Tulosvektori</a:t>
          </a:r>
          <a:r>
            <a:rPr lang="fi-FI" sz="1100" b="1" baseline="0">
              <a:solidFill>
                <a:sysClr val="windowText" lastClr="000000"/>
              </a:solidFill>
            </a:rPr>
            <a:t> = </a:t>
          </a:r>
          <a:br>
            <a:rPr lang="fi-FI" sz="1100" b="1" baseline="0">
              <a:solidFill>
                <a:sysClr val="windowText" lastClr="000000"/>
              </a:solidFill>
            </a:rPr>
          </a:br>
          <a:r>
            <a:rPr lang="fi-FI" sz="1100" b="1" baseline="0">
              <a:solidFill>
                <a:sysClr val="windowText" lastClr="000000"/>
              </a:solidFill>
            </a:rPr>
            <a:t>   tulos-sarake</a:t>
          </a:r>
          <a:endParaRPr lang="fi-FI" sz="1100" b="1"/>
        </a:p>
      </xdr:txBody>
    </xdr:sp>
    <xdr:clientData/>
  </xdr:twoCellAnchor>
  <xdr:twoCellAnchor>
    <xdr:from>
      <xdr:col>10</xdr:col>
      <xdr:colOff>167640</xdr:colOff>
      <xdr:row>4</xdr:row>
      <xdr:rowOff>76200</xdr:rowOff>
    </xdr:from>
    <xdr:to>
      <xdr:col>10</xdr:col>
      <xdr:colOff>464820</xdr:colOff>
      <xdr:row>17</xdr:row>
      <xdr:rowOff>160020</xdr:rowOff>
    </xdr:to>
    <xdr:cxnSp macro="">
      <xdr:nvCxnSpPr>
        <xdr:cNvPr id="19" name="Suora nuoliyhdysviiva 18">
          <a:extLst>
            <a:ext uri="{FF2B5EF4-FFF2-40B4-BE49-F238E27FC236}">
              <a16:creationId xmlns:a16="http://schemas.microsoft.com/office/drawing/2014/main" id="{52BDD80A-4854-4A6C-96A7-99C7009C5E4B}"/>
            </a:ext>
          </a:extLst>
        </xdr:cNvPr>
        <xdr:cNvCxnSpPr/>
      </xdr:nvCxnSpPr>
      <xdr:spPr>
        <a:xfrm flipH="1" flipV="1">
          <a:off x="6438900" y="746760"/>
          <a:ext cx="297180" cy="226314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502920</xdr:colOff>
      <xdr:row>4</xdr:row>
      <xdr:rowOff>99060</xdr:rowOff>
    </xdr:from>
    <xdr:to>
      <xdr:col>13</xdr:col>
      <xdr:colOff>236220</xdr:colOff>
      <xdr:row>17</xdr:row>
      <xdr:rowOff>152400</xdr:rowOff>
    </xdr:to>
    <xdr:cxnSp macro="">
      <xdr:nvCxnSpPr>
        <xdr:cNvPr id="20" name="Suora nuoliyhdysviiva 19">
          <a:extLst>
            <a:ext uri="{FF2B5EF4-FFF2-40B4-BE49-F238E27FC236}">
              <a16:creationId xmlns:a16="http://schemas.microsoft.com/office/drawing/2014/main" id="{C9BDC29A-AE90-4D31-955D-D5C6696FE4B7}"/>
            </a:ext>
          </a:extLst>
        </xdr:cNvPr>
        <xdr:cNvCxnSpPr/>
      </xdr:nvCxnSpPr>
      <xdr:spPr>
        <a:xfrm flipV="1">
          <a:off x="6774180" y="769620"/>
          <a:ext cx="1562100" cy="223266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312420</xdr:colOff>
      <xdr:row>20</xdr:row>
      <xdr:rowOff>68580</xdr:rowOff>
    </xdr:from>
    <xdr:to>
      <xdr:col>0</xdr:col>
      <xdr:colOff>769620</xdr:colOff>
      <xdr:row>23</xdr:row>
      <xdr:rowOff>13335</xdr:rowOff>
    </xdr:to>
    <xdr:sp macro="" textlink="">
      <xdr:nvSpPr>
        <xdr:cNvPr id="16" name="Ellipsi 15">
          <a:extLst>
            <a:ext uri="{FF2B5EF4-FFF2-40B4-BE49-F238E27FC236}">
              <a16:creationId xmlns:a16="http://schemas.microsoft.com/office/drawing/2014/main" id="{323419F5-DA81-4403-9764-DED9003AD295}"/>
            </a:ext>
          </a:extLst>
        </xdr:cNvPr>
        <xdr:cNvSpPr/>
      </xdr:nvSpPr>
      <xdr:spPr>
        <a:xfrm>
          <a:off x="312420" y="3451860"/>
          <a:ext cx="457200" cy="447675"/>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xdr:colOff>
      <xdr:row>2</xdr:row>
      <xdr:rowOff>171450</xdr:rowOff>
    </xdr:from>
    <xdr:to>
      <xdr:col>12</xdr:col>
      <xdr:colOff>295107</xdr:colOff>
      <xdr:row>4</xdr:row>
      <xdr:rowOff>150450</xdr:rowOff>
    </xdr:to>
    <xdr:sp macro="" textlink="">
      <xdr:nvSpPr>
        <xdr:cNvPr id="12" name="Tekstiruutu 11">
          <a:hlinkClick xmlns:r="http://schemas.openxmlformats.org/officeDocument/2006/relationships" r:id="rId1"/>
          <a:extLst>
            <a:ext uri="{FF2B5EF4-FFF2-40B4-BE49-F238E27FC236}">
              <a16:creationId xmlns:a16="http://schemas.microsoft.com/office/drawing/2014/main" id="{00000000-0008-0000-0100-00000C000000}"/>
            </a:ext>
          </a:extLst>
        </xdr:cNvPr>
        <xdr:cNvSpPr txBox="1"/>
      </xdr:nvSpPr>
      <xdr:spPr>
        <a:xfrm>
          <a:off x="7900739" y="529891"/>
          <a:ext cx="2160000" cy="360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K2 FÖRSÄLJNINGSPROGNOS</a:t>
          </a:r>
        </a:p>
      </xdr:txBody>
    </xdr:sp>
    <xdr:clientData fPrintsWithSheet="0"/>
  </xdr:twoCellAnchor>
  <xdr:twoCellAnchor>
    <xdr:from>
      <xdr:col>9</xdr:col>
      <xdr:colOff>1</xdr:colOff>
      <xdr:row>129</xdr:row>
      <xdr:rowOff>28574</xdr:rowOff>
    </xdr:from>
    <xdr:to>
      <xdr:col>12</xdr:col>
      <xdr:colOff>295106</xdr:colOff>
      <xdr:row>131</xdr:row>
      <xdr:rowOff>62719</xdr:rowOff>
    </xdr:to>
    <xdr:sp macro="" textlink="">
      <xdr:nvSpPr>
        <xdr:cNvPr id="14" name="Tekstiruutu 13">
          <a:hlinkClick xmlns:r="http://schemas.openxmlformats.org/officeDocument/2006/relationships" r:id="rId1"/>
          <a:extLst>
            <a:ext uri="{FF2B5EF4-FFF2-40B4-BE49-F238E27FC236}">
              <a16:creationId xmlns:a16="http://schemas.microsoft.com/office/drawing/2014/main" id="{00000000-0008-0000-0100-00000E000000}"/>
            </a:ext>
          </a:extLst>
        </xdr:cNvPr>
        <xdr:cNvSpPr txBox="1"/>
      </xdr:nvSpPr>
      <xdr:spPr>
        <a:xfrm>
          <a:off x="7900738" y="21179087"/>
          <a:ext cx="2160000" cy="360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i-FI" sz="1100" b="1">
              <a:solidFill>
                <a:schemeClr val="bg1"/>
              </a:solidFill>
            </a:rPr>
            <a:t>K2 FÖRSÄLJNINGSPROGNOS</a:t>
          </a:r>
        </a:p>
      </xdr:txBody>
    </xdr:sp>
    <xdr:clientData fPrintsWithSheet="0"/>
  </xdr:twoCellAnchor>
  <xdr:twoCellAnchor>
    <xdr:from>
      <xdr:col>7</xdr:col>
      <xdr:colOff>682831</xdr:colOff>
      <xdr:row>24</xdr:row>
      <xdr:rowOff>55712</xdr:rowOff>
    </xdr:from>
    <xdr:to>
      <xdr:col>8</xdr:col>
      <xdr:colOff>5169</xdr:colOff>
      <xdr:row>24</xdr:row>
      <xdr:rowOff>56902</xdr:rowOff>
    </xdr:to>
    <xdr:cxnSp macro="">
      <xdr:nvCxnSpPr>
        <xdr:cNvPr id="10" name="Suora nuoliyhdysviiva 9">
          <a:extLst>
            <a:ext uri="{FF2B5EF4-FFF2-40B4-BE49-F238E27FC236}">
              <a16:creationId xmlns:a16="http://schemas.microsoft.com/office/drawing/2014/main" id="{4CCA1424-D75B-4326-9189-6679BD0E0A6C}"/>
            </a:ext>
          </a:extLst>
        </xdr:cNvPr>
        <xdr:cNvCxnSpPr/>
      </xdr:nvCxnSpPr>
      <xdr:spPr>
        <a:xfrm flipV="1">
          <a:off x="7758545" y="3840972"/>
          <a:ext cx="79390" cy="119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7537</xdr:colOff>
      <xdr:row>24</xdr:row>
      <xdr:rowOff>54429</xdr:rowOff>
    </xdr:from>
    <xdr:to>
      <xdr:col>8</xdr:col>
      <xdr:colOff>179614</xdr:colOff>
      <xdr:row>24</xdr:row>
      <xdr:rowOff>54954</xdr:rowOff>
    </xdr:to>
    <xdr:cxnSp macro="">
      <xdr:nvCxnSpPr>
        <xdr:cNvPr id="11" name="Suora nuoliyhdysviiva 10">
          <a:extLst>
            <a:ext uri="{FF2B5EF4-FFF2-40B4-BE49-F238E27FC236}">
              <a16:creationId xmlns:a16="http://schemas.microsoft.com/office/drawing/2014/main" id="{2D3F9BA9-F411-4ED1-9929-60B589AF6357}"/>
            </a:ext>
          </a:extLst>
        </xdr:cNvPr>
        <xdr:cNvCxnSpPr/>
      </xdr:nvCxnSpPr>
      <xdr:spPr>
        <a:xfrm flipH="1">
          <a:off x="7419892" y="3992064"/>
          <a:ext cx="158742"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683252</xdr:colOff>
      <xdr:row>125</xdr:row>
      <xdr:rowOff>37058</xdr:rowOff>
    </xdr:from>
    <xdr:to>
      <xdr:col>8</xdr:col>
      <xdr:colOff>1665</xdr:colOff>
      <xdr:row>125</xdr:row>
      <xdr:rowOff>37435</xdr:rowOff>
    </xdr:to>
    <xdr:cxnSp macro="">
      <xdr:nvCxnSpPr>
        <xdr:cNvPr id="15" name="Suora nuoliyhdysviiva 14">
          <a:extLst>
            <a:ext uri="{FF2B5EF4-FFF2-40B4-BE49-F238E27FC236}">
              <a16:creationId xmlns:a16="http://schemas.microsoft.com/office/drawing/2014/main" id="{BB9AFE80-ED13-40EE-A569-7BCE14AA9EF0}"/>
            </a:ext>
          </a:extLst>
        </xdr:cNvPr>
        <xdr:cNvCxnSpPr/>
      </xdr:nvCxnSpPr>
      <xdr:spPr>
        <a:xfrm>
          <a:off x="7756650" y="19860638"/>
          <a:ext cx="75781" cy="37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16249</xdr:colOff>
      <xdr:row>125</xdr:row>
      <xdr:rowOff>34742</xdr:rowOff>
    </xdr:from>
    <xdr:to>
      <xdr:col>9</xdr:col>
      <xdr:colOff>4632</xdr:colOff>
      <xdr:row>125</xdr:row>
      <xdr:rowOff>36677</xdr:rowOff>
    </xdr:to>
    <xdr:cxnSp macro="">
      <xdr:nvCxnSpPr>
        <xdr:cNvPr id="16" name="Suora nuoliyhdysviiva 15">
          <a:extLst>
            <a:ext uri="{FF2B5EF4-FFF2-40B4-BE49-F238E27FC236}">
              <a16:creationId xmlns:a16="http://schemas.microsoft.com/office/drawing/2014/main" id="{04C0D79A-39AE-4132-AE12-5EDD5E9B0399}"/>
            </a:ext>
          </a:extLst>
        </xdr:cNvPr>
        <xdr:cNvCxnSpPr/>
      </xdr:nvCxnSpPr>
      <xdr:spPr>
        <a:xfrm flipH="1">
          <a:off x="7847015" y="19858322"/>
          <a:ext cx="169040" cy="19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452437</xdr:colOff>
      <xdr:row>5</xdr:row>
      <xdr:rowOff>90486</xdr:rowOff>
    </xdr:from>
    <xdr:to>
      <xdr:col>8</xdr:col>
      <xdr:colOff>2722</xdr:colOff>
      <xdr:row>8</xdr:row>
      <xdr:rowOff>20729</xdr:rowOff>
    </xdr:to>
    <xdr:pic>
      <xdr:nvPicPr>
        <xdr:cNvPr id="8" name="Kuva 7">
          <a:extLst>
            <a:ext uri="{FF2B5EF4-FFF2-40B4-BE49-F238E27FC236}">
              <a16:creationId xmlns:a16="http://schemas.microsoft.com/office/drawing/2014/main" id="{DE027F00-8182-4747-9F92-9DA3A339BA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29400" y="981074"/>
          <a:ext cx="1080000" cy="372203"/>
        </a:xfrm>
        <a:prstGeom prst="rect">
          <a:avLst/>
        </a:prstGeom>
      </xdr:spPr>
    </xdr:pic>
    <xdr:clientData/>
  </xdr:twoCellAnchor>
  <xdr:twoCellAnchor editAs="oneCell">
    <xdr:from>
      <xdr:col>12</xdr:col>
      <xdr:colOff>69934</xdr:colOff>
      <xdr:row>3</xdr:row>
      <xdr:rowOff>1267</xdr:rowOff>
    </xdr:from>
    <xdr:to>
      <xdr:col>12</xdr:col>
      <xdr:colOff>248150</xdr:colOff>
      <xdr:row>4</xdr:row>
      <xdr:rowOff>131594</xdr:rowOff>
    </xdr:to>
    <xdr:pic>
      <xdr:nvPicPr>
        <xdr:cNvPr id="5" name="Kuva 4">
          <a:extLst>
            <a:ext uri="{FF2B5EF4-FFF2-40B4-BE49-F238E27FC236}">
              <a16:creationId xmlns:a16="http://schemas.microsoft.com/office/drawing/2014/main" id="{E2430E09-3C78-4588-AE20-0EC47B34474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35566" y="550208"/>
          <a:ext cx="178216" cy="328447"/>
        </a:xfrm>
        <a:prstGeom prst="rect">
          <a:avLst/>
        </a:prstGeom>
      </xdr:spPr>
    </xdr:pic>
    <xdr:clientData fPrintsWithSheet="0"/>
  </xdr:twoCellAnchor>
  <xdr:twoCellAnchor editAs="oneCell">
    <xdr:from>
      <xdr:col>12</xdr:col>
      <xdr:colOff>20051</xdr:colOff>
      <xdr:row>129</xdr:row>
      <xdr:rowOff>40105</xdr:rowOff>
    </xdr:from>
    <xdr:to>
      <xdr:col>12</xdr:col>
      <xdr:colOff>209697</xdr:colOff>
      <xdr:row>131</xdr:row>
      <xdr:rowOff>57937</xdr:rowOff>
    </xdr:to>
    <xdr:pic>
      <xdr:nvPicPr>
        <xdr:cNvPr id="18" name="Kuva 17">
          <a:extLst>
            <a:ext uri="{FF2B5EF4-FFF2-40B4-BE49-F238E27FC236}">
              <a16:creationId xmlns:a16="http://schemas.microsoft.com/office/drawing/2014/main" id="{BB799B61-112F-4AED-9D28-1487FEAD81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85683" y="21190618"/>
          <a:ext cx="178216" cy="328447"/>
        </a:xfrm>
        <a:prstGeom prst="rect">
          <a:avLst/>
        </a:prstGeom>
      </xdr:spPr>
    </xdr:pic>
    <xdr:clientData fPrintsWithSheet="0"/>
  </xdr:twoCellAnchor>
  <xdr:twoCellAnchor>
    <xdr:from>
      <xdr:col>8</xdr:col>
      <xdr:colOff>114300</xdr:colOff>
      <xdr:row>2</xdr:row>
      <xdr:rowOff>45720</xdr:rowOff>
    </xdr:from>
    <xdr:to>
      <xdr:col>13</xdr:col>
      <xdr:colOff>401955</xdr:colOff>
      <xdr:row>11</xdr:row>
      <xdr:rowOff>22859</xdr:rowOff>
    </xdr:to>
    <xdr:sp macro="" textlink="">
      <xdr:nvSpPr>
        <xdr:cNvPr id="13" name="Suorakulmio: Vastakkaiset kulmat pyöristetty 12">
          <a:extLst>
            <a:ext uri="{FF2B5EF4-FFF2-40B4-BE49-F238E27FC236}">
              <a16:creationId xmlns:a16="http://schemas.microsoft.com/office/drawing/2014/main" id="{81DAB87C-8FDF-473A-834A-872A7B1427AB}"/>
            </a:ext>
          </a:extLst>
        </xdr:cNvPr>
        <xdr:cNvSpPr/>
      </xdr:nvSpPr>
      <xdr:spPr>
        <a:xfrm>
          <a:off x="7696200" y="403860"/>
          <a:ext cx="2863215" cy="1424939"/>
        </a:xfrm>
        <a:prstGeom prst="round2DiagRect">
          <a:avLst/>
        </a:prstGeom>
        <a:solidFill>
          <a:srgbClr val="FFC0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1100" b="1">
              <a:solidFill>
                <a:schemeClr val="tx1"/>
              </a:solidFill>
              <a:latin typeface="Arial" panose="020B0604020202020204" pitchFamily="34" charset="0"/>
              <a:cs typeface="Arial" panose="020B0604020202020204" pitchFamily="34" charset="0"/>
            </a:rPr>
            <a:t>IFYLLNADSORDNING</a:t>
          </a:r>
          <a:r>
            <a:rPr lang="fi-FI" sz="1100" b="1" baseline="0">
              <a:solidFill>
                <a:schemeClr val="tx1"/>
              </a:solidFill>
              <a:latin typeface="Arial" panose="020B0604020202020204" pitchFamily="34" charset="0"/>
              <a:cs typeface="Arial" panose="020B0604020202020204" pitchFamily="34" charset="0"/>
            </a:rPr>
            <a:t> </a:t>
          </a:r>
          <a:endParaRPr lang="fi-FI" sz="1100" b="1">
            <a:solidFill>
              <a:schemeClr val="tx1"/>
            </a:solidFill>
            <a:latin typeface="Arial" panose="020B0604020202020204" pitchFamily="34" charset="0"/>
            <a:cs typeface="Arial" panose="020B0604020202020204" pitchFamily="34" charset="0"/>
          </a:endParaRPr>
        </a:p>
      </xdr:txBody>
    </xdr:sp>
    <xdr:clientData fPrintsWithSheet="0"/>
  </xdr:twoCellAnchor>
  <xdr:twoCellAnchor editAs="oneCell">
    <xdr:from>
      <xdr:col>9</xdr:col>
      <xdr:colOff>45720</xdr:colOff>
      <xdr:row>4</xdr:row>
      <xdr:rowOff>0</xdr:rowOff>
    </xdr:from>
    <xdr:to>
      <xdr:col>9</xdr:col>
      <xdr:colOff>293910</xdr:colOff>
      <xdr:row>5</xdr:row>
      <xdr:rowOff>92548</xdr:rowOff>
    </xdr:to>
    <xdr:pic>
      <xdr:nvPicPr>
        <xdr:cNvPr id="17" name="Kuva 16">
          <a:extLst>
            <a:ext uri="{FF2B5EF4-FFF2-40B4-BE49-F238E27FC236}">
              <a16:creationId xmlns:a16="http://schemas.microsoft.com/office/drawing/2014/main" id="{1A9D3F29-2DDB-45A1-AAB8-945B1148646E}"/>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02880" y="739140"/>
          <a:ext cx="248190" cy="244948"/>
        </a:xfrm>
        <a:prstGeom prst="rect">
          <a:avLst/>
        </a:prstGeom>
      </xdr:spPr>
    </xdr:pic>
    <xdr:clientData/>
  </xdr:twoCellAnchor>
  <xdr:twoCellAnchor editAs="oneCell">
    <xdr:from>
      <xdr:col>9</xdr:col>
      <xdr:colOff>53341</xdr:colOff>
      <xdr:row>5</xdr:row>
      <xdr:rowOff>114300</xdr:rowOff>
    </xdr:from>
    <xdr:to>
      <xdr:col>9</xdr:col>
      <xdr:colOff>297181</xdr:colOff>
      <xdr:row>7</xdr:row>
      <xdr:rowOff>54163</xdr:rowOff>
    </xdr:to>
    <xdr:pic>
      <xdr:nvPicPr>
        <xdr:cNvPr id="19" name="Kuva 18">
          <a:hlinkClick xmlns:r="http://schemas.openxmlformats.org/officeDocument/2006/relationships" r:id="rId1"/>
          <a:extLst>
            <a:ext uri="{FF2B5EF4-FFF2-40B4-BE49-F238E27FC236}">
              <a16:creationId xmlns:a16="http://schemas.microsoft.com/office/drawing/2014/main" id="{1E0732F4-01E6-49BF-A412-44636752471A}"/>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0501" y="1005840"/>
          <a:ext cx="243840" cy="244663"/>
        </a:xfrm>
        <a:prstGeom prst="rect">
          <a:avLst/>
        </a:prstGeom>
      </xdr:spPr>
    </xdr:pic>
    <xdr:clientData/>
  </xdr:twoCellAnchor>
  <xdr:twoCellAnchor>
    <xdr:from>
      <xdr:col>9</xdr:col>
      <xdr:colOff>281941</xdr:colOff>
      <xdr:row>3</xdr:row>
      <xdr:rowOff>182880</xdr:rowOff>
    </xdr:from>
    <xdr:to>
      <xdr:col>13</xdr:col>
      <xdr:colOff>1</xdr:colOff>
      <xdr:row>5</xdr:row>
      <xdr:rowOff>85926</xdr:rowOff>
    </xdr:to>
    <xdr:sp macro="" textlink="">
      <xdr:nvSpPr>
        <xdr:cNvPr id="20" name="Tekstiruutu 19">
          <a:extLst>
            <a:ext uri="{FF2B5EF4-FFF2-40B4-BE49-F238E27FC236}">
              <a16:creationId xmlns:a16="http://schemas.microsoft.com/office/drawing/2014/main" id="{6C826598-5AAC-41B9-9B8B-DDFE2D7105A5}"/>
            </a:ext>
          </a:extLst>
        </xdr:cNvPr>
        <xdr:cNvSpPr txBox="1"/>
      </xdr:nvSpPr>
      <xdr:spPr>
        <a:xfrm>
          <a:off x="8039101" y="731520"/>
          <a:ext cx="2118360" cy="245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050" b="1">
              <a:solidFill>
                <a:schemeClr val="tx1"/>
              </a:solidFill>
            </a:rPr>
            <a:t>K1 KOSTNADER</a:t>
          </a:r>
          <a:r>
            <a:rPr lang="fi-FI" sz="1050" b="1" baseline="0">
              <a:solidFill>
                <a:schemeClr val="tx1"/>
              </a:solidFill>
            </a:rPr>
            <a:t>  </a:t>
          </a:r>
          <a:endParaRPr lang="fi-FI" sz="1050" b="1">
            <a:solidFill>
              <a:schemeClr val="tx1"/>
            </a:solidFill>
          </a:endParaRPr>
        </a:p>
      </xdr:txBody>
    </xdr:sp>
    <xdr:clientData fPrintsWithSheet="0"/>
  </xdr:twoCellAnchor>
  <xdr:twoCellAnchor>
    <xdr:from>
      <xdr:col>9</xdr:col>
      <xdr:colOff>281940</xdr:colOff>
      <xdr:row>5</xdr:row>
      <xdr:rowOff>99060</xdr:rowOff>
    </xdr:from>
    <xdr:to>
      <xdr:col>12</xdr:col>
      <xdr:colOff>1904</xdr:colOff>
      <xdr:row>7</xdr:row>
      <xdr:rowOff>32284</xdr:rowOff>
    </xdr:to>
    <xdr:sp macro="" textlink="">
      <xdr:nvSpPr>
        <xdr:cNvPr id="21" name="Tekstiruutu 20">
          <a:hlinkClick xmlns:r="http://schemas.openxmlformats.org/officeDocument/2006/relationships" r:id="rId1"/>
          <a:extLst>
            <a:ext uri="{FF2B5EF4-FFF2-40B4-BE49-F238E27FC236}">
              <a16:creationId xmlns:a16="http://schemas.microsoft.com/office/drawing/2014/main" id="{39ABE378-2FAE-4AE8-8941-C506E0A9D2A7}"/>
            </a:ext>
          </a:extLst>
        </xdr:cNvPr>
        <xdr:cNvSpPr txBox="1"/>
      </xdr:nvSpPr>
      <xdr:spPr>
        <a:xfrm>
          <a:off x="8039100" y="990600"/>
          <a:ext cx="1510664" cy="238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050" b="1">
              <a:solidFill>
                <a:schemeClr val="tx1"/>
              </a:solidFill>
            </a:rPr>
            <a:t>K2 FÖRSÄLJNING</a:t>
          </a:r>
        </a:p>
      </xdr:txBody>
    </xdr:sp>
    <xdr:clientData fPrintsWithSheet="0"/>
  </xdr:twoCellAnchor>
  <xdr:twoCellAnchor editAs="oneCell">
    <xdr:from>
      <xdr:col>9</xdr:col>
      <xdr:colOff>45720</xdr:colOff>
      <xdr:row>7</xdr:row>
      <xdr:rowOff>76200</xdr:rowOff>
    </xdr:from>
    <xdr:to>
      <xdr:col>9</xdr:col>
      <xdr:colOff>293910</xdr:colOff>
      <xdr:row>9</xdr:row>
      <xdr:rowOff>3540</xdr:rowOff>
    </xdr:to>
    <xdr:pic>
      <xdr:nvPicPr>
        <xdr:cNvPr id="22" name="Kuva 21">
          <a:hlinkClick xmlns:r="http://schemas.openxmlformats.org/officeDocument/2006/relationships" r:id="rId6"/>
          <a:extLst>
            <a:ext uri="{FF2B5EF4-FFF2-40B4-BE49-F238E27FC236}">
              <a16:creationId xmlns:a16="http://schemas.microsoft.com/office/drawing/2014/main" id="{CA8276A7-FAA6-427E-953A-90801AA46B1A}"/>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02880" y="1272540"/>
          <a:ext cx="248190" cy="247380"/>
        </a:xfrm>
        <a:prstGeom prst="rect">
          <a:avLst/>
        </a:prstGeom>
      </xdr:spPr>
    </xdr:pic>
    <xdr:clientData/>
  </xdr:twoCellAnchor>
  <xdr:twoCellAnchor>
    <xdr:from>
      <xdr:col>9</xdr:col>
      <xdr:colOff>281940</xdr:colOff>
      <xdr:row>7</xdr:row>
      <xdr:rowOff>60960</xdr:rowOff>
    </xdr:from>
    <xdr:to>
      <xdr:col>12</xdr:col>
      <xdr:colOff>424112</xdr:colOff>
      <xdr:row>8</xdr:row>
      <xdr:rowOff>150495</xdr:rowOff>
    </xdr:to>
    <xdr:sp macro="" textlink="">
      <xdr:nvSpPr>
        <xdr:cNvPr id="24" name="Tekstiruutu 23">
          <a:hlinkClick xmlns:r="http://schemas.openxmlformats.org/officeDocument/2006/relationships" r:id="rId6"/>
          <a:extLst>
            <a:ext uri="{FF2B5EF4-FFF2-40B4-BE49-F238E27FC236}">
              <a16:creationId xmlns:a16="http://schemas.microsoft.com/office/drawing/2014/main" id="{A8DEB1B5-840A-41A9-8DEF-510ADEB02E6C}"/>
            </a:ext>
          </a:extLst>
        </xdr:cNvPr>
        <xdr:cNvSpPr txBox="1"/>
      </xdr:nvSpPr>
      <xdr:spPr>
        <a:xfrm>
          <a:off x="8039100" y="1257300"/>
          <a:ext cx="1932872" cy="241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050" b="1">
              <a:solidFill>
                <a:schemeClr val="tx1"/>
              </a:solidFill>
            </a:rPr>
            <a:t>K3</a:t>
          </a:r>
          <a:r>
            <a:rPr lang="fi-FI" sz="1050" b="1" baseline="0">
              <a:solidFill>
                <a:schemeClr val="tx1"/>
              </a:solidFill>
            </a:rPr>
            <a:t> RESULTAT-FINANSIERING</a:t>
          </a:r>
          <a:endParaRPr lang="fi-FI" sz="1050" b="1">
            <a:solidFill>
              <a:schemeClr val="tx1"/>
            </a:solidFill>
          </a:endParaRPr>
        </a:p>
      </xdr:txBody>
    </xdr:sp>
    <xdr:clientData fPrintsWithSheet="0"/>
  </xdr:twoCellAnchor>
  <xdr:twoCellAnchor editAs="oneCell">
    <xdr:from>
      <xdr:col>9</xdr:col>
      <xdr:colOff>45720</xdr:colOff>
      <xdr:row>9</xdr:row>
      <xdr:rowOff>22860</xdr:rowOff>
    </xdr:from>
    <xdr:to>
      <xdr:col>9</xdr:col>
      <xdr:colOff>293910</xdr:colOff>
      <xdr:row>10</xdr:row>
      <xdr:rowOff>146323</xdr:rowOff>
    </xdr:to>
    <xdr:pic>
      <xdr:nvPicPr>
        <xdr:cNvPr id="25" name="Kuva 24">
          <a:hlinkClick xmlns:r="http://schemas.openxmlformats.org/officeDocument/2006/relationships" r:id="rId8"/>
          <a:extLst>
            <a:ext uri="{FF2B5EF4-FFF2-40B4-BE49-F238E27FC236}">
              <a16:creationId xmlns:a16="http://schemas.microsoft.com/office/drawing/2014/main" id="{C851038D-A4A1-4270-8C7F-F12ED19E409D}"/>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02880" y="1539240"/>
          <a:ext cx="248190" cy="245383"/>
        </a:xfrm>
        <a:prstGeom prst="rect">
          <a:avLst/>
        </a:prstGeom>
      </xdr:spPr>
    </xdr:pic>
    <xdr:clientData/>
  </xdr:twoCellAnchor>
  <xdr:twoCellAnchor>
    <xdr:from>
      <xdr:col>9</xdr:col>
      <xdr:colOff>281940</xdr:colOff>
      <xdr:row>9</xdr:row>
      <xdr:rowOff>15240</xdr:rowOff>
    </xdr:from>
    <xdr:to>
      <xdr:col>11</xdr:col>
      <xdr:colOff>527684</xdr:colOff>
      <xdr:row>10</xdr:row>
      <xdr:rowOff>122923</xdr:rowOff>
    </xdr:to>
    <xdr:sp macro="" textlink="">
      <xdr:nvSpPr>
        <xdr:cNvPr id="26" name="Tekstiruutu 25">
          <a:hlinkClick xmlns:r="http://schemas.openxmlformats.org/officeDocument/2006/relationships" r:id="rId8"/>
          <a:extLst>
            <a:ext uri="{FF2B5EF4-FFF2-40B4-BE49-F238E27FC236}">
              <a16:creationId xmlns:a16="http://schemas.microsoft.com/office/drawing/2014/main" id="{9E5B1EE3-5C63-4814-A890-AB9BC6820C1B}"/>
            </a:ext>
          </a:extLst>
        </xdr:cNvPr>
        <xdr:cNvSpPr txBox="1"/>
      </xdr:nvSpPr>
      <xdr:spPr>
        <a:xfrm>
          <a:off x="8039100" y="1531620"/>
          <a:ext cx="1495424" cy="2296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050" b="1">
              <a:solidFill>
                <a:schemeClr val="tx1"/>
              </a:solidFill>
            </a:rPr>
            <a:t>KASSABUDGET</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10</xdr:col>
      <xdr:colOff>9526</xdr:colOff>
      <xdr:row>3</xdr:row>
      <xdr:rowOff>28575</xdr:rowOff>
    </xdr:from>
    <xdr:to>
      <xdr:col>13</xdr:col>
      <xdr:colOff>220265</xdr:colOff>
      <xdr:row>5</xdr:row>
      <xdr:rowOff>7575</xdr:rowOff>
    </xdr:to>
    <xdr:sp macro="" textlink="">
      <xdr:nvSpPr>
        <xdr:cNvPr id="15" name="Tekstiruutu 14">
          <a:hlinkClick xmlns:r="http://schemas.openxmlformats.org/officeDocument/2006/relationships" r:id="rId1"/>
          <a:extLst>
            <a:ext uri="{FF2B5EF4-FFF2-40B4-BE49-F238E27FC236}">
              <a16:creationId xmlns:a16="http://schemas.microsoft.com/office/drawing/2014/main" id="{00000000-0008-0000-0200-00000F000000}"/>
            </a:ext>
          </a:extLst>
        </xdr:cNvPr>
        <xdr:cNvSpPr txBox="1"/>
      </xdr:nvSpPr>
      <xdr:spPr>
        <a:xfrm>
          <a:off x="7626550" y="570309"/>
          <a:ext cx="2237778" cy="360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solidFill>
                <a:schemeClr val="bg1"/>
              </a:solidFill>
            </a:rPr>
            <a:t>K1 VERKSAMHETSKOSTNADER</a:t>
          </a:r>
        </a:p>
      </xdr:txBody>
    </xdr:sp>
    <xdr:clientData fPrintsWithSheet="0"/>
  </xdr:twoCellAnchor>
  <xdr:twoCellAnchor>
    <xdr:from>
      <xdr:col>5</xdr:col>
      <xdr:colOff>803413</xdr:colOff>
      <xdr:row>205</xdr:row>
      <xdr:rowOff>47624</xdr:rowOff>
    </xdr:from>
    <xdr:to>
      <xdr:col>10</xdr:col>
      <xdr:colOff>552450</xdr:colOff>
      <xdr:row>207</xdr:row>
      <xdr:rowOff>66824</xdr:rowOff>
    </xdr:to>
    <xdr:sp macro="" textlink="">
      <xdr:nvSpPr>
        <xdr:cNvPr id="17" name="Tekstiruutu 16">
          <a:hlinkClick xmlns:r="http://schemas.openxmlformats.org/officeDocument/2006/relationships" r:id="rId1"/>
          <a:extLst>
            <a:ext uri="{FF2B5EF4-FFF2-40B4-BE49-F238E27FC236}">
              <a16:creationId xmlns:a16="http://schemas.microsoft.com/office/drawing/2014/main" id="{00000000-0008-0000-0200-000011000000}"/>
            </a:ext>
          </a:extLst>
        </xdr:cNvPr>
        <xdr:cNvSpPr txBox="1"/>
      </xdr:nvSpPr>
      <xdr:spPr>
        <a:xfrm>
          <a:off x="6093870" y="29172353"/>
          <a:ext cx="2247309" cy="324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solidFill>
                <a:schemeClr val="bg1"/>
              </a:solidFill>
            </a:rPr>
            <a:t>K1 VERKSAMHETSKOSTNADER</a:t>
          </a:r>
        </a:p>
      </xdr:txBody>
    </xdr:sp>
    <xdr:clientData fPrintsWithSheet="0"/>
  </xdr:twoCellAnchor>
  <xdr:twoCellAnchor>
    <xdr:from>
      <xdr:col>10</xdr:col>
      <xdr:colOff>8931</xdr:colOff>
      <xdr:row>6</xdr:row>
      <xdr:rowOff>52982</xdr:rowOff>
    </xdr:from>
    <xdr:to>
      <xdr:col>11</xdr:col>
      <xdr:colOff>574478</xdr:colOff>
      <xdr:row>8</xdr:row>
      <xdr:rowOff>109967</xdr:rowOff>
    </xdr:to>
    <xdr:sp macro="" textlink="">
      <xdr:nvSpPr>
        <xdr:cNvPr id="19" name="Tekstiruutu 18">
          <a:hlinkClick xmlns:r="http://schemas.openxmlformats.org/officeDocument/2006/relationships" r:id="rId2"/>
          <a:extLst>
            <a:ext uri="{FF2B5EF4-FFF2-40B4-BE49-F238E27FC236}">
              <a16:creationId xmlns:a16="http://schemas.microsoft.com/office/drawing/2014/main" id="{00000000-0008-0000-0200-000013000000}"/>
            </a:ext>
          </a:extLst>
        </xdr:cNvPr>
        <xdr:cNvSpPr txBox="1"/>
      </xdr:nvSpPr>
      <xdr:spPr>
        <a:xfrm>
          <a:off x="7625955" y="1127521"/>
          <a:ext cx="1241226" cy="360595"/>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K3 RESULTAT</a:t>
          </a:r>
        </a:p>
      </xdr:txBody>
    </xdr:sp>
    <xdr:clientData fPrintsWithSheet="0"/>
  </xdr:twoCellAnchor>
  <xdr:twoCellAnchor>
    <xdr:from>
      <xdr:col>5</xdr:col>
      <xdr:colOff>807556</xdr:colOff>
      <xdr:row>208</xdr:row>
      <xdr:rowOff>146602</xdr:rowOff>
    </xdr:from>
    <xdr:to>
      <xdr:col>10</xdr:col>
      <xdr:colOff>533399</xdr:colOff>
      <xdr:row>210</xdr:row>
      <xdr:rowOff>142875</xdr:rowOff>
    </xdr:to>
    <xdr:sp macro="" textlink="">
      <xdr:nvSpPr>
        <xdr:cNvPr id="22" name="Tekstiruutu 21">
          <a:hlinkClick xmlns:r="http://schemas.openxmlformats.org/officeDocument/2006/relationships" r:id="rId2"/>
          <a:extLst>
            <a:ext uri="{FF2B5EF4-FFF2-40B4-BE49-F238E27FC236}">
              <a16:creationId xmlns:a16="http://schemas.microsoft.com/office/drawing/2014/main" id="{00000000-0008-0000-0200-000016000000}"/>
            </a:ext>
          </a:extLst>
        </xdr:cNvPr>
        <xdr:cNvSpPr txBox="1"/>
      </xdr:nvSpPr>
      <xdr:spPr>
        <a:xfrm>
          <a:off x="5712931" y="30093202"/>
          <a:ext cx="2088043" cy="310598"/>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i-FI" sz="1100" b="1">
              <a:solidFill>
                <a:schemeClr val="bg1"/>
              </a:solidFill>
            </a:rPr>
            <a:t>K3 RESULTAT-</a:t>
          </a:r>
          <a:r>
            <a:rPr lang="fi-FI" sz="1100" b="1" baseline="0">
              <a:solidFill>
                <a:schemeClr val="bg1"/>
              </a:solidFill>
            </a:rPr>
            <a:t>FINANSIERING</a:t>
          </a:r>
          <a:endParaRPr lang="fi-FI" sz="1100" b="1">
            <a:solidFill>
              <a:schemeClr val="bg1"/>
            </a:solidFill>
          </a:endParaRPr>
        </a:p>
      </xdr:txBody>
    </xdr:sp>
    <xdr:clientData fPrintsWithSheet="0"/>
  </xdr:twoCellAnchor>
  <xdr:twoCellAnchor editAs="oneCell">
    <xdr:from>
      <xdr:col>6</xdr:col>
      <xdr:colOff>305270</xdr:colOff>
      <xdr:row>4</xdr:row>
      <xdr:rowOff>114300</xdr:rowOff>
    </xdr:from>
    <xdr:to>
      <xdr:col>8</xdr:col>
      <xdr:colOff>444683</xdr:colOff>
      <xdr:row>7</xdr:row>
      <xdr:rowOff>37603</xdr:rowOff>
    </xdr:to>
    <xdr:pic>
      <xdr:nvPicPr>
        <xdr:cNvPr id="13" name="Kuva 12">
          <a:extLst>
            <a:ext uri="{FF2B5EF4-FFF2-40B4-BE49-F238E27FC236}">
              <a16:creationId xmlns:a16="http://schemas.microsoft.com/office/drawing/2014/main" id="{F23C9894-2A5B-42B3-8A75-23F2C71C93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34595" y="847725"/>
          <a:ext cx="1093818" cy="376965"/>
        </a:xfrm>
        <a:prstGeom prst="rect">
          <a:avLst/>
        </a:prstGeom>
      </xdr:spPr>
    </xdr:pic>
    <xdr:clientData/>
  </xdr:twoCellAnchor>
  <xdr:twoCellAnchor editAs="oneCell">
    <xdr:from>
      <xdr:col>6</xdr:col>
      <xdr:colOff>319087</xdr:colOff>
      <xdr:row>70</xdr:row>
      <xdr:rowOff>52387</xdr:rowOff>
    </xdr:from>
    <xdr:to>
      <xdr:col>9</xdr:col>
      <xdr:colOff>3205</xdr:colOff>
      <xdr:row>72</xdr:row>
      <xdr:rowOff>126456</xdr:rowOff>
    </xdr:to>
    <xdr:pic>
      <xdr:nvPicPr>
        <xdr:cNvPr id="14" name="Kuva 13">
          <a:extLst>
            <a:ext uri="{FF2B5EF4-FFF2-40B4-BE49-F238E27FC236}">
              <a16:creationId xmlns:a16="http://schemas.microsoft.com/office/drawing/2014/main" id="{1C9D3686-6C66-4116-8B62-C7A6102268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48412" y="10348912"/>
          <a:ext cx="1093818" cy="376965"/>
        </a:xfrm>
        <a:prstGeom prst="rect">
          <a:avLst/>
        </a:prstGeom>
      </xdr:spPr>
    </xdr:pic>
    <xdr:clientData/>
  </xdr:twoCellAnchor>
  <xdr:twoCellAnchor editAs="oneCell">
    <xdr:from>
      <xdr:col>6</xdr:col>
      <xdr:colOff>309563</xdr:colOff>
      <xdr:row>140</xdr:row>
      <xdr:rowOff>66675</xdr:rowOff>
    </xdr:from>
    <xdr:to>
      <xdr:col>9</xdr:col>
      <xdr:colOff>1301</xdr:colOff>
      <xdr:row>142</xdr:row>
      <xdr:rowOff>135032</xdr:rowOff>
    </xdr:to>
    <xdr:pic>
      <xdr:nvPicPr>
        <xdr:cNvPr id="16" name="Kuva 15">
          <a:extLst>
            <a:ext uri="{FF2B5EF4-FFF2-40B4-BE49-F238E27FC236}">
              <a16:creationId xmlns:a16="http://schemas.microsoft.com/office/drawing/2014/main" id="{4A8E447B-4B8F-4C78-AFF2-6EE9AAB4A42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38888" y="20278725"/>
          <a:ext cx="1093818" cy="376965"/>
        </a:xfrm>
        <a:prstGeom prst="rect">
          <a:avLst/>
        </a:prstGeom>
      </xdr:spPr>
    </xdr:pic>
    <xdr:clientData/>
  </xdr:twoCellAnchor>
  <xdr:twoCellAnchor editAs="oneCell">
    <xdr:from>
      <xdr:col>11</xdr:col>
      <xdr:colOff>324446</xdr:colOff>
      <xdr:row>6</xdr:row>
      <xdr:rowOff>65485</xdr:rowOff>
    </xdr:from>
    <xdr:to>
      <xdr:col>11</xdr:col>
      <xdr:colOff>504567</xdr:colOff>
      <xdr:row>8</xdr:row>
      <xdr:rowOff>94132</xdr:rowOff>
    </xdr:to>
    <xdr:pic>
      <xdr:nvPicPr>
        <xdr:cNvPr id="18" name="Kuva 17">
          <a:extLst>
            <a:ext uri="{FF2B5EF4-FFF2-40B4-BE49-F238E27FC236}">
              <a16:creationId xmlns:a16="http://schemas.microsoft.com/office/drawing/2014/main" id="{3A074BF4-869C-48A4-91E6-74BB5A2252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617149" y="1140024"/>
          <a:ext cx="178216" cy="328447"/>
        </a:xfrm>
        <a:prstGeom prst="rect">
          <a:avLst/>
        </a:prstGeom>
      </xdr:spPr>
    </xdr:pic>
    <xdr:clientData fPrintsWithSheet="0"/>
  </xdr:twoCellAnchor>
  <xdr:twoCellAnchor editAs="oneCell">
    <xdr:from>
      <xdr:col>10</xdr:col>
      <xdr:colOff>83347</xdr:colOff>
      <xdr:row>3</xdr:row>
      <xdr:rowOff>41625</xdr:rowOff>
    </xdr:from>
    <xdr:to>
      <xdr:col>10</xdr:col>
      <xdr:colOff>260034</xdr:colOff>
      <xdr:row>5</xdr:row>
      <xdr:rowOff>4871</xdr:rowOff>
    </xdr:to>
    <xdr:pic>
      <xdr:nvPicPr>
        <xdr:cNvPr id="3" name="Kuva 2">
          <a:extLst>
            <a:ext uri="{FF2B5EF4-FFF2-40B4-BE49-F238E27FC236}">
              <a16:creationId xmlns:a16="http://schemas.microsoft.com/office/drawing/2014/main" id="{87EB2978-BF93-4706-AA66-9C77D78140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00371" y="583359"/>
          <a:ext cx="178592" cy="328543"/>
        </a:xfrm>
        <a:prstGeom prst="rect">
          <a:avLst/>
        </a:prstGeom>
      </xdr:spPr>
    </xdr:pic>
    <xdr:clientData fPrintsWithSheet="0"/>
  </xdr:twoCellAnchor>
  <xdr:twoCellAnchor editAs="oneCell">
    <xdr:from>
      <xdr:col>10</xdr:col>
      <xdr:colOff>320343</xdr:colOff>
      <xdr:row>208</xdr:row>
      <xdr:rowOff>133350</xdr:rowOff>
    </xdr:from>
    <xdr:to>
      <xdr:col>10</xdr:col>
      <xdr:colOff>485374</xdr:colOff>
      <xdr:row>210</xdr:row>
      <xdr:rowOff>123826</xdr:rowOff>
    </xdr:to>
    <xdr:pic>
      <xdr:nvPicPr>
        <xdr:cNvPr id="5" name="Kuva 4">
          <a:extLst>
            <a:ext uri="{FF2B5EF4-FFF2-40B4-BE49-F238E27FC236}">
              <a16:creationId xmlns:a16="http://schemas.microsoft.com/office/drawing/2014/main" id="{5178AC07-CC6C-49C6-ABBB-6AA01603719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2243" y="30375225"/>
          <a:ext cx="165031" cy="304800"/>
        </a:xfrm>
        <a:prstGeom prst="rect">
          <a:avLst/>
        </a:prstGeom>
      </xdr:spPr>
    </xdr:pic>
    <xdr:clientData fPrintsWithSheet="0"/>
  </xdr:twoCellAnchor>
  <xdr:twoCellAnchor editAs="oneCell">
    <xdr:from>
      <xdr:col>5</xdr:col>
      <xdr:colOff>819151</xdr:colOff>
      <xdr:row>205</xdr:row>
      <xdr:rowOff>67677</xdr:rowOff>
    </xdr:from>
    <xdr:to>
      <xdr:col>6</xdr:col>
      <xdr:colOff>95250</xdr:colOff>
      <xdr:row>207</xdr:row>
      <xdr:rowOff>15654</xdr:rowOff>
    </xdr:to>
    <xdr:pic>
      <xdr:nvPicPr>
        <xdr:cNvPr id="9" name="Kuva 8">
          <a:extLst>
            <a:ext uri="{FF2B5EF4-FFF2-40B4-BE49-F238E27FC236}">
              <a16:creationId xmlns:a16="http://schemas.microsoft.com/office/drawing/2014/main" id="{639A5EDA-2814-4DD9-9801-075E5511F8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38851" y="29852352"/>
          <a:ext cx="161924" cy="252777"/>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152400</xdr:colOff>
      <xdr:row>97</xdr:row>
      <xdr:rowOff>45720</xdr:rowOff>
    </xdr:from>
    <xdr:to>
      <xdr:col>11</xdr:col>
      <xdr:colOff>152400</xdr:colOff>
      <xdr:row>113</xdr:row>
      <xdr:rowOff>106680</xdr:rowOff>
    </xdr:to>
    <xdr:graphicFrame macro="">
      <xdr:nvGraphicFramePr>
        <xdr:cNvPr id="22" name="Kaavio 21">
          <a:extLst>
            <a:ext uri="{FF2B5EF4-FFF2-40B4-BE49-F238E27FC236}">
              <a16:creationId xmlns:a16="http://schemas.microsoft.com/office/drawing/2014/main" id="{19267A94-3A45-4E93-9EF0-1699745FB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2097</xdr:colOff>
      <xdr:row>2</xdr:row>
      <xdr:rowOff>184159</xdr:rowOff>
    </xdr:from>
    <xdr:to>
      <xdr:col>16</xdr:col>
      <xdr:colOff>200025</xdr:colOff>
      <xdr:row>5</xdr:row>
      <xdr:rowOff>11354</xdr:rowOff>
    </xdr:to>
    <xdr:sp macro="" textlink="">
      <xdr:nvSpPr>
        <xdr:cNvPr id="19" name="Tekstiruutu 18">
          <a:hlinkClick xmlns:r="http://schemas.openxmlformats.org/officeDocument/2006/relationships" r:id="rId2"/>
          <a:extLst>
            <a:ext uri="{FF2B5EF4-FFF2-40B4-BE49-F238E27FC236}">
              <a16:creationId xmlns:a16="http://schemas.microsoft.com/office/drawing/2014/main" id="{00000000-0008-0000-0400-000013000000}"/>
            </a:ext>
          </a:extLst>
        </xdr:cNvPr>
        <xdr:cNvSpPr txBox="1"/>
      </xdr:nvSpPr>
      <xdr:spPr>
        <a:xfrm>
          <a:off x="7183947" y="536584"/>
          <a:ext cx="2141028" cy="360595"/>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solidFill>
                <a:schemeClr val="bg1"/>
              </a:solidFill>
            </a:rPr>
            <a:t>K1 VERKSAMHETSKOSTNADER</a:t>
          </a:r>
        </a:p>
      </xdr:txBody>
    </xdr:sp>
    <xdr:clientData fPrintsWithSheet="0"/>
  </xdr:twoCellAnchor>
  <xdr:twoCellAnchor>
    <xdr:from>
      <xdr:col>13</xdr:col>
      <xdr:colOff>1</xdr:colOff>
      <xdr:row>6</xdr:row>
      <xdr:rowOff>16565</xdr:rowOff>
    </xdr:from>
    <xdr:to>
      <xdr:col>16</xdr:col>
      <xdr:colOff>190500</xdr:colOff>
      <xdr:row>8</xdr:row>
      <xdr:rowOff>72956</xdr:rowOff>
    </xdr:to>
    <xdr:sp macro="" textlink="">
      <xdr:nvSpPr>
        <xdr:cNvPr id="20" name="Tekstiruutu 19">
          <a:hlinkClick xmlns:r="http://schemas.openxmlformats.org/officeDocument/2006/relationships" r:id="rId3"/>
          <a:extLst>
            <a:ext uri="{FF2B5EF4-FFF2-40B4-BE49-F238E27FC236}">
              <a16:creationId xmlns:a16="http://schemas.microsoft.com/office/drawing/2014/main" id="{00000000-0008-0000-0400-000014000000}"/>
            </a:ext>
          </a:extLst>
        </xdr:cNvPr>
        <xdr:cNvSpPr txBox="1"/>
      </xdr:nvSpPr>
      <xdr:spPr>
        <a:xfrm>
          <a:off x="7181851" y="1054790"/>
          <a:ext cx="2133599" cy="361191"/>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i-FI" sz="1100" b="1">
              <a:solidFill>
                <a:schemeClr val="bg1"/>
              </a:solidFill>
            </a:rPr>
            <a:t>K2 FÖRSÄLJNINGSPROGNOS</a:t>
          </a:r>
        </a:p>
      </xdr:txBody>
    </xdr:sp>
    <xdr:clientData fPrintsWithSheet="0"/>
  </xdr:twoCellAnchor>
  <xdr:twoCellAnchor>
    <xdr:from>
      <xdr:col>13</xdr:col>
      <xdr:colOff>0</xdr:colOff>
      <xdr:row>69</xdr:row>
      <xdr:rowOff>80367</xdr:rowOff>
    </xdr:from>
    <xdr:to>
      <xdr:col>14</xdr:col>
      <xdr:colOff>563880</xdr:colOff>
      <xdr:row>71</xdr:row>
      <xdr:rowOff>118898</xdr:rowOff>
    </xdr:to>
    <xdr:sp macro="" textlink="">
      <xdr:nvSpPr>
        <xdr:cNvPr id="21" name="Tekstiruutu 20">
          <a:hlinkClick xmlns:r="http://schemas.openxmlformats.org/officeDocument/2006/relationships" r:id="rId4"/>
          <a:extLst>
            <a:ext uri="{FF2B5EF4-FFF2-40B4-BE49-F238E27FC236}">
              <a16:creationId xmlns:a16="http://schemas.microsoft.com/office/drawing/2014/main" id="{00000000-0008-0000-0400-000015000000}"/>
            </a:ext>
          </a:extLst>
        </xdr:cNvPr>
        <xdr:cNvSpPr txBox="1"/>
      </xdr:nvSpPr>
      <xdr:spPr>
        <a:xfrm>
          <a:off x="7094220" y="11243667"/>
          <a:ext cx="1226820" cy="366191"/>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KASSABUDGET</a:t>
          </a:r>
          <a:r>
            <a:rPr lang="fi-FI" sz="1100" b="1" baseline="0">
              <a:solidFill>
                <a:schemeClr val="bg1"/>
              </a:solidFill>
            </a:rPr>
            <a:t> </a:t>
          </a:r>
        </a:p>
      </xdr:txBody>
    </xdr:sp>
    <xdr:clientData fPrintsWithSheet="0"/>
  </xdr:twoCellAnchor>
  <xdr:twoCellAnchor>
    <xdr:from>
      <xdr:col>12</xdr:col>
      <xdr:colOff>173830</xdr:colOff>
      <xdr:row>93</xdr:row>
      <xdr:rowOff>329494</xdr:rowOff>
    </xdr:from>
    <xdr:to>
      <xdr:col>15</xdr:col>
      <xdr:colOff>15240</xdr:colOff>
      <xdr:row>96</xdr:row>
      <xdr:rowOff>83820</xdr:rowOff>
    </xdr:to>
    <xdr:sp macro="" textlink="">
      <xdr:nvSpPr>
        <xdr:cNvPr id="30" name="Tekstiruutu 29">
          <a:hlinkClick xmlns:r="http://schemas.openxmlformats.org/officeDocument/2006/relationships" r:id="rId5"/>
          <a:extLst>
            <a:ext uri="{FF2B5EF4-FFF2-40B4-BE49-F238E27FC236}">
              <a16:creationId xmlns:a16="http://schemas.microsoft.com/office/drawing/2014/main" id="{00000000-0008-0000-0400-00001E000000}"/>
            </a:ext>
          </a:extLst>
        </xdr:cNvPr>
        <xdr:cNvSpPr txBox="1"/>
      </xdr:nvSpPr>
      <xdr:spPr>
        <a:xfrm>
          <a:off x="7092790" y="15249454"/>
          <a:ext cx="1342550" cy="48584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EKONOMISKA</a:t>
          </a:r>
          <a:br>
            <a:rPr lang="fi-FI" sz="1100" b="1">
              <a:solidFill>
                <a:schemeClr val="bg1"/>
              </a:solidFill>
            </a:rPr>
          </a:br>
          <a:r>
            <a:rPr lang="fi-FI" sz="1100" b="1">
              <a:solidFill>
                <a:schemeClr val="bg1"/>
              </a:solidFill>
            </a:rPr>
            <a:t>PARAMETRAR</a:t>
          </a:r>
        </a:p>
      </xdr:txBody>
    </xdr:sp>
    <xdr:clientData fPrintsWithSheet="0"/>
  </xdr:twoCellAnchor>
  <xdr:twoCellAnchor editAs="oneCell">
    <xdr:from>
      <xdr:col>10</xdr:col>
      <xdr:colOff>52388</xdr:colOff>
      <xdr:row>3</xdr:row>
      <xdr:rowOff>66676</xdr:rowOff>
    </xdr:from>
    <xdr:to>
      <xdr:col>11</xdr:col>
      <xdr:colOff>340861</xdr:colOff>
      <xdr:row>5</xdr:row>
      <xdr:rowOff>97611</xdr:rowOff>
    </xdr:to>
    <xdr:pic>
      <xdr:nvPicPr>
        <xdr:cNvPr id="14" name="Kuva 13">
          <a:extLst>
            <a:ext uri="{FF2B5EF4-FFF2-40B4-BE49-F238E27FC236}">
              <a16:creationId xmlns:a16="http://schemas.microsoft.com/office/drawing/2014/main" id="{EE5424D5-74F7-44EE-9213-90459B31FC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134101" y="609601"/>
          <a:ext cx="1080000" cy="372203"/>
        </a:xfrm>
        <a:prstGeom prst="rect">
          <a:avLst/>
        </a:prstGeom>
      </xdr:spPr>
    </xdr:pic>
    <xdr:clientData/>
  </xdr:twoCellAnchor>
  <xdr:twoCellAnchor editAs="oneCell">
    <xdr:from>
      <xdr:col>10</xdr:col>
      <xdr:colOff>9526</xdr:colOff>
      <xdr:row>73</xdr:row>
      <xdr:rowOff>4763</xdr:rowOff>
    </xdr:from>
    <xdr:to>
      <xdr:col>11</xdr:col>
      <xdr:colOff>320854</xdr:colOff>
      <xdr:row>75</xdr:row>
      <xdr:rowOff>16916</xdr:rowOff>
    </xdr:to>
    <xdr:pic>
      <xdr:nvPicPr>
        <xdr:cNvPr id="16" name="Kuva 15">
          <a:extLst>
            <a:ext uri="{FF2B5EF4-FFF2-40B4-BE49-F238E27FC236}">
              <a16:creationId xmlns:a16="http://schemas.microsoft.com/office/drawing/2014/main" id="{D98C99A4-823F-4012-B86A-75E16AFCCA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91239" y="11563351"/>
          <a:ext cx="1080000" cy="372203"/>
        </a:xfrm>
        <a:prstGeom prst="rect">
          <a:avLst/>
        </a:prstGeom>
      </xdr:spPr>
    </xdr:pic>
    <xdr:clientData/>
  </xdr:twoCellAnchor>
  <xdr:twoCellAnchor editAs="oneCell">
    <xdr:from>
      <xdr:col>13</xdr:col>
      <xdr:colOff>29172</xdr:colOff>
      <xdr:row>3</xdr:row>
      <xdr:rowOff>8842</xdr:rowOff>
    </xdr:from>
    <xdr:to>
      <xdr:col>13</xdr:col>
      <xdr:colOff>207645</xdr:colOff>
      <xdr:row>5</xdr:row>
      <xdr:rowOff>1841</xdr:rowOff>
    </xdr:to>
    <xdr:pic>
      <xdr:nvPicPr>
        <xdr:cNvPr id="3" name="Kuva 2">
          <a:extLst>
            <a:ext uri="{FF2B5EF4-FFF2-40B4-BE49-F238E27FC236}">
              <a16:creationId xmlns:a16="http://schemas.microsoft.com/office/drawing/2014/main" id="{D1AA3C50-A7FE-4748-A61C-85E6272DC4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30060" y="556530"/>
          <a:ext cx="189903" cy="335899"/>
        </a:xfrm>
        <a:prstGeom prst="rect">
          <a:avLst/>
        </a:prstGeom>
      </xdr:spPr>
    </xdr:pic>
    <xdr:clientData/>
  </xdr:twoCellAnchor>
  <xdr:twoCellAnchor editAs="oneCell">
    <xdr:from>
      <xdr:col>13</xdr:col>
      <xdr:colOff>32742</xdr:colOff>
      <xdr:row>6</xdr:row>
      <xdr:rowOff>22859</xdr:rowOff>
    </xdr:from>
    <xdr:to>
      <xdr:col>13</xdr:col>
      <xdr:colOff>207758</xdr:colOff>
      <xdr:row>8</xdr:row>
      <xdr:rowOff>55430</xdr:rowOff>
    </xdr:to>
    <xdr:pic>
      <xdr:nvPicPr>
        <xdr:cNvPr id="6" name="Kuva 5">
          <a:extLst>
            <a:ext uri="{FF2B5EF4-FFF2-40B4-BE49-F238E27FC236}">
              <a16:creationId xmlns:a16="http://schemas.microsoft.com/office/drawing/2014/main" id="{75076789-4CE7-44FF-86BA-3E5A95DF97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26962" y="1066799"/>
          <a:ext cx="182636" cy="337371"/>
        </a:xfrm>
        <a:prstGeom prst="rect">
          <a:avLst/>
        </a:prstGeom>
      </xdr:spPr>
    </xdr:pic>
    <xdr:clientData/>
  </xdr:twoCellAnchor>
  <xdr:twoCellAnchor editAs="oneCell">
    <xdr:from>
      <xdr:col>14</xdr:col>
      <xdr:colOff>361832</xdr:colOff>
      <xdr:row>69</xdr:row>
      <xdr:rowOff>90011</xdr:rowOff>
    </xdr:from>
    <xdr:to>
      <xdr:col>14</xdr:col>
      <xdr:colOff>530695</xdr:colOff>
      <xdr:row>71</xdr:row>
      <xdr:rowOff>96045</xdr:rowOff>
    </xdr:to>
    <xdr:pic>
      <xdr:nvPicPr>
        <xdr:cNvPr id="8" name="Kuva 7">
          <a:extLst>
            <a:ext uri="{FF2B5EF4-FFF2-40B4-BE49-F238E27FC236}">
              <a16:creationId xmlns:a16="http://schemas.microsoft.com/office/drawing/2014/main" id="{ABF9BA03-E814-485F-B253-B8047990B62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118992" y="11253311"/>
          <a:ext cx="168863" cy="318454"/>
        </a:xfrm>
        <a:prstGeom prst="rect">
          <a:avLst/>
        </a:prstGeom>
      </xdr:spPr>
    </xdr:pic>
    <xdr:clientData fPrintsWithSheet="0"/>
  </xdr:twoCellAnchor>
  <xdr:twoCellAnchor editAs="oneCell">
    <xdr:from>
      <xdr:col>14</xdr:col>
      <xdr:colOff>395169</xdr:colOff>
      <xdr:row>93</xdr:row>
      <xdr:rowOff>376714</xdr:rowOff>
    </xdr:from>
    <xdr:to>
      <xdr:col>14</xdr:col>
      <xdr:colOff>605813</xdr:colOff>
      <xdr:row>96</xdr:row>
      <xdr:rowOff>18341</xdr:rowOff>
    </xdr:to>
    <xdr:pic>
      <xdr:nvPicPr>
        <xdr:cNvPr id="10" name="Kuva 9">
          <a:extLst>
            <a:ext uri="{FF2B5EF4-FFF2-40B4-BE49-F238E27FC236}">
              <a16:creationId xmlns:a16="http://schemas.microsoft.com/office/drawing/2014/main" id="{74C3E0E0-6FB7-4642-9668-8B3E8395F5D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52329" y="15296674"/>
          <a:ext cx="210644" cy="388387"/>
        </a:xfrm>
        <a:prstGeom prst="rect">
          <a:avLst/>
        </a:prstGeom>
      </xdr:spPr>
    </xdr:pic>
    <xdr:clientData fPrintsWithSheet="0"/>
  </xdr:twoCellAnchor>
  <xdr:twoCellAnchor>
    <xdr:from>
      <xdr:col>2</xdr:col>
      <xdr:colOff>388620</xdr:colOff>
      <xdr:row>97</xdr:row>
      <xdr:rowOff>91440</xdr:rowOff>
    </xdr:from>
    <xdr:to>
      <xdr:col>4</xdr:col>
      <xdr:colOff>365760</xdr:colOff>
      <xdr:row>110</xdr:row>
      <xdr:rowOff>121920</xdr:rowOff>
    </xdr:to>
    <xdr:sp macro="" textlink="">
      <xdr:nvSpPr>
        <xdr:cNvPr id="18" name="Tekstiruutu 1">
          <a:extLst>
            <a:ext uri="{FF2B5EF4-FFF2-40B4-BE49-F238E27FC236}">
              <a16:creationId xmlns:a16="http://schemas.microsoft.com/office/drawing/2014/main" id="{B1D1D6A7-382E-4C07-AC96-01F3F1453EBD}"/>
            </a:ext>
          </a:extLst>
        </xdr:cNvPr>
        <xdr:cNvSpPr txBox="1"/>
      </xdr:nvSpPr>
      <xdr:spPr>
        <a:xfrm>
          <a:off x="960120" y="15910560"/>
          <a:ext cx="2301240" cy="2209800"/>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  branschen</a:t>
          </a:r>
          <a:endParaRPr lang="fi-FI">
            <a:effectLst/>
          </a:endParaRPr>
        </a:p>
      </xdr:txBody>
    </xdr:sp>
    <xdr:clientData/>
  </xdr:twoCellAnchor>
  <xdr:twoCellAnchor>
    <xdr:from>
      <xdr:col>1</xdr:col>
      <xdr:colOff>144780</xdr:colOff>
      <xdr:row>113</xdr:row>
      <xdr:rowOff>152400</xdr:rowOff>
    </xdr:from>
    <xdr:to>
      <xdr:col>11</xdr:col>
      <xdr:colOff>152400</xdr:colOff>
      <xdr:row>128</xdr:row>
      <xdr:rowOff>152400</xdr:rowOff>
    </xdr:to>
    <xdr:graphicFrame macro="">
      <xdr:nvGraphicFramePr>
        <xdr:cNvPr id="17" name="Kaavio 16">
          <a:extLst>
            <a:ext uri="{FF2B5EF4-FFF2-40B4-BE49-F238E27FC236}">
              <a16:creationId xmlns:a16="http://schemas.microsoft.com/office/drawing/2014/main" id="{76C1D2BD-3113-469A-8D2F-B5C74CE86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396240</xdr:colOff>
      <xdr:row>114</xdr:row>
      <xdr:rowOff>38101</xdr:rowOff>
    </xdr:from>
    <xdr:to>
      <xdr:col>4</xdr:col>
      <xdr:colOff>365760</xdr:colOff>
      <xdr:row>127</xdr:row>
      <xdr:rowOff>15240</xdr:rowOff>
    </xdr:to>
    <xdr:sp macro="" textlink="">
      <xdr:nvSpPr>
        <xdr:cNvPr id="25" name="Tekstiruutu 1">
          <a:extLst>
            <a:ext uri="{FF2B5EF4-FFF2-40B4-BE49-F238E27FC236}">
              <a16:creationId xmlns:a16="http://schemas.microsoft.com/office/drawing/2014/main" id="{DE767421-D1AF-4280-ABA2-BE1F4A779647}"/>
            </a:ext>
          </a:extLst>
        </xdr:cNvPr>
        <xdr:cNvSpPr txBox="1"/>
      </xdr:nvSpPr>
      <xdr:spPr>
        <a:xfrm>
          <a:off x="967740" y="18707101"/>
          <a:ext cx="2293620" cy="2156459"/>
        </a:xfrm>
        <a:prstGeom prst="rect">
          <a:avLst/>
        </a:prstGeom>
        <a:solidFill>
          <a:srgbClr val="FFCC00">
            <a:alpha val="40000"/>
          </a:srgbClr>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100" b="1">
              <a:effectLst/>
              <a:latin typeface="+mn-lt"/>
              <a:ea typeface="+mn-ea"/>
              <a:cs typeface="+mn-cs"/>
            </a:rPr>
            <a:t>Realiserad</a:t>
          </a:r>
          <a:r>
            <a:rPr lang="fi-FI" sz="1100" b="1" baseline="0">
              <a:effectLst/>
              <a:latin typeface="+mn-lt"/>
              <a:ea typeface="+mn-ea"/>
              <a:cs typeface="+mn-cs"/>
            </a:rPr>
            <a:t> medianvärde i branschen</a:t>
          </a:r>
          <a:endParaRPr lang="fi-FI">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97448</xdr:colOff>
      <xdr:row>38</xdr:row>
      <xdr:rowOff>113567</xdr:rowOff>
    </xdr:from>
    <xdr:to>
      <xdr:col>11</xdr:col>
      <xdr:colOff>190500</xdr:colOff>
      <xdr:row>49</xdr:row>
      <xdr:rowOff>16328</xdr:rowOff>
    </xdr:to>
    <xdr:sp macro="" textlink="">
      <xdr:nvSpPr>
        <xdr:cNvPr id="15" name="Tekstiruutu 14">
          <a:extLst>
            <a:ext uri="{FF2B5EF4-FFF2-40B4-BE49-F238E27FC236}">
              <a16:creationId xmlns:a16="http://schemas.microsoft.com/office/drawing/2014/main" id="{00000000-0008-0000-0500-00000F000000}"/>
            </a:ext>
          </a:extLst>
        </xdr:cNvPr>
        <xdr:cNvSpPr txBox="1"/>
      </xdr:nvSpPr>
      <xdr:spPr>
        <a:xfrm>
          <a:off x="7837191" y="5420353"/>
          <a:ext cx="1399338" cy="146486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t>FS1 </a:t>
          </a:r>
          <a:r>
            <a:rPr lang="fi-FI" sz="1100" b="1">
              <a:solidFill>
                <a:schemeClr val="dk1"/>
              </a:solidFill>
              <a:effectLst/>
              <a:latin typeface="+mn-lt"/>
              <a:ea typeface="+mn-ea"/>
              <a:cs typeface="+mn-cs"/>
            </a:rPr>
            <a:t>VERKSAMHETS-KOSTNADER</a:t>
          </a:r>
          <a:r>
            <a:rPr lang="fi-FI" sz="1100" b="1" baseline="0">
              <a:solidFill>
                <a:schemeClr val="dk1"/>
              </a:solidFill>
              <a:effectLst/>
              <a:latin typeface="+mn-lt"/>
              <a:ea typeface="+mn-ea"/>
              <a:cs typeface="+mn-cs"/>
            </a:rPr>
            <a:t> </a:t>
          </a:r>
          <a:endParaRPr lang="fi-FI">
            <a:effectLst/>
          </a:endParaRPr>
        </a:p>
        <a:p>
          <a:pPr algn="ctr"/>
          <a:r>
            <a:rPr lang="fi-FI" sz="1100" b="1" baseline="0">
              <a:solidFill>
                <a:schemeClr val="dk1"/>
              </a:solidFill>
              <a:effectLst/>
              <a:latin typeface="+mn-lt"/>
              <a:ea typeface="+mn-ea"/>
              <a:cs typeface="+mn-cs"/>
            </a:rPr>
            <a:t>"INDUSTRI"</a:t>
          </a:r>
          <a:endParaRPr lang="fi-FI">
            <a:effectLst/>
          </a:endParaRPr>
        </a:p>
      </xdr:txBody>
    </xdr:sp>
    <xdr:clientData/>
  </xdr:twoCellAnchor>
  <xdr:twoCellAnchor>
    <xdr:from>
      <xdr:col>9</xdr:col>
      <xdr:colOff>76200</xdr:colOff>
      <xdr:row>26</xdr:row>
      <xdr:rowOff>73271</xdr:rowOff>
    </xdr:from>
    <xdr:to>
      <xdr:col>11</xdr:col>
      <xdr:colOff>139212</xdr:colOff>
      <xdr:row>35</xdr:row>
      <xdr:rowOff>130629</xdr:rowOff>
    </xdr:to>
    <xdr:sp macro="" textlink="">
      <xdr:nvSpPr>
        <xdr:cNvPr id="2" name="Tekstiruutu 1">
          <a:extLst>
            <a:ext uri="{FF2B5EF4-FFF2-40B4-BE49-F238E27FC236}">
              <a16:creationId xmlns:a16="http://schemas.microsoft.com/office/drawing/2014/main" id="{00000000-0008-0000-0500-000002000000}"/>
            </a:ext>
          </a:extLst>
        </xdr:cNvPr>
        <xdr:cNvSpPr txBox="1"/>
      </xdr:nvSpPr>
      <xdr:spPr>
        <a:xfrm>
          <a:off x="7815943" y="3665557"/>
          <a:ext cx="1369298" cy="1314658"/>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100" b="1"/>
            <a:t>K1 VERKSAMHETS-KOSTNADER</a:t>
          </a:r>
          <a:r>
            <a:rPr lang="fi-FI" sz="1100" b="1" baseline="0"/>
            <a:t> "HANDEL" </a:t>
          </a:r>
          <a:endParaRPr lang="fi-FI" sz="1100" b="1"/>
        </a:p>
      </xdr:txBody>
    </xdr:sp>
    <xdr:clientData/>
  </xdr:twoCellAnchor>
  <xdr:twoCellAnchor>
    <xdr:from>
      <xdr:col>1</xdr:col>
      <xdr:colOff>30773</xdr:colOff>
      <xdr:row>2</xdr:row>
      <xdr:rowOff>0</xdr:rowOff>
    </xdr:from>
    <xdr:to>
      <xdr:col>9</xdr:col>
      <xdr:colOff>1</xdr:colOff>
      <xdr:row>3</xdr:row>
      <xdr:rowOff>0</xdr:rowOff>
    </xdr:to>
    <xdr:sp macro="" textlink="">
      <xdr:nvSpPr>
        <xdr:cNvPr id="8" name="Suorakulmio 7">
          <a:extLst>
            <a:ext uri="{FF2B5EF4-FFF2-40B4-BE49-F238E27FC236}">
              <a16:creationId xmlns:a16="http://schemas.microsoft.com/office/drawing/2014/main" id="{00000000-0008-0000-0500-000008000000}"/>
            </a:ext>
          </a:extLst>
        </xdr:cNvPr>
        <xdr:cNvSpPr/>
      </xdr:nvSpPr>
      <xdr:spPr>
        <a:xfrm>
          <a:off x="1232388" y="322385"/>
          <a:ext cx="6438901" cy="58615"/>
        </a:xfrm>
        <a:prstGeom prst="rect">
          <a:avLst/>
        </a:prstGeom>
        <a:solidFill>
          <a:schemeClr val="tx2"/>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editAs="oneCell">
    <xdr:from>
      <xdr:col>9</xdr:col>
      <xdr:colOff>324897</xdr:colOff>
      <xdr:row>43</xdr:row>
      <xdr:rowOff>37639</xdr:rowOff>
    </xdr:from>
    <xdr:to>
      <xdr:col>10</xdr:col>
      <xdr:colOff>554962</xdr:colOff>
      <xdr:row>48</xdr:row>
      <xdr:rowOff>116810</xdr:rowOff>
    </xdr:to>
    <xdr:pic>
      <xdr:nvPicPr>
        <xdr:cNvPr id="14059820" name="Kuva 11" descr="C:\Users\Henri\AppData\Local\Microsoft\Windows\Temporary Internet Files\Content.IE5\9ZN2D3X7\MC900432666[2].png">
          <a:hlinkClick xmlns:r="http://schemas.openxmlformats.org/officeDocument/2006/relationships" r:id="rId1"/>
          <a:extLst>
            <a:ext uri="{FF2B5EF4-FFF2-40B4-BE49-F238E27FC236}">
              <a16:creationId xmlns:a16="http://schemas.microsoft.com/office/drawing/2014/main" id="{00000000-0008-0000-0500-00002C89D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64640" y="5992125"/>
          <a:ext cx="887018" cy="841171"/>
        </a:xfrm>
        <a:prstGeom prst="rect">
          <a:avLst/>
        </a:prstGeom>
        <a:solidFill>
          <a:schemeClr val="accent1">
            <a:lumMod val="40000"/>
            <a:lumOff val="60000"/>
          </a:schemeClr>
        </a:solidFill>
        <a:ln>
          <a:noFill/>
        </a:ln>
      </xdr:spPr>
    </xdr:pic>
    <xdr:clientData/>
  </xdr:twoCellAnchor>
  <xdr:twoCellAnchor editAs="oneCell">
    <xdr:from>
      <xdr:col>9</xdr:col>
      <xdr:colOff>331596</xdr:colOff>
      <xdr:row>29</xdr:row>
      <xdr:rowOff>111568</xdr:rowOff>
    </xdr:from>
    <xdr:to>
      <xdr:col>10</xdr:col>
      <xdr:colOff>530888</xdr:colOff>
      <xdr:row>35</xdr:row>
      <xdr:rowOff>133916</xdr:rowOff>
    </xdr:to>
    <xdr:pic>
      <xdr:nvPicPr>
        <xdr:cNvPr id="14059821" name="Kuva 12" descr="C:\Users\Henri\AppData\Local\Microsoft\Windows\Temporary Internet Files\Content.IE5\N4VBPFWY\MC900432667[1].png">
          <a:hlinkClick xmlns:r="http://schemas.openxmlformats.org/officeDocument/2006/relationships" r:id="rId3"/>
          <a:extLst>
            <a:ext uri="{FF2B5EF4-FFF2-40B4-BE49-F238E27FC236}">
              <a16:creationId xmlns:a16="http://schemas.microsoft.com/office/drawing/2014/main" id="{00000000-0008-0000-0500-00002D89D6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71339" y="4161054"/>
          <a:ext cx="852435" cy="81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118383</xdr:colOff>
      <xdr:row>7</xdr:row>
      <xdr:rowOff>13607</xdr:rowOff>
    </xdr:from>
    <xdr:to>
      <xdr:col>12</xdr:col>
      <xdr:colOff>499383</xdr:colOff>
      <xdr:row>22</xdr:row>
      <xdr:rowOff>127907</xdr:rowOff>
    </xdr:to>
    <xdr:sp macro="" textlink="">
      <xdr:nvSpPr>
        <xdr:cNvPr id="10" name="AutoShape 175">
          <a:extLst>
            <a:ext uri="{FF2B5EF4-FFF2-40B4-BE49-F238E27FC236}">
              <a16:creationId xmlns:a16="http://schemas.microsoft.com/office/drawing/2014/main" id="{00000000-0008-0000-0500-00000A000000}"/>
            </a:ext>
          </a:extLst>
        </xdr:cNvPr>
        <xdr:cNvSpPr>
          <a:spLocks noChangeArrowheads="1"/>
        </xdr:cNvSpPr>
      </xdr:nvSpPr>
      <xdr:spPr bwMode="auto">
        <a:xfrm>
          <a:off x="7858126" y="911678"/>
          <a:ext cx="2340428" cy="2198915"/>
        </a:xfrm>
        <a:prstGeom prst="foldedCorner">
          <a:avLst>
            <a:gd name="adj" fmla="val 12500"/>
          </a:avLst>
        </a:prstGeom>
        <a:solidFill>
          <a:srgbClr val="FFC000"/>
        </a:solidFill>
        <a:ln w="15875">
          <a:solidFill>
            <a:srgbClr val="FFC000"/>
          </a:solidFill>
          <a:round/>
          <a:headEnd/>
          <a:tailEnd/>
        </a:ln>
      </xdr:spPr>
      <xdr:txBody>
        <a:bodyPr vertOverflow="clip" wrap="square" lIns="108000" tIns="144000" rIns="36000" bIns="108000" anchor="t" upright="1"/>
        <a:lstStyle/>
        <a:p>
          <a:pPr algn="l" rtl="0">
            <a:lnSpc>
              <a:spcPts val="1000"/>
            </a:lnSpc>
            <a:defRPr sz="1000"/>
          </a:pPr>
          <a:r>
            <a:rPr lang="fi-FI" sz="1000" b="1" i="1" strike="noStrike">
              <a:solidFill>
                <a:srgbClr val="000000"/>
              </a:solidFill>
              <a:latin typeface="Arial" pitchFamily="34" charset="0"/>
              <a:cs typeface="Arial" pitchFamily="34" charset="0"/>
            </a:rPr>
            <a:t>Ifyllandsdirektiv</a:t>
          </a:r>
        </a:p>
        <a:p>
          <a:pPr algn="l" rtl="0">
            <a:lnSpc>
              <a:spcPts val="1000"/>
            </a:lnSpc>
            <a:defRPr sz="1000"/>
          </a:pPr>
          <a:endParaRPr lang="fi-FI" sz="1000" b="1" i="1" strike="noStrike">
            <a:solidFill>
              <a:srgbClr val="000000"/>
            </a:solidFill>
            <a:latin typeface="Arial" pitchFamily="34" charset="0"/>
            <a:cs typeface="Arial" pitchFamily="34" charset="0"/>
          </a:endParaRPr>
        </a:p>
        <a:p>
          <a:pPr algn="l" rtl="0">
            <a:lnSpc>
              <a:spcPts val="1200"/>
            </a:lnSpc>
            <a:defRPr sz="1000"/>
          </a:pPr>
          <a:r>
            <a:rPr lang="fi-FI" sz="1000" b="0" i="0" strike="noStrike">
              <a:solidFill>
                <a:srgbClr val="000000"/>
              </a:solidFill>
              <a:latin typeface="Arial" pitchFamily="34" charset="0"/>
              <a:cs typeface="Arial" pitchFamily="34" charset="0"/>
            </a:rPr>
            <a:t>- Fyll i blåa cellerna</a:t>
          </a:r>
        </a:p>
        <a:p>
          <a:pPr rtl="0">
            <a:lnSpc>
              <a:spcPts val="1200"/>
            </a:lnSpc>
          </a:pPr>
          <a:r>
            <a:rPr lang="fi-FI" sz="1000" b="0" i="0" strike="noStrike">
              <a:solidFill>
                <a:srgbClr val="000000"/>
              </a:solidFill>
              <a:latin typeface="Arial" pitchFamily="34" charset="0"/>
              <a:cs typeface="Arial" pitchFamily="34" charset="0"/>
            </a:rPr>
            <a:t>- </a:t>
          </a:r>
          <a:r>
            <a:rPr lang="fi-FI" sz="1000" b="0" i="0">
              <a:effectLst/>
              <a:latin typeface="Arial" pitchFamily="34" charset="0"/>
              <a:ea typeface="+mn-ea"/>
              <a:cs typeface="Arial" pitchFamily="34" charset="0"/>
            </a:rPr>
            <a:t>Observera även</a:t>
          </a:r>
          <a:r>
            <a:rPr lang="fi-FI" sz="1000" b="0" i="0" baseline="0">
              <a:effectLst/>
              <a:latin typeface="Arial" pitchFamily="34" charset="0"/>
              <a:ea typeface="+mn-ea"/>
              <a:cs typeface="Arial" pitchFamily="34" charset="0"/>
            </a:rPr>
            <a:t> cellerna till</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höger. Där kan du göra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anteckningar och förutspå </a:t>
          </a:r>
          <a:br>
            <a:rPr lang="fi-FI" sz="1000" b="0" i="0" baseline="0">
              <a:effectLst/>
              <a:latin typeface="Arial" pitchFamily="34" charset="0"/>
              <a:ea typeface="+mn-ea"/>
              <a:cs typeface="Arial" pitchFamily="34" charset="0"/>
            </a:rPr>
          </a:br>
          <a:r>
            <a:rPr lang="fi-FI" sz="1000" b="0" i="0" baseline="0">
              <a:effectLst/>
              <a:latin typeface="Arial" pitchFamily="34" charset="0"/>
              <a:ea typeface="+mn-ea"/>
              <a:cs typeface="Arial" pitchFamily="34" charset="0"/>
            </a:rPr>
            <a:t>  löneökningar.</a:t>
          </a:r>
          <a:endParaRPr lang="sv-FI" sz="1000" b="0" i="0">
            <a:effectLst/>
            <a:latin typeface="Arial" pitchFamily="34" charset="0"/>
            <a:cs typeface="Arial" pitchFamily="34" charset="0"/>
          </a:endParaRPr>
        </a:p>
        <a:p>
          <a:pPr rtl="0">
            <a:lnSpc>
              <a:spcPts val="1200"/>
            </a:lnSpc>
          </a:pPr>
          <a:br>
            <a:rPr lang="fi-FI" sz="1000" b="0" i="1" baseline="0">
              <a:solidFill>
                <a:sysClr val="windowText" lastClr="000000"/>
              </a:solidFill>
              <a:effectLst/>
              <a:latin typeface="Arial" pitchFamily="34" charset="0"/>
              <a:ea typeface="+mn-ea"/>
              <a:cs typeface="Arial" pitchFamily="34" charset="0"/>
            </a:rPr>
          </a:br>
          <a:r>
            <a:rPr lang="fi-FI" sz="1000" b="1" i="1" baseline="0">
              <a:solidFill>
                <a:sysClr val="windowText" lastClr="000000"/>
              </a:solidFill>
              <a:effectLst/>
              <a:latin typeface="Arial" pitchFamily="34" charset="0"/>
              <a:ea typeface="+mn-ea"/>
              <a:cs typeface="Arial" pitchFamily="34" charset="0"/>
            </a:rPr>
            <a:t>FYLL I ANTALET PERSONERNA VID ARBETSUPPGIFTEN!</a:t>
          </a:r>
          <a:endParaRPr lang="sv-FI" sz="1000" b="1">
            <a:solidFill>
              <a:sysClr val="windowText" lastClr="000000"/>
            </a:solidFill>
            <a:effectLst/>
            <a:latin typeface="Arial" pitchFamily="34" charset="0"/>
            <a:cs typeface="Arial" pitchFamily="34" charset="0"/>
          </a:endParaRPr>
        </a:p>
        <a:p>
          <a:pPr algn="l" rtl="0">
            <a:lnSpc>
              <a:spcPts val="1000"/>
            </a:lnSpc>
            <a:defRPr sz="1000"/>
          </a:pPr>
          <a:endParaRPr lang="fi-FI" sz="1000" b="1" i="1" strike="noStrike" baseline="0">
            <a:solidFill>
              <a:srgbClr val="000000"/>
            </a:solidFill>
            <a:latin typeface="Arial"/>
            <a:cs typeface="Arial"/>
          </a:endParaRPr>
        </a:p>
      </xdr:txBody>
    </xdr:sp>
    <xdr:clientData/>
  </xdr:twoCellAnchor>
  <xdr:twoCellAnchor editAs="oneCell">
    <xdr:from>
      <xdr:col>7</xdr:col>
      <xdr:colOff>474209</xdr:colOff>
      <xdr:row>7</xdr:row>
      <xdr:rowOff>52387</xdr:rowOff>
    </xdr:from>
    <xdr:to>
      <xdr:col>8</xdr:col>
      <xdr:colOff>969727</xdr:colOff>
      <xdr:row>9</xdr:row>
      <xdr:rowOff>98488</xdr:rowOff>
    </xdr:to>
    <xdr:pic>
      <xdr:nvPicPr>
        <xdr:cNvPr id="5" name="Kuva 4">
          <a:extLst>
            <a:ext uri="{FF2B5EF4-FFF2-40B4-BE49-F238E27FC236}">
              <a16:creationId xmlns:a16="http://schemas.microsoft.com/office/drawing/2014/main" id="{F29B0F54-2A4F-404D-86F4-86CBC5B105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35523" y="950458"/>
          <a:ext cx="1035994" cy="3579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89647</xdr:colOff>
      <xdr:row>66</xdr:row>
      <xdr:rowOff>85725</xdr:rowOff>
    </xdr:from>
    <xdr:to>
      <xdr:col>18</xdr:col>
      <xdr:colOff>515470</xdr:colOff>
      <xdr:row>96</xdr:row>
      <xdr:rowOff>78441</xdr:rowOff>
    </xdr:to>
    <xdr:graphicFrame macro="">
      <xdr:nvGraphicFramePr>
        <xdr:cNvPr id="13594224" name="Kaavio 4">
          <a:extLst>
            <a:ext uri="{FF2B5EF4-FFF2-40B4-BE49-F238E27FC236}">
              <a16:creationId xmlns:a16="http://schemas.microsoft.com/office/drawing/2014/main" id="{00000000-0008-0000-08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21</xdr:row>
      <xdr:rowOff>47625</xdr:rowOff>
    </xdr:from>
    <xdr:to>
      <xdr:col>0</xdr:col>
      <xdr:colOff>735910</xdr:colOff>
      <xdr:row>28</xdr:row>
      <xdr:rowOff>38100</xdr:rowOff>
    </xdr:to>
    <xdr:sp macro="" textlink="">
      <xdr:nvSpPr>
        <xdr:cNvPr id="10" name="Suorakulmio 9">
          <a:extLst>
            <a:ext uri="{FF2B5EF4-FFF2-40B4-BE49-F238E27FC236}">
              <a16:creationId xmlns:a16="http://schemas.microsoft.com/office/drawing/2014/main" id="{00000000-0008-0000-0800-00000A000000}"/>
            </a:ext>
          </a:extLst>
        </xdr:cNvPr>
        <xdr:cNvSpPr/>
      </xdr:nvSpPr>
      <xdr:spPr bwMode="auto">
        <a:xfrm>
          <a:off x="47625" y="3219450"/>
          <a:ext cx="688285" cy="990600"/>
        </a:xfrm>
        <a:prstGeom prst="rect">
          <a:avLst/>
        </a:prstGeom>
        <a:solidFill>
          <a:srgbClr val="FFC000"/>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ctr"/>
          <a:r>
            <a:rPr lang="fi-FI" sz="1100">
              <a:solidFill>
                <a:schemeClr val="dk1"/>
              </a:solidFill>
              <a:effectLst/>
              <a:latin typeface="+mn-lt"/>
              <a:ea typeface="+mn-ea"/>
              <a:cs typeface="+mn-cs"/>
            </a:rPr>
            <a:t>I punkter</a:t>
          </a:r>
          <a:endParaRPr lang="fi-FI">
            <a:effectLst/>
          </a:endParaRPr>
        </a:p>
        <a:p>
          <a:pPr algn="ctr"/>
          <a:r>
            <a:rPr lang="fi-FI" sz="1100">
              <a:solidFill>
                <a:schemeClr val="dk1"/>
              </a:solidFill>
              <a:effectLst/>
              <a:latin typeface="+mn-lt"/>
              <a:ea typeface="+mn-ea"/>
              <a:cs typeface="+mn-cs"/>
            </a:rPr>
            <a:t>6 - 17 Moms- avdragbara</a:t>
          </a:r>
          <a:r>
            <a:rPr lang="fi-FI" sz="1100" baseline="0">
              <a:solidFill>
                <a:schemeClr val="dk1"/>
              </a:solidFill>
              <a:effectLst/>
              <a:latin typeface="+mn-lt"/>
              <a:ea typeface="+mn-ea"/>
              <a:cs typeface="+mn-cs"/>
            </a:rPr>
            <a:t>  utgifter</a:t>
          </a:r>
          <a:endParaRPr lang="fi-FI">
            <a:effectLst/>
          </a:endParaRPr>
        </a:p>
      </xdr:txBody>
    </xdr:sp>
    <xdr:clientData/>
  </xdr:twoCellAnchor>
  <xdr:twoCellAnchor editAs="oneCell">
    <xdr:from>
      <xdr:col>17</xdr:col>
      <xdr:colOff>357410</xdr:colOff>
      <xdr:row>2</xdr:row>
      <xdr:rowOff>42189</xdr:rowOff>
    </xdr:from>
    <xdr:to>
      <xdr:col>18</xdr:col>
      <xdr:colOff>474345</xdr:colOff>
      <xdr:row>3</xdr:row>
      <xdr:rowOff>248983</xdr:rowOff>
    </xdr:to>
    <xdr:pic>
      <xdr:nvPicPr>
        <xdr:cNvPr id="4" name="Kuva 3">
          <a:extLst>
            <a:ext uri="{FF2B5EF4-FFF2-40B4-BE49-F238E27FC236}">
              <a16:creationId xmlns:a16="http://schemas.microsoft.com/office/drawing/2014/main" id="{5EE563EB-7CD5-4533-9D5F-1F70BAE0FA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3135" y="423189"/>
          <a:ext cx="942753" cy="324904"/>
        </a:xfrm>
        <a:prstGeom prst="rect">
          <a:avLst/>
        </a:prstGeom>
      </xdr:spPr>
    </xdr:pic>
    <xdr:clientData/>
  </xdr:twoCellAnchor>
  <xdr:twoCellAnchor editAs="oneCell">
    <xdr:from>
      <xdr:col>17</xdr:col>
      <xdr:colOff>160020</xdr:colOff>
      <xdr:row>63</xdr:row>
      <xdr:rowOff>68580</xdr:rowOff>
    </xdr:from>
    <xdr:to>
      <xdr:col>18</xdr:col>
      <xdr:colOff>294100</xdr:colOff>
      <xdr:row>64</xdr:row>
      <xdr:rowOff>227749</xdr:rowOff>
    </xdr:to>
    <xdr:pic>
      <xdr:nvPicPr>
        <xdr:cNvPr id="6" name="Kuva 5">
          <a:extLst>
            <a:ext uri="{FF2B5EF4-FFF2-40B4-BE49-F238E27FC236}">
              <a16:creationId xmlns:a16="http://schemas.microsoft.com/office/drawing/2014/main" id="{8FB71CE5-A07E-4C09-9936-A8BE70D5B5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93780" y="9204960"/>
          <a:ext cx="899890" cy="326809"/>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0.3142</cdr:x>
      <cdr:y>0.04723</cdr:y>
    </cdr:from>
    <cdr:to>
      <cdr:x>0.67803</cdr:x>
      <cdr:y>0.10237</cdr:y>
    </cdr:to>
    <cdr:sp macro="" textlink="">
      <cdr:nvSpPr>
        <cdr:cNvPr id="3" name="Tekstikehys 1">
          <a:extLst xmlns:a="http://schemas.openxmlformats.org/drawingml/2006/main">
            <a:ext uri="{FF2B5EF4-FFF2-40B4-BE49-F238E27FC236}">
              <a16:creationId xmlns:a16="http://schemas.microsoft.com/office/drawing/2014/main" id="{25DF9901-B9C9-4AA9-8F0B-0DED4550BA3E}"/>
            </a:ext>
          </a:extLst>
        </cdr:cNvPr>
        <cdr:cNvSpPr txBox="1"/>
      </cdr:nvSpPr>
      <cdr:spPr>
        <a:xfrm xmlns:a="http://schemas.openxmlformats.org/drawingml/2006/main">
          <a:off x="3232150" y="222250"/>
          <a:ext cx="3742738" cy="259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i-FI" sz="1400" b="1">
              <a:effectLst/>
              <a:latin typeface="Arial" panose="020B0604020202020204" pitchFamily="34" charset="0"/>
              <a:ea typeface="+mn-ea"/>
              <a:cs typeface="Arial" panose="020B0604020202020204" pitchFamily="34" charset="0"/>
            </a:rPr>
            <a:t>MÅNATLIG</a:t>
          </a:r>
          <a:r>
            <a:rPr lang="fi-FI" sz="1400" b="1" baseline="0">
              <a:effectLst/>
              <a:latin typeface="Arial" panose="020B0604020202020204" pitchFamily="34" charset="0"/>
              <a:ea typeface="+mn-ea"/>
              <a:cs typeface="Arial" panose="020B0604020202020204" pitchFamily="34" charset="0"/>
            </a:rPr>
            <a:t> PENNINGRÖRELSE</a:t>
          </a:r>
          <a:endParaRPr lang="sv-FI" sz="1400">
            <a:effectLst/>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10</xdr:col>
      <xdr:colOff>47624</xdr:colOff>
      <xdr:row>9</xdr:row>
      <xdr:rowOff>47625</xdr:rowOff>
    </xdr:from>
    <xdr:to>
      <xdr:col>13</xdr:col>
      <xdr:colOff>47624</xdr:colOff>
      <xdr:row>10</xdr:row>
      <xdr:rowOff>0</xdr:rowOff>
    </xdr:to>
    <xdr:sp macro="" textlink="">
      <xdr:nvSpPr>
        <xdr:cNvPr id="4" name="Tekstiruutu 3">
          <a:extLst>
            <a:ext uri="{FF2B5EF4-FFF2-40B4-BE49-F238E27FC236}">
              <a16:creationId xmlns:a16="http://schemas.microsoft.com/office/drawing/2014/main" id="{00000000-0008-0000-0900-000004000000}"/>
            </a:ext>
          </a:extLst>
        </xdr:cNvPr>
        <xdr:cNvSpPr txBox="1"/>
      </xdr:nvSpPr>
      <xdr:spPr>
        <a:xfrm>
          <a:off x="7743824" y="1285875"/>
          <a:ext cx="20288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100" b="1"/>
            <a:t>T6 TULOS - RAHOITUSENNUSTE</a:t>
          </a:r>
        </a:p>
      </xdr:txBody>
    </xdr:sp>
    <xdr:clientData fPrintsWithSheet="0"/>
  </xdr:twoCellAnchor>
  <xdr:twoCellAnchor>
    <xdr:from>
      <xdr:col>9</xdr:col>
      <xdr:colOff>16566</xdr:colOff>
      <xdr:row>2</xdr:row>
      <xdr:rowOff>173935</xdr:rowOff>
    </xdr:from>
    <xdr:to>
      <xdr:col>11</xdr:col>
      <xdr:colOff>256135</xdr:colOff>
      <xdr:row>5</xdr:row>
      <xdr:rowOff>1130</xdr:rowOff>
    </xdr:to>
    <xdr:sp macro="" textlink="">
      <xdr:nvSpPr>
        <xdr:cNvPr id="12" name="Tekstiruutu 11">
          <a:hlinkClick xmlns:r="http://schemas.openxmlformats.org/officeDocument/2006/relationships" r:id="rId1"/>
          <a:extLst>
            <a:ext uri="{FF2B5EF4-FFF2-40B4-BE49-F238E27FC236}">
              <a16:creationId xmlns:a16="http://schemas.microsoft.com/office/drawing/2014/main" id="{00000000-0008-0000-0900-00000C000000}"/>
            </a:ext>
          </a:extLst>
        </xdr:cNvPr>
        <xdr:cNvSpPr txBox="1"/>
      </xdr:nvSpPr>
      <xdr:spPr>
        <a:xfrm>
          <a:off x="8174448" y="526120"/>
          <a:ext cx="1520241" cy="365077"/>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FS2 FÖRSÄLJNING</a:t>
          </a:r>
        </a:p>
      </xdr:txBody>
    </xdr:sp>
    <xdr:clientData fPrintsWithSheet="0"/>
  </xdr:twoCellAnchor>
  <xdr:twoCellAnchor>
    <xdr:from>
      <xdr:col>9</xdr:col>
      <xdr:colOff>8283</xdr:colOff>
      <xdr:row>5</xdr:row>
      <xdr:rowOff>132520</xdr:rowOff>
    </xdr:from>
    <xdr:to>
      <xdr:col>11</xdr:col>
      <xdr:colOff>243328</xdr:colOff>
      <xdr:row>8</xdr:row>
      <xdr:rowOff>54671</xdr:rowOff>
    </xdr:to>
    <xdr:sp macro="" textlink="">
      <xdr:nvSpPr>
        <xdr:cNvPr id="14" name="Tekstiruutu 13">
          <a:hlinkClick xmlns:r="http://schemas.openxmlformats.org/officeDocument/2006/relationships" r:id="rId2"/>
          <a:extLst>
            <a:ext uri="{FF2B5EF4-FFF2-40B4-BE49-F238E27FC236}">
              <a16:creationId xmlns:a16="http://schemas.microsoft.com/office/drawing/2014/main" id="{00000000-0008-0000-0900-00000E000000}"/>
            </a:ext>
          </a:extLst>
        </xdr:cNvPr>
        <xdr:cNvSpPr txBox="1"/>
      </xdr:nvSpPr>
      <xdr:spPr>
        <a:xfrm>
          <a:off x="8166165" y="1022587"/>
          <a:ext cx="1515717" cy="396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 FS3 RESULTAT</a:t>
          </a:r>
        </a:p>
      </xdr:txBody>
    </xdr:sp>
    <xdr:clientData fPrintsWithSheet="0"/>
  </xdr:twoCellAnchor>
  <xdr:twoCellAnchor>
    <xdr:from>
      <xdr:col>8</xdr:col>
      <xdr:colOff>207065</xdr:colOff>
      <xdr:row>126</xdr:row>
      <xdr:rowOff>90696</xdr:rowOff>
    </xdr:from>
    <xdr:to>
      <xdr:col>11</xdr:col>
      <xdr:colOff>152400</xdr:colOff>
      <xdr:row>128</xdr:row>
      <xdr:rowOff>140807</xdr:rowOff>
    </xdr:to>
    <xdr:sp macro="" textlink="">
      <xdr:nvSpPr>
        <xdr:cNvPr id="15" name="Tekstiruutu 14">
          <a:hlinkClick xmlns:r="http://schemas.openxmlformats.org/officeDocument/2006/relationships" r:id="rId1"/>
          <a:extLst>
            <a:ext uri="{FF2B5EF4-FFF2-40B4-BE49-F238E27FC236}">
              <a16:creationId xmlns:a16="http://schemas.microsoft.com/office/drawing/2014/main" id="{00000000-0008-0000-0900-00000F000000}"/>
            </a:ext>
          </a:extLst>
        </xdr:cNvPr>
        <xdr:cNvSpPr txBox="1"/>
      </xdr:nvSpPr>
      <xdr:spPr>
        <a:xfrm>
          <a:off x="8148194" y="20027882"/>
          <a:ext cx="1447563" cy="365796"/>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FS2 FÖRSÄLJNING</a:t>
          </a:r>
        </a:p>
      </xdr:txBody>
    </xdr:sp>
    <xdr:clientData fPrintsWithSheet="0"/>
  </xdr:twoCellAnchor>
  <xdr:twoCellAnchor>
    <xdr:from>
      <xdr:col>7</xdr:col>
      <xdr:colOff>688198</xdr:colOff>
      <xdr:row>24</xdr:row>
      <xdr:rowOff>67545</xdr:rowOff>
    </xdr:from>
    <xdr:to>
      <xdr:col>7</xdr:col>
      <xdr:colOff>754401</xdr:colOff>
      <xdr:row>24</xdr:row>
      <xdr:rowOff>68267</xdr:rowOff>
    </xdr:to>
    <xdr:cxnSp macro="">
      <xdr:nvCxnSpPr>
        <xdr:cNvPr id="10" name="Suora nuoliyhdysviiva 9">
          <a:extLst>
            <a:ext uri="{FF2B5EF4-FFF2-40B4-BE49-F238E27FC236}">
              <a16:creationId xmlns:a16="http://schemas.microsoft.com/office/drawing/2014/main" id="{3281A2DD-FF58-49DB-A6FB-7FEC06E2D035}"/>
            </a:ext>
          </a:extLst>
        </xdr:cNvPr>
        <xdr:cNvCxnSpPr/>
      </xdr:nvCxnSpPr>
      <xdr:spPr>
        <a:xfrm flipV="1">
          <a:off x="7872770" y="3848024"/>
          <a:ext cx="66203" cy="722"/>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11618</xdr:colOff>
      <xdr:row>24</xdr:row>
      <xdr:rowOff>66422</xdr:rowOff>
    </xdr:from>
    <xdr:to>
      <xdr:col>8</xdr:col>
      <xdr:colOff>212179</xdr:colOff>
      <xdr:row>24</xdr:row>
      <xdr:rowOff>66787</xdr:rowOff>
    </xdr:to>
    <xdr:cxnSp macro="">
      <xdr:nvCxnSpPr>
        <xdr:cNvPr id="11" name="Suora nuoliyhdysviiva 10">
          <a:extLst>
            <a:ext uri="{FF2B5EF4-FFF2-40B4-BE49-F238E27FC236}">
              <a16:creationId xmlns:a16="http://schemas.microsoft.com/office/drawing/2014/main" id="{C0A056DE-12FA-42C1-99F6-B293650EB635}"/>
            </a:ext>
          </a:extLst>
        </xdr:cNvPr>
        <xdr:cNvCxnSpPr/>
      </xdr:nvCxnSpPr>
      <xdr:spPr>
        <a:xfrm flipH="1">
          <a:off x="7952654" y="3846901"/>
          <a:ext cx="200561" cy="36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690114</xdr:colOff>
      <xdr:row>121</xdr:row>
      <xdr:rowOff>36736</xdr:rowOff>
    </xdr:from>
    <xdr:to>
      <xdr:col>8</xdr:col>
      <xdr:colOff>8832</xdr:colOff>
      <xdr:row>121</xdr:row>
      <xdr:rowOff>36971</xdr:rowOff>
    </xdr:to>
    <xdr:cxnSp macro="">
      <xdr:nvCxnSpPr>
        <xdr:cNvPr id="17" name="Suora nuoliyhdysviiva 16">
          <a:extLst>
            <a:ext uri="{FF2B5EF4-FFF2-40B4-BE49-F238E27FC236}">
              <a16:creationId xmlns:a16="http://schemas.microsoft.com/office/drawing/2014/main" id="{9215FF76-3D6F-423B-8CA7-5C4A487A58F0}"/>
            </a:ext>
          </a:extLst>
        </xdr:cNvPr>
        <xdr:cNvCxnSpPr/>
      </xdr:nvCxnSpPr>
      <xdr:spPr>
        <a:xfrm flipV="1">
          <a:off x="7874685" y="19415361"/>
          <a:ext cx="74557" cy="23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21886</xdr:colOff>
      <xdr:row>121</xdr:row>
      <xdr:rowOff>35133</xdr:rowOff>
    </xdr:from>
    <xdr:to>
      <xdr:col>9</xdr:col>
      <xdr:colOff>134828</xdr:colOff>
      <xdr:row>121</xdr:row>
      <xdr:rowOff>35978</xdr:rowOff>
    </xdr:to>
    <xdr:cxnSp macro="">
      <xdr:nvCxnSpPr>
        <xdr:cNvPr id="18" name="Suora nuoliyhdysviiva 17">
          <a:extLst>
            <a:ext uri="{FF2B5EF4-FFF2-40B4-BE49-F238E27FC236}">
              <a16:creationId xmlns:a16="http://schemas.microsoft.com/office/drawing/2014/main" id="{D9534A27-948A-4D5F-9B0E-E690B1B6B89F}"/>
            </a:ext>
          </a:extLst>
        </xdr:cNvPr>
        <xdr:cNvCxnSpPr/>
      </xdr:nvCxnSpPr>
      <xdr:spPr>
        <a:xfrm flipH="1">
          <a:off x="7962296" y="19413758"/>
          <a:ext cx="330656"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393245</xdr:colOff>
      <xdr:row>3</xdr:row>
      <xdr:rowOff>136070</xdr:rowOff>
    </xdr:from>
    <xdr:to>
      <xdr:col>7</xdr:col>
      <xdr:colOff>702890</xdr:colOff>
      <xdr:row>6</xdr:row>
      <xdr:rowOff>19429</xdr:rowOff>
    </xdr:to>
    <xdr:pic>
      <xdr:nvPicPr>
        <xdr:cNvPr id="5" name="Kuva 4">
          <a:extLst>
            <a:ext uri="{FF2B5EF4-FFF2-40B4-BE49-F238E27FC236}">
              <a16:creationId xmlns:a16="http://schemas.microsoft.com/office/drawing/2014/main" id="{E92AB59F-B4F9-4BB1-A105-5F47D24649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21259" y="674913"/>
          <a:ext cx="1066202" cy="378659"/>
        </a:xfrm>
        <a:prstGeom prst="rect">
          <a:avLst/>
        </a:prstGeom>
      </xdr:spPr>
    </xdr:pic>
    <xdr:clientData/>
  </xdr:twoCellAnchor>
  <xdr:twoCellAnchor editAs="oneCell">
    <xdr:from>
      <xdr:col>10</xdr:col>
      <xdr:colOff>596937</xdr:colOff>
      <xdr:row>3</xdr:row>
      <xdr:rowOff>25614</xdr:rowOff>
    </xdr:from>
    <xdr:to>
      <xdr:col>11</xdr:col>
      <xdr:colOff>149193</xdr:colOff>
      <xdr:row>4</xdr:row>
      <xdr:rowOff>134238</xdr:rowOff>
    </xdr:to>
    <xdr:pic>
      <xdr:nvPicPr>
        <xdr:cNvPr id="7" name="Kuva 6">
          <a:extLst>
            <a:ext uri="{FF2B5EF4-FFF2-40B4-BE49-F238E27FC236}">
              <a16:creationId xmlns:a16="http://schemas.microsoft.com/office/drawing/2014/main" id="{03DA6B6A-42DB-463E-85CD-66753EB829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5156" y="569900"/>
          <a:ext cx="192591" cy="287390"/>
        </a:xfrm>
        <a:prstGeom prst="rect">
          <a:avLst/>
        </a:prstGeom>
      </xdr:spPr>
    </xdr:pic>
    <xdr:clientData fPrintsWithSheet="0"/>
  </xdr:twoCellAnchor>
  <xdr:twoCellAnchor editAs="oneCell">
    <xdr:from>
      <xdr:col>10</xdr:col>
      <xdr:colOff>593509</xdr:colOff>
      <xdr:row>6</xdr:row>
      <xdr:rowOff>30139</xdr:rowOff>
    </xdr:from>
    <xdr:to>
      <xdr:col>11</xdr:col>
      <xdr:colOff>172504</xdr:colOff>
      <xdr:row>8</xdr:row>
      <xdr:rowOff>180</xdr:rowOff>
    </xdr:to>
    <xdr:pic>
      <xdr:nvPicPr>
        <xdr:cNvPr id="19" name="Kuva 18">
          <a:extLst>
            <a:ext uri="{FF2B5EF4-FFF2-40B4-BE49-F238E27FC236}">
              <a16:creationId xmlns:a16="http://schemas.microsoft.com/office/drawing/2014/main" id="{0D293AEE-2CE2-4D09-A03A-DB6B645AC1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91728" y="1073887"/>
          <a:ext cx="209805" cy="288000"/>
        </a:xfrm>
        <a:prstGeom prst="rect">
          <a:avLst/>
        </a:prstGeom>
      </xdr:spPr>
    </xdr:pic>
    <xdr:clientData fPrintsWithSheet="0"/>
  </xdr:twoCellAnchor>
  <xdr:twoCellAnchor editAs="oneCell">
    <xdr:from>
      <xdr:col>10</xdr:col>
      <xdr:colOff>570119</xdr:colOff>
      <xdr:row>126</xdr:row>
      <xdr:rowOff>136070</xdr:rowOff>
    </xdr:from>
    <xdr:to>
      <xdr:col>11</xdr:col>
      <xdr:colOff>81969</xdr:colOff>
      <xdr:row>128</xdr:row>
      <xdr:rowOff>98958</xdr:rowOff>
    </xdr:to>
    <xdr:pic>
      <xdr:nvPicPr>
        <xdr:cNvPr id="9" name="Kuva 8">
          <a:extLst>
            <a:ext uri="{FF2B5EF4-FFF2-40B4-BE49-F238E27FC236}">
              <a16:creationId xmlns:a16="http://schemas.microsoft.com/office/drawing/2014/main" id="{B7A5DE2B-4078-45FE-A42E-AF83F40755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371219" y="20073256"/>
          <a:ext cx="154107" cy="278573"/>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10</xdr:col>
      <xdr:colOff>38908</xdr:colOff>
      <xdr:row>4</xdr:row>
      <xdr:rowOff>58809</xdr:rowOff>
    </xdr:from>
    <xdr:to>
      <xdr:col>12</xdr:col>
      <xdr:colOff>680613</xdr:colOff>
      <xdr:row>6</xdr:row>
      <xdr:rowOff>3408</xdr:rowOff>
    </xdr:to>
    <xdr:sp macro="" textlink="">
      <xdr:nvSpPr>
        <xdr:cNvPr id="21" name="Tekstiruutu 20">
          <a:hlinkClick xmlns:r="http://schemas.openxmlformats.org/officeDocument/2006/relationships" r:id="rId1"/>
          <a:extLst>
            <a:ext uri="{FF2B5EF4-FFF2-40B4-BE49-F238E27FC236}">
              <a16:creationId xmlns:a16="http://schemas.microsoft.com/office/drawing/2014/main" id="{00000000-0008-0000-0A00-000015000000}"/>
            </a:ext>
          </a:extLst>
        </xdr:cNvPr>
        <xdr:cNvSpPr txBox="1"/>
      </xdr:nvSpPr>
      <xdr:spPr>
        <a:xfrm>
          <a:off x="8383310" y="793237"/>
          <a:ext cx="2088000" cy="288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050" b="1">
              <a:solidFill>
                <a:schemeClr val="bg1"/>
              </a:solidFill>
            </a:rPr>
            <a:t>FS1 VERKSAMHETSKOSTNADER</a:t>
          </a:r>
        </a:p>
      </xdr:txBody>
    </xdr:sp>
    <xdr:clientData fPrintsWithSheet="0"/>
  </xdr:twoCellAnchor>
  <xdr:twoCellAnchor>
    <xdr:from>
      <xdr:col>10</xdr:col>
      <xdr:colOff>29310</xdr:colOff>
      <xdr:row>6</xdr:row>
      <xdr:rowOff>133350</xdr:rowOff>
    </xdr:from>
    <xdr:to>
      <xdr:col>11</xdr:col>
      <xdr:colOff>664028</xdr:colOff>
      <xdr:row>8</xdr:row>
      <xdr:rowOff>115547</xdr:rowOff>
    </xdr:to>
    <xdr:sp macro="" textlink="">
      <xdr:nvSpPr>
        <xdr:cNvPr id="22" name="Tekstiruutu 21">
          <a:hlinkClick xmlns:r="http://schemas.openxmlformats.org/officeDocument/2006/relationships" r:id="rId2"/>
          <a:extLst>
            <a:ext uri="{FF2B5EF4-FFF2-40B4-BE49-F238E27FC236}">
              <a16:creationId xmlns:a16="http://schemas.microsoft.com/office/drawing/2014/main" id="{00000000-0008-0000-0A00-000016000000}"/>
            </a:ext>
          </a:extLst>
        </xdr:cNvPr>
        <xdr:cNvSpPr txBox="1"/>
      </xdr:nvSpPr>
      <xdr:spPr>
        <a:xfrm>
          <a:off x="8639910" y="1205593"/>
          <a:ext cx="1287861" cy="286997"/>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050" b="1">
              <a:solidFill>
                <a:schemeClr val="bg1"/>
              </a:solidFill>
            </a:rPr>
            <a:t>    FS3 RESULTAT</a:t>
          </a:r>
        </a:p>
      </xdr:txBody>
    </xdr:sp>
    <xdr:clientData fPrintsWithSheet="0"/>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5</xdr:col>
      <xdr:colOff>1377043</xdr:colOff>
      <xdr:row>239</xdr:row>
      <xdr:rowOff>38100</xdr:rowOff>
    </xdr:from>
    <xdr:to>
      <xdr:col>8</xdr:col>
      <xdr:colOff>494629</xdr:colOff>
      <xdr:row>241</xdr:row>
      <xdr:rowOff>245</xdr:rowOff>
    </xdr:to>
    <xdr:sp macro="" textlink="">
      <xdr:nvSpPr>
        <xdr:cNvPr id="23" name="Tekstiruutu 22">
          <a:hlinkClick xmlns:r="http://schemas.openxmlformats.org/officeDocument/2006/relationships" r:id="rId2"/>
          <a:extLst>
            <a:ext uri="{FF2B5EF4-FFF2-40B4-BE49-F238E27FC236}">
              <a16:creationId xmlns:a16="http://schemas.microsoft.com/office/drawing/2014/main" id="{00000000-0008-0000-0A00-000017000000}"/>
            </a:ext>
          </a:extLst>
        </xdr:cNvPr>
        <xdr:cNvSpPr txBox="1"/>
      </xdr:nvSpPr>
      <xdr:spPr>
        <a:xfrm>
          <a:off x="6602186" y="32907514"/>
          <a:ext cx="1430800" cy="277831"/>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i-FI" sz="1100" b="1">
              <a:solidFill>
                <a:schemeClr val="bg1"/>
              </a:solidFill>
            </a:rPr>
            <a:t>      FS3 RESULTAT</a:t>
          </a:r>
        </a:p>
      </xdr:txBody>
    </xdr:sp>
    <xdr:clientData fPrintsWithSheet="0"/>
  </xdr:twoCellAnchor>
  <xdr:twoCellAnchor>
    <xdr:from>
      <xdr:col>5</xdr:col>
      <xdr:colOff>590550</xdr:colOff>
      <xdr:row>236</xdr:row>
      <xdr:rowOff>104775</xdr:rowOff>
    </xdr:from>
    <xdr:to>
      <xdr:col>8</xdr:col>
      <xdr:colOff>494629</xdr:colOff>
      <xdr:row>238</xdr:row>
      <xdr:rowOff>66919</xdr:rowOff>
    </xdr:to>
    <xdr:sp macro="" textlink="">
      <xdr:nvSpPr>
        <xdr:cNvPr id="27" name="Tekstiruutu 26">
          <a:hlinkClick xmlns:r="http://schemas.openxmlformats.org/officeDocument/2006/relationships" r:id="rId1"/>
          <a:extLst>
            <a:ext uri="{FF2B5EF4-FFF2-40B4-BE49-F238E27FC236}">
              <a16:creationId xmlns:a16="http://schemas.microsoft.com/office/drawing/2014/main" id="{00000000-0008-0000-0A00-00001B000000}"/>
            </a:ext>
          </a:extLst>
        </xdr:cNvPr>
        <xdr:cNvSpPr txBox="1"/>
      </xdr:nvSpPr>
      <xdr:spPr>
        <a:xfrm>
          <a:off x="5588668" y="32153893"/>
          <a:ext cx="2160000" cy="288000"/>
        </a:xfrm>
        <a:prstGeom prst="rect">
          <a:avLst/>
        </a:prstGeom>
        <a:solidFill>
          <a:srgbClr val="0070C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solidFill>
                <a:schemeClr val="bg1"/>
              </a:solidFill>
            </a:rPr>
            <a:t>FS1 VERKSAMHETSKOSTNADER</a:t>
          </a:r>
        </a:p>
      </xdr:txBody>
    </xdr:sp>
    <xdr:clientData fPrintsWithSheet="0"/>
  </xdr:twoCellAnchor>
  <xdr:twoCellAnchor editAs="oneCell">
    <xdr:from>
      <xdr:col>11</xdr:col>
      <xdr:colOff>452761</xdr:colOff>
      <xdr:row>6</xdr:row>
      <xdr:rowOff>151968</xdr:rowOff>
    </xdr:from>
    <xdr:to>
      <xdr:col>11</xdr:col>
      <xdr:colOff>583051</xdr:colOff>
      <xdr:row>8</xdr:row>
      <xdr:rowOff>86352</xdr:rowOff>
    </xdr:to>
    <xdr:pic>
      <xdr:nvPicPr>
        <xdr:cNvPr id="6" name="Kuva 5">
          <a:extLst>
            <a:ext uri="{FF2B5EF4-FFF2-40B4-BE49-F238E27FC236}">
              <a16:creationId xmlns:a16="http://schemas.microsoft.com/office/drawing/2014/main" id="{F9B3E637-2B2F-46CA-9FFD-42F48E25FD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16504" y="1224211"/>
          <a:ext cx="130290" cy="239184"/>
        </a:xfrm>
        <a:prstGeom prst="rect">
          <a:avLst/>
        </a:prstGeom>
      </xdr:spPr>
    </xdr:pic>
    <xdr:clientData fPrintsWithSheet="0"/>
  </xdr:twoCellAnchor>
  <xdr:twoCellAnchor editAs="oneCell">
    <xdr:from>
      <xdr:col>10</xdr:col>
      <xdr:colOff>80210</xdr:colOff>
      <xdr:row>4</xdr:row>
      <xdr:rowOff>82716</xdr:rowOff>
    </xdr:from>
    <xdr:to>
      <xdr:col>10</xdr:col>
      <xdr:colOff>211342</xdr:colOff>
      <xdr:row>5</xdr:row>
      <xdr:rowOff>133450</xdr:rowOff>
    </xdr:to>
    <xdr:pic>
      <xdr:nvPicPr>
        <xdr:cNvPr id="8" name="Kuva 7">
          <a:extLst>
            <a:ext uri="{FF2B5EF4-FFF2-40B4-BE49-F238E27FC236}">
              <a16:creationId xmlns:a16="http://schemas.microsoft.com/office/drawing/2014/main" id="{B3E4F642-6C4B-4C39-8697-32EE82846F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24612" y="817144"/>
          <a:ext cx="131132" cy="241234"/>
        </a:xfrm>
        <a:prstGeom prst="rect">
          <a:avLst/>
        </a:prstGeom>
      </xdr:spPr>
    </xdr:pic>
    <xdr:clientData fPrintsWithSheet="0"/>
  </xdr:twoCellAnchor>
  <xdr:twoCellAnchor editAs="oneCell">
    <xdr:from>
      <xdr:col>5</xdr:col>
      <xdr:colOff>644193</xdr:colOff>
      <xdr:row>236</xdr:row>
      <xdr:rowOff>121374</xdr:rowOff>
    </xdr:from>
    <xdr:to>
      <xdr:col>5</xdr:col>
      <xdr:colOff>777741</xdr:colOff>
      <xdr:row>238</xdr:row>
      <xdr:rowOff>21157</xdr:rowOff>
    </xdr:to>
    <xdr:pic>
      <xdr:nvPicPr>
        <xdr:cNvPr id="10" name="Kuva 9">
          <a:extLst>
            <a:ext uri="{FF2B5EF4-FFF2-40B4-BE49-F238E27FC236}">
              <a16:creationId xmlns:a16="http://schemas.microsoft.com/office/drawing/2014/main" id="{BF5F85DF-B8E6-421A-A831-3E97960C88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42311" y="32170492"/>
          <a:ext cx="127833" cy="235164"/>
        </a:xfrm>
        <a:prstGeom prst="rect">
          <a:avLst/>
        </a:prstGeom>
      </xdr:spPr>
    </xdr:pic>
    <xdr:clientData fPrintsWithSheet="0"/>
  </xdr:twoCellAnchor>
  <xdr:twoCellAnchor editAs="oneCell">
    <xdr:from>
      <xdr:col>8</xdr:col>
      <xdr:colOff>323350</xdr:colOff>
      <xdr:row>239</xdr:row>
      <xdr:rowOff>62664</xdr:rowOff>
    </xdr:from>
    <xdr:to>
      <xdr:col>8</xdr:col>
      <xdr:colOff>444137</xdr:colOff>
      <xdr:row>240</xdr:row>
      <xdr:rowOff>135959</xdr:rowOff>
    </xdr:to>
    <xdr:pic>
      <xdr:nvPicPr>
        <xdr:cNvPr id="12" name="Kuva 11">
          <a:extLst>
            <a:ext uri="{FF2B5EF4-FFF2-40B4-BE49-F238E27FC236}">
              <a16:creationId xmlns:a16="http://schemas.microsoft.com/office/drawing/2014/main" id="{FFA479A8-78A3-4C13-B484-97DAE151AD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577389" y="32605579"/>
          <a:ext cx="128407" cy="236221"/>
        </a:xfrm>
        <a:prstGeom prst="rect">
          <a:avLst/>
        </a:prstGeom>
      </xdr:spPr>
    </xdr:pic>
    <xdr:clientData fPrintsWithSheet="0"/>
  </xdr:twoCellAnchor>
  <xdr:twoCellAnchor editAs="oneCell">
    <xdr:from>
      <xdr:col>7</xdr:col>
      <xdr:colOff>7327</xdr:colOff>
      <xdr:row>160</xdr:row>
      <xdr:rowOff>69606</xdr:rowOff>
    </xdr:from>
    <xdr:to>
      <xdr:col>8</xdr:col>
      <xdr:colOff>664728</xdr:colOff>
      <xdr:row>162</xdr:row>
      <xdr:rowOff>105367</xdr:rowOff>
    </xdr:to>
    <xdr:pic>
      <xdr:nvPicPr>
        <xdr:cNvPr id="14" name="Kuva 13">
          <a:extLst>
            <a:ext uri="{FF2B5EF4-FFF2-40B4-BE49-F238E27FC236}">
              <a16:creationId xmlns:a16="http://schemas.microsoft.com/office/drawing/2014/main" id="{E8EA4898-460B-4759-A332-19CA0BFE9F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56914" y="21929481"/>
          <a:ext cx="1078992" cy="371856"/>
        </a:xfrm>
        <a:prstGeom prst="rect">
          <a:avLst/>
        </a:prstGeom>
      </xdr:spPr>
    </xdr:pic>
    <xdr:clientData/>
  </xdr:twoCellAnchor>
  <xdr:twoCellAnchor editAs="oneCell">
    <xdr:from>
      <xdr:col>7</xdr:col>
      <xdr:colOff>51288</xdr:colOff>
      <xdr:row>79</xdr:row>
      <xdr:rowOff>47624</xdr:rowOff>
    </xdr:from>
    <xdr:to>
      <xdr:col>9</xdr:col>
      <xdr:colOff>29</xdr:colOff>
      <xdr:row>81</xdr:row>
      <xdr:rowOff>98624</xdr:rowOff>
    </xdr:to>
    <xdr:pic>
      <xdr:nvPicPr>
        <xdr:cNvPr id="16" name="Kuva 15">
          <a:extLst>
            <a:ext uri="{FF2B5EF4-FFF2-40B4-BE49-F238E27FC236}">
              <a16:creationId xmlns:a16="http://schemas.microsoft.com/office/drawing/2014/main" id="{2E827221-0E87-4634-A34C-A2B7C13D22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00875" y="11005038"/>
          <a:ext cx="1078992" cy="371856"/>
        </a:xfrm>
        <a:prstGeom prst="rect">
          <a:avLst/>
        </a:prstGeom>
      </xdr:spPr>
    </xdr:pic>
    <xdr:clientData/>
  </xdr:twoCellAnchor>
  <xdr:twoCellAnchor editAs="oneCell">
    <xdr:from>
      <xdr:col>6</xdr:col>
      <xdr:colOff>410309</xdr:colOff>
      <xdr:row>3</xdr:row>
      <xdr:rowOff>69606</xdr:rowOff>
    </xdr:from>
    <xdr:to>
      <xdr:col>8</xdr:col>
      <xdr:colOff>668978</xdr:colOff>
      <xdr:row>5</xdr:row>
      <xdr:rowOff>60462</xdr:rowOff>
    </xdr:to>
    <xdr:pic>
      <xdr:nvPicPr>
        <xdr:cNvPr id="18" name="Kuva 17">
          <a:extLst>
            <a:ext uri="{FF2B5EF4-FFF2-40B4-BE49-F238E27FC236}">
              <a16:creationId xmlns:a16="http://schemas.microsoft.com/office/drawing/2014/main" id="{B570E015-BE24-444A-A317-16A836CC82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45924" y="611798"/>
          <a:ext cx="1078992" cy="3718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ija/Dropbox/Yritystulkki/YT%20Uusimmat%20Yleiset/YT5%20Taloussuunnitelma%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oitussivu"/>
      <sheetName val="K1 Kustannukset"/>
      <sheetName val="K2 Myynti"/>
      <sheetName val="Kauppa AT lainat ja avustukset"/>
      <sheetName val="K3 Rahoitus"/>
      <sheetName val="Palkat "/>
      <sheetName val="Kassabudjetti"/>
      <sheetName val="AT Kassa"/>
      <sheetName val="YP1 Kustannukset"/>
      <sheetName val="YP2 Myynti"/>
      <sheetName val="AT Myynnin alv"/>
      <sheetName val="YP Lainat ja avustukset"/>
      <sheetName val="YP3 Rahoitus"/>
      <sheetName val="Toimialatiedot"/>
      <sheetName val="AT Palkat, alv"/>
      <sheetName val="Kaaviot"/>
    </sheetNames>
    <sheetDataSet>
      <sheetData sheetId="0" refreshError="1"/>
      <sheetData sheetId="1" refreshError="1"/>
      <sheetData sheetId="2">
        <row r="12">
          <cell r="C12">
            <v>2022</v>
          </cell>
          <cell r="D12">
            <v>2023</v>
          </cell>
          <cell r="E12">
            <v>2024</v>
          </cell>
        </row>
      </sheetData>
      <sheetData sheetId="3" refreshError="1"/>
      <sheetData sheetId="4">
        <row r="95">
          <cell r="F95">
            <v>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B7" t="str">
            <v>LIIKEVAIHTO JA KÄYTTÖPÄÄOMA/HENKILÖ</v>
          </cell>
        </row>
      </sheetData>
    </sheetDataSet>
  </externalBook>
</externalLink>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rgb="FFFFC000"/>
  </sheetPr>
  <dimension ref="A1:AG118"/>
  <sheetViews>
    <sheetView showGridLines="0" showZeros="0" zoomScaleNormal="100" workbookViewId="0">
      <selection activeCell="G35" sqref="G35:L36"/>
    </sheetView>
  </sheetViews>
  <sheetFormatPr defaultRowHeight="12.75" x14ac:dyDescent="0.2"/>
  <cols>
    <col min="1" max="1" width="8.140625" customWidth="1"/>
    <col min="4" max="4" width="10.28515625" bestFit="1" customWidth="1"/>
    <col min="5" max="5" width="14.5703125" customWidth="1"/>
    <col min="6" max="6" width="16.28515625" customWidth="1"/>
    <col min="7" max="7" width="14.140625" customWidth="1"/>
    <col min="8" max="8" width="9.140625" customWidth="1"/>
    <col min="11" max="11" width="4.28515625" customWidth="1"/>
    <col min="12" max="12" width="3.140625" customWidth="1"/>
  </cols>
  <sheetData>
    <row r="1" spans="1:32" x14ac:dyDescent="0.2">
      <c r="A1" s="409"/>
      <c r="B1" s="1653"/>
      <c r="C1" s="1648"/>
      <c r="D1" s="1648"/>
      <c r="E1" s="1648"/>
      <c r="F1" s="1648"/>
      <c r="G1" s="1648"/>
      <c r="H1" s="1648"/>
      <c r="I1" s="1648"/>
      <c r="J1" s="410"/>
      <c r="K1" s="410"/>
      <c r="L1" s="410"/>
      <c r="M1" s="410"/>
      <c r="N1" s="410"/>
      <c r="O1" s="410"/>
      <c r="P1" s="410"/>
      <c r="Q1" s="410"/>
      <c r="R1" s="410"/>
      <c r="S1" s="410"/>
      <c r="T1" s="410"/>
      <c r="U1" s="410"/>
      <c r="V1" s="410"/>
      <c r="W1" s="410"/>
      <c r="X1" s="410"/>
      <c r="Y1" s="410"/>
      <c r="Z1" s="410"/>
      <c r="AA1" s="410"/>
      <c r="AB1" s="410"/>
      <c r="AC1" s="410"/>
      <c r="AD1" s="410"/>
      <c r="AE1" s="410"/>
      <c r="AF1" s="410"/>
    </row>
    <row r="2" spans="1:32" x14ac:dyDescent="0.2">
      <c r="A2" s="411"/>
      <c r="B2" s="1648"/>
      <c r="C2" s="1648"/>
      <c r="D2" s="1648"/>
      <c r="E2" s="1648"/>
      <c r="F2" s="1648"/>
      <c r="G2" s="1648"/>
      <c r="H2" s="1648"/>
      <c r="I2" s="1648"/>
      <c r="J2" s="410"/>
      <c r="K2" s="410"/>
      <c r="L2" s="410"/>
      <c r="M2" s="410"/>
      <c r="N2" s="410"/>
      <c r="O2" s="410"/>
      <c r="P2" s="410"/>
      <c r="Q2" s="410"/>
      <c r="R2" s="410"/>
      <c r="S2" s="410"/>
      <c r="T2" s="410"/>
      <c r="U2" s="410"/>
      <c r="V2" s="410"/>
      <c r="W2" s="410"/>
      <c r="X2" s="410"/>
      <c r="Y2" s="410"/>
      <c r="Z2" s="410"/>
      <c r="AA2" s="410"/>
      <c r="AB2" s="410"/>
      <c r="AC2" s="410"/>
      <c r="AD2" s="410"/>
      <c r="AE2" s="410"/>
      <c r="AF2" s="410"/>
    </row>
    <row r="3" spans="1:32" x14ac:dyDescent="0.2">
      <c r="A3" s="412"/>
      <c r="B3" s="1648"/>
      <c r="C3" s="1648"/>
      <c r="D3" s="1648"/>
      <c r="E3" s="1648"/>
      <c r="F3" s="1648"/>
      <c r="G3" s="1648"/>
      <c r="H3" s="1648"/>
      <c r="I3" s="1648"/>
      <c r="J3" s="410"/>
      <c r="K3" s="410"/>
      <c r="L3" s="410"/>
      <c r="M3" s="410"/>
      <c r="N3" s="410"/>
      <c r="O3" s="410"/>
      <c r="P3" s="410"/>
      <c r="Q3" s="410"/>
      <c r="R3" s="410"/>
      <c r="S3" s="410"/>
      <c r="T3" s="410"/>
      <c r="U3" s="410"/>
      <c r="V3" s="410"/>
      <c r="W3" s="410"/>
      <c r="X3" s="410"/>
      <c r="Y3" s="410"/>
      <c r="Z3" s="410"/>
      <c r="AA3" s="410"/>
      <c r="AB3" s="410"/>
      <c r="AC3" s="410"/>
      <c r="AD3" s="410"/>
      <c r="AE3" s="410"/>
      <c r="AF3" s="410"/>
    </row>
    <row r="4" spans="1:32" ht="10.5" customHeight="1" x14ac:dyDescent="0.2">
      <c r="A4" s="413"/>
      <c r="B4" s="414"/>
      <c r="C4" s="414"/>
      <c r="D4" s="414"/>
      <c r="E4" s="414"/>
      <c r="F4" s="414"/>
      <c r="G4" s="414"/>
      <c r="H4" s="415"/>
      <c r="N4" s="410"/>
      <c r="O4" s="410"/>
      <c r="P4" s="410"/>
      <c r="Q4" s="410"/>
      <c r="R4" s="410"/>
      <c r="S4" s="410"/>
      <c r="T4" s="410"/>
      <c r="U4" s="410"/>
      <c r="V4" s="410"/>
      <c r="W4" s="410"/>
      <c r="X4" s="410"/>
      <c r="Y4" s="410"/>
      <c r="Z4" s="410"/>
      <c r="AA4" s="410"/>
      <c r="AB4" s="410"/>
      <c r="AC4" s="410"/>
      <c r="AD4" s="410"/>
      <c r="AE4" s="410"/>
      <c r="AF4" s="410"/>
    </row>
    <row r="5" spans="1:32" ht="16.5" customHeight="1" x14ac:dyDescent="0.25">
      <c r="A5" s="413"/>
      <c r="B5" s="416"/>
      <c r="C5" s="414"/>
      <c r="D5" s="414"/>
      <c r="E5" s="414"/>
      <c r="F5" s="414"/>
      <c r="G5" s="414"/>
      <c r="H5" s="415"/>
      <c r="N5" s="293"/>
      <c r="O5" s="410"/>
      <c r="P5" s="410"/>
      <c r="Q5" s="410"/>
      <c r="R5" s="410"/>
      <c r="S5" s="410"/>
      <c r="T5" s="410"/>
      <c r="U5" s="410"/>
      <c r="V5" s="410"/>
      <c r="W5" s="410"/>
      <c r="X5" s="410"/>
      <c r="Y5" s="410"/>
      <c r="Z5" s="410"/>
      <c r="AA5" s="410"/>
      <c r="AB5" s="410"/>
      <c r="AC5" s="410"/>
      <c r="AD5" s="410"/>
      <c r="AE5" s="410"/>
      <c r="AF5" s="410"/>
    </row>
    <row r="6" spans="1:32" ht="10.5" customHeight="1" x14ac:dyDescent="0.25">
      <c r="A6" s="410"/>
      <c r="B6" s="410"/>
      <c r="C6" s="417"/>
      <c r="D6" s="417"/>
      <c r="E6" s="417"/>
      <c r="F6" s="417"/>
      <c r="G6" s="417"/>
      <c r="H6" s="417"/>
      <c r="N6" s="410"/>
      <c r="O6" s="410"/>
      <c r="P6" s="410"/>
      <c r="Q6" s="410"/>
      <c r="R6" s="410"/>
      <c r="S6" s="410"/>
      <c r="T6" s="410"/>
      <c r="U6" s="410"/>
      <c r="V6" s="410"/>
      <c r="W6" s="410"/>
      <c r="X6" s="410"/>
      <c r="Y6" s="410"/>
      <c r="Z6" s="410"/>
      <c r="AA6" s="410"/>
      <c r="AB6" s="410"/>
      <c r="AC6" s="410"/>
      <c r="AD6" s="410"/>
      <c r="AE6" s="410"/>
      <c r="AF6" s="410"/>
    </row>
    <row r="7" spans="1:32" x14ac:dyDescent="0.2">
      <c r="A7" s="410"/>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row>
    <row r="8" spans="1:32" x14ac:dyDescent="0.2">
      <c r="A8" s="410"/>
      <c r="B8" s="410"/>
      <c r="C8" s="410"/>
      <c r="D8" s="418"/>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row>
    <row r="9" spans="1:32" x14ac:dyDescent="0.2">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row>
    <row r="10" spans="1:32" ht="15.75" x14ac:dyDescent="0.25">
      <c r="A10" s="410"/>
      <c r="B10" s="1649"/>
      <c r="C10" s="1649"/>
      <c r="D10" s="1649"/>
      <c r="E10" s="410"/>
      <c r="F10" s="410"/>
      <c r="G10" s="1649"/>
      <c r="H10" s="1649"/>
      <c r="I10" s="1649"/>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row>
    <row r="11" spans="1:32" ht="15.75" x14ac:dyDescent="0.25">
      <c r="A11" s="410"/>
      <c r="B11" s="1652"/>
      <c r="C11" s="1652"/>
      <c r="D11" s="1652"/>
      <c r="E11" s="410"/>
      <c r="F11" s="410"/>
      <c r="G11" s="1651"/>
      <c r="H11" s="1651"/>
      <c r="I11" s="1651"/>
      <c r="J11" s="410"/>
      <c r="K11" s="410"/>
      <c r="L11" s="410"/>
      <c r="M11" s="410"/>
      <c r="N11" s="410"/>
      <c r="O11" s="410"/>
      <c r="P11" s="410"/>
      <c r="Q11" s="410"/>
      <c r="R11" s="410"/>
      <c r="S11" s="410"/>
      <c r="T11" s="410"/>
      <c r="U11" s="410"/>
      <c r="V11" s="410"/>
      <c r="W11" s="410"/>
      <c r="X11" s="410"/>
      <c r="Y11" s="410"/>
      <c r="Z11" s="410"/>
      <c r="AA11" s="410"/>
      <c r="AB11" s="410"/>
      <c r="AC11" s="410"/>
      <c r="AD11" s="410"/>
      <c r="AE11" s="410"/>
      <c r="AF11" s="410"/>
    </row>
    <row r="12" spans="1:32" ht="15.75" x14ac:dyDescent="0.25">
      <c r="A12" s="410"/>
      <c r="B12" s="1652"/>
      <c r="C12" s="1652"/>
      <c r="D12" s="1652"/>
      <c r="E12" s="410"/>
      <c r="F12" s="410"/>
      <c r="G12" s="1651"/>
      <c r="H12" s="1651"/>
      <c r="I12" s="1651"/>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row>
    <row r="13" spans="1:32" ht="15.75" x14ac:dyDescent="0.25">
      <c r="A13" s="410"/>
      <c r="B13" s="1652" t="s">
        <v>0</v>
      </c>
      <c r="C13" s="1652"/>
      <c r="D13" s="1652"/>
      <c r="E13" s="410"/>
      <c r="F13" s="410"/>
      <c r="G13" s="1651"/>
      <c r="H13" s="1651"/>
      <c r="I13" s="1651"/>
      <c r="J13" s="410"/>
      <c r="K13" s="410"/>
      <c r="L13" s="410"/>
      <c r="M13" s="410"/>
      <c r="N13" s="410"/>
      <c r="O13" s="410"/>
      <c r="P13" s="410"/>
      <c r="Q13" s="410"/>
      <c r="R13" s="410"/>
      <c r="S13" s="410"/>
      <c r="T13" s="410"/>
      <c r="U13" s="410"/>
      <c r="V13" s="410"/>
      <c r="W13" s="410"/>
      <c r="X13" s="410"/>
      <c r="Y13" s="410"/>
      <c r="Z13" s="410"/>
      <c r="AA13" s="410"/>
      <c r="AB13" s="410"/>
      <c r="AC13" s="410"/>
      <c r="AD13" s="410"/>
      <c r="AE13" s="410"/>
      <c r="AF13" s="410"/>
    </row>
    <row r="14" spans="1:32" ht="16.5" customHeight="1" x14ac:dyDescent="0.2">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row>
    <row r="15" spans="1:32" ht="15" customHeight="1" x14ac:dyDescent="0.2">
      <c r="A15" s="410"/>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row>
    <row r="16" spans="1:32" ht="34.5" customHeight="1" x14ac:dyDescent="0.2">
      <c r="A16" s="410"/>
      <c r="B16" s="410"/>
      <c r="C16" s="410"/>
      <c r="D16" s="410"/>
      <c r="E16" s="410"/>
      <c r="F16" s="410"/>
      <c r="G16" s="410"/>
      <c r="H16" s="410"/>
      <c r="I16" s="410"/>
      <c r="J16" s="410"/>
      <c r="K16" s="410"/>
      <c r="L16" s="410"/>
      <c r="M16" s="410"/>
      <c r="N16" s="410"/>
      <c r="O16" s="410"/>
      <c r="P16" s="410"/>
      <c r="Q16" s="410"/>
      <c r="R16" s="410"/>
      <c r="S16" s="410"/>
      <c r="T16" s="410"/>
      <c r="U16" s="410"/>
      <c r="V16" s="410"/>
      <c r="W16" s="410"/>
      <c r="X16" s="410"/>
      <c r="Y16" s="410"/>
      <c r="Z16" s="410"/>
      <c r="AA16" s="410"/>
      <c r="AB16" s="410"/>
      <c r="AC16" s="410"/>
      <c r="AD16" s="410"/>
      <c r="AE16" s="410"/>
      <c r="AF16" s="410"/>
    </row>
    <row r="17" spans="1:32" x14ac:dyDescent="0.2">
      <c r="A17" s="410"/>
      <c r="B17" s="410"/>
      <c r="C17" s="410"/>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row>
    <row r="18" spans="1:32" x14ac:dyDescent="0.2">
      <c r="A18" s="410"/>
      <c r="B18" s="410"/>
      <c r="C18" s="410"/>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row>
    <row r="19" spans="1:32" x14ac:dyDescent="0.2">
      <c r="A19" s="410"/>
      <c r="B19" s="410"/>
      <c r="C19" s="410"/>
      <c r="D19" s="410"/>
      <c r="E19" s="410"/>
      <c r="F19" s="410"/>
      <c r="G19" s="410"/>
      <c r="H19" s="410"/>
      <c r="I19" s="410"/>
      <c r="J19" s="410"/>
      <c r="K19" s="410"/>
      <c r="L19" s="410"/>
      <c r="M19" s="410"/>
      <c r="N19" s="410"/>
      <c r="O19" s="410"/>
      <c r="P19" s="410"/>
      <c r="Q19" s="410"/>
      <c r="R19" s="410"/>
      <c r="S19" s="410"/>
      <c r="T19" s="410"/>
      <c r="U19" s="410"/>
      <c r="V19" s="410"/>
      <c r="W19" s="410"/>
      <c r="X19" s="410"/>
      <c r="Y19" s="410"/>
      <c r="Z19" s="410"/>
      <c r="AA19" s="410"/>
      <c r="AB19" s="410"/>
      <c r="AC19" s="410"/>
      <c r="AD19" s="410"/>
      <c r="AE19" s="410"/>
      <c r="AF19" s="410"/>
    </row>
    <row r="20" spans="1:32" x14ac:dyDescent="0.2">
      <c r="A20" s="410"/>
      <c r="B20" s="410"/>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0"/>
      <c r="AF20" s="410"/>
    </row>
    <row r="21" spans="1:32" ht="12" customHeight="1" x14ac:dyDescent="0.2">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row>
    <row r="22" spans="1:32" ht="12.75" customHeight="1" x14ac:dyDescent="0.2">
      <c r="A22" s="410"/>
      <c r="B22" s="419"/>
      <c r="C22" s="419"/>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row>
    <row r="23" spans="1:32" ht="15.75" x14ac:dyDescent="0.25">
      <c r="A23" s="410"/>
      <c r="B23" s="1647" t="s">
        <v>0</v>
      </c>
      <c r="C23" s="1647"/>
      <c r="D23" s="1647"/>
      <c r="E23" s="410"/>
      <c r="F23" s="410"/>
      <c r="G23" s="1647"/>
      <c r="H23" s="1647"/>
      <c r="I23" s="1647"/>
      <c r="J23" s="410"/>
      <c r="K23" s="410"/>
      <c r="L23" s="410"/>
      <c r="M23" s="410"/>
      <c r="N23" s="410"/>
      <c r="O23" s="410"/>
      <c r="P23" s="410"/>
      <c r="Q23" s="410"/>
      <c r="R23" s="410"/>
      <c r="S23" s="410"/>
      <c r="T23" s="410"/>
      <c r="U23" s="410"/>
      <c r="V23" s="410"/>
      <c r="W23" s="410"/>
      <c r="X23" s="410"/>
      <c r="Y23" s="410"/>
      <c r="Z23" s="410"/>
      <c r="AA23" s="410"/>
      <c r="AB23" s="410"/>
      <c r="AC23" s="410"/>
      <c r="AD23" s="410"/>
      <c r="AE23" s="410"/>
      <c r="AF23" s="410"/>
    </row>
    <row r="24" spans="1:32" x14ac:dyDescent="0.2">
      <c r="A24" s="410"/>
      <c r="B24" s="1648"/>
      <c r="C24" s="1648"/>
      <c r="D24" s="1648"/>
      <c r="E24" s="410"/>
      <c r="F24" s="410"/>
      <c r="G24" s="1648"/>
      <c r="H24" s="1648"/>
      <c r="I24" s="1648"/>
      <c r="J24" s="410"/>
      <c r="K24" s="410"/>
      <c r="L24" s="410"/>
      <c r="M24" s="410"/>
      <c r="N24" s="410"/>
      <c r="O24" s="410"/>
      <c r="P24" s="410"/>
      <c r="Q24" s="410"/>
      <c r="R24" s="1037"/>
      <c r="S24" s="410"/>
      <c r="T24" s="410"/>
      <c r="U24" s="410"/>
      <c r="V24" s="410"/>
      <c r="W24" s="410"/>
      <c r="X24" s="410"/>
      <c r="Y24" s="410"/>
      <c r="Z24" s="410"/>
      <c r="AA24" s="410"/>
      <c r="AB24" s="410"/>
      <c r="AC24" s="410"/>
      <c r="AD24" s="410"/>
      <c r="AE24" s="410"/>
      <c r="AF24" s="410"/>
    </row>
    <row r="25" spans="1:32" ht="15.75" x14ac:dyDescent="0.25">
      <c r="A25" s="410"/>
      <c r="B25" s="1647"/>
      <c r="C25" s="1647"/>
      <c r="D25" s="1647"/>
      <c r="E25" s="410"/>
      <c r="F25" s="410"/>
      <c r="G25" s="1647"/>
      <c r="H25" s="1647"/>
      <c r="I25" s="1647"/>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row>
    <row r="26" spans="1:32" x14ac:dyDescent="0.2">
      <c r="A26" s="410"/>
      <c r="B26" s="410"/>
      <c r="C26" s="410"/>
      <c r="D26" s="410"/>
      <c r="E26" s="410"/>
      <c r="F26" s="410"/>
      <c r="G26" s="410"/>
      <c r="H26" s="410"/>
      <c r="I26" s="410"/>
      <c r="J26" s="410"/>
      <c r="K26" s="410"/>
      <c r="L26" s="410"/>
      <c r="M26" s="410"/>
      <c r="N26" s="410"/>
      <c r="O26" s="410"/>
      <c r="P26" s="410"/>
      <c r="Q26" s="410"/>
      <c r="R26" s="410"/>
      <c r="S26" s="410"/>
      <c r="T26" s="410"/>
      <c r="U26" s="410"/>
      <c r="V26" s="410"/>
      <c r="W26" s="410"/>
      <c r="X26" s="410"/>
      <c r="Y26" s="410"/>
      <c r="Z26" s="410"/>
      <c r="AA26" s="410"/>
      <c r="AB26" s="410"/>
      <c r="AC26" s="410"/>
      <c r="AD26" s="410"/>
      <c r="AE26" s="410"/>
      <c r="AF26" s="410"/>
    </row>
    <row r="27" spans="1:32" x14ac:dyDescent="0.2">
      <c r="A27" s="410"/>
      <c r="B27" s="410"/>
      <c r="C27" s="410"/>
      <c r="D27" s="410"/>
      <c r="E27" s="410"/>
      <c r="F27" s="410"/>
      <c r="G27" s="419"/>
      <c r="H27" s="419"/>
      <c r="I27" s="410"/>
      <c r="J27" s="410"/>
      <c r="K27" s="410"/>
      <c r="L27" s="410"/>
      <c r="M27" s="410"/>
      <c r="N27" s="410"/>
      <c r="O27" s="410"/>
      <c r="P27" s="410" t="s">
        <v>0</v>
      </c>
      <c r="Q27" s="410"/>
      <c r="R27" s="410"/>
      <c r="S27" s="410"/>
      <c r="T27" s="410"/>
      <c r="U27" s="410"/>
      <c r="V27" s="410"/>
      <c r="W27" s="410"/>
      <c r="X27" s="410"/>
      <c r="Y27" s="410"/>
      <c r="Z27" s="410"/>
      <c r="AA27" s="410"/>
      <c r="AB27" s="410"/>
      <c r="AC27" s="410"/>
      <c r="AD27" s="410"/>
      <c r="AE27" s="410"/>
      <c r="AF27" s="410"/>
    </row>
    <row r="28" spans="1:32" ht="9.75" customHeight="1" x14ac:dyDescent="0.2">
      <c r="A28" s="410"/>
      <c r="B28" s="410"/>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row>
    <row r="29" spans="1:32" ht="9.75" customHeight="1" x14ac:dyDescent="0.2">
      <c r="A29" s="410"/>
      <c r="B29" s="410"/>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row>
    <row r="30" spans="1:32" ht="9" customHeight="1" x14ac:dyDescent="0.25">
      <c r="A30" s="410"/>
      <c r="B30" s="1647" t="s">
        <v>0</v>
      </c>
      <c r="C30" s="1647"/>
      <c r="D30" s="1647"/>
      <c r="E30" s="410"/>
      <c r="F30" s="410"/>
      <c r="G30" s="1647"/>
      <c r="H30" s="1647"/>
      <c r="I30" s="1647"/>
      <c r="J30" s="410"/>
      <c r="K30" s="410"/>
      <c r="L30" s="410"/>
      <c r="M30" s="410"/>
      <c r="N30" s="410"/>
      <c r="O30" s="410"/>
      <c r="P30" s="410"/>
      <c r="Q30" s="410"/>
      <c r="R30" s="410"/>
      <c r="S30" s="410"/>
      <c r="T30" s="410"/>
      <c r="U30" s="410"/>
      <c r="V30" s="410"/>
      <c r="W30" s="410"/>
      <c r="X30" s="410"/>
      <c r="Y30" s="410"/>
      <c r="Z30" s="410"/>
      <c r="AA30" s="410"/>
      <c r="AB30" s="410"/>
      <c r="AC30" s="410"/>
      <c r="AD30" s="410"/>
      <c r="AE30" s="410"/>
      <c r="AF30" s="410"/>
    </row>
    <row r="31" spans="1:32" ht="6" customHeight="1" x14ac:dyDescent="0.25">
      <c r="A31" s="410"/>
      <c r="B31" s="1648"/>
      <c r="C31" s="1648"/>
      <c r="D31" s="1648"/>
      <c r="E31" s="410"/>
      <c r="F31" s="410"/>
      <c r="G31" s="1650"/>
      <c r="H31" s="1650"/>
      <c r="I31" s="1650"/>
      <c r="J31" s="410"/>
      <c r="K31" s="410"/>
      <c r="L31" s="410"/>
      <c r="M31" s="410"/>
      <c r="N31" s="410"/>
      <c r="O31" s="410"/>
      <c r="P31" s="410"/>
      <c r="Q31" s="450" t="s">
        <v>0</v>
      </c>
      <c r="R31" s="410"/>
      <c r="S31" s="410"/>
      <c r="T31" s="410"/>
      <c r="U31" s="410"/>
      <c r="V31" s="410"/>
      <c r="W31" s="410"/>
      <c r="X31" s="410"/>
      <c r="Y31" s="410"/>
      <c r="Z31" s="410"/>
      <c r="AA31" s="410"/>
      <c r="AB31" s="410"/>
      <c r="AC31" s="410"/>
      <c r="AD31" s="410"/>
      <c r="AE31" s="410"/>
      <c r="AF31" s="410"/>
    </row>
    <row r="32" spans="1:32" ht="7.5" customHeight="1" x14ac:dyDescent="0.2">
      <c r="A32" s="410"/>
      <c r="B32" s="419"/>
      <c r="C32" s="410"/>
      <c r="D32" s="410"/>
      <c r="E32" s="410"/>
      <c r="F32" s="410"/>
      <c r="G32" s="419"/>
      <c r="H32" s="419"/>
      <c r="I32" s="410"/>
      <c r="J32" s="410"/>
      <c r="K32" s="410"/>
      <c r="L32" s="410"/>
      <c r="M32" s="410"/>
      <c r="N32" s="410"/>
      <c r="O32" s="410"/>
      <c r="P32" s="410"/>
      <c r="Q32" s="410"/>
      <c r="R32" s="410"/>
      <c r="S32" s="410"/>
      <c r="T32" s="410"/>
      <c r="U32" s="410"/>
      <c r="V32" s="410"/>
      <c r="W32" s="410"/>
      <c r="X32" s="410"/>
      <c r="Y32" s="410"/>
      <c r="Z32" s="410"/>
      <c r="AA32" s="410"/>
      <c r="AB32" s="410"/>
      <c r="AC32" s="410"/>
      <c r="AD32" s="410"/>
      <c r="AE32" s="410"/>
      <c r="AF32" s="410"/>
    </row>
    <row r="33" spans="1:33" ht="12.75" customHeight="1" x14ac:dyDescent="0.25">
      <c r="A33" s="410"/>
      <c r="B33" s="416"/>
      <c r="C33" s="416"/>
      <c r="D33" s="449"/>
      <c r="E33" s="410"/>
      <c r="F33" s="410"/>
      <c r="G33" s="1649"/>
      <c r="H33" s="1649"/>
      <c r="I33" s="1649"/>
      <c r="J33" s="615"/>
      <c r="K33" s="410"/>
      <c r="L33" s="410"/>
      <c r="M33" s="410"/>
      <c r="N33" s="410"/>
      <c r="O33" s="410"/>
      <c r="P33" s="410"/>
      <c r="Q33" s="410"/>
      <c r="R33" s="410"/>
      <c r="S33" s="410"/>
      <c r="T33" s="410"/>
      <c r="U33" s="410"/>
      <c r="V33" s="410"/>
      <c r="W33" s="410"/>
      <c r="X33" s="410"/>
      <c r="Y33" s="410"/>
      <c r="Z33" s="410"/>
      <c r="AA33" s="410"/>
      <c r="AB33" s="410"/>
      <c r="AC33" s="410"/>
      <c r="AD33" s="410"/>
      <c r="AE33" s="410"/>
      <c r="AF33" s="410"/>
    </row>
    <row r="34" spans="1:33" x14ac:dyDescent="0.2">
      <c r="A34" s="410"/>
      <c r="B34" s="439" t="s">
        <v>0</v>
      </c>
      <c r="C34" s="439"/>
      <c r="G34" s="788"/>
      <c r="H34" s="788"/>
      <c r="I34" s="1646" t="s">
        <v>798</v>
      </c>
      <c r="J34" s="1646"/>
      <c r="K34" s="1646"/>
      <c r="L34" s="1646"/>
      <c r="M34" s="618"/>
      <c r="N34" s="618"/>
      <c r="O34" s="410"/>
      <c r="P34" s="410"/>
      <c r="Q34" s="410"/>
      <c r="R34" s="410"/>
      <c r="S34" s="410"/>
      <c r="T34" s="410"/>
      <c r="U34" s="410"/>
      <c r="V34" s="410"/>
      <c r="W34" s="410"/>
      <c r="X34" s="410"/>
      <c r="Y34" s="410"/>
      <c r="Z34" s="410"/>
      <c r="AA34" s="410"/>
      <c r="AB34" s="410"/>
      <c r="AC34" s="410"/>
      <c r="AD34" s="410"/>
      <c r="AE34" s="410"/>
      <c r="AF34" s="410"/>
    </row>
    <row r="35" spans="1:33" ht="24.75" customHeight="1" x14ac:dyDescent="0.2">
      <c r="A35" s="450"/>
      <c r="B35" s="1656" t="s">
        <v>852</v>
      </c>
      <c r="C35" s="1657"/>
      <c r="D35" s="1657"/>
      <c r="G35" s="1658" t="s">
        <v>796</v>
      </c>
      <c r="H35" s="1658"/>
      <c r="I35" s="1658"/>
      <c r="J35" s="1658"/>
      <c r="K35" s="1658"/>
      <c r="L35" s="1658"/>
      <c r="M35" s="293"/>
      <c r="N35" s="293"/>
      <c r="O35" s="410"/>
      <c r="P35" s="410"/>
      <c r="Q35" s="410"/>
      <c r="R35" s="410"/>
      <c r="S35" s="410"/>
      <c r="T35" s="410"/>
      <c r="U35" s="410"/>
      <c r="V35" s="410"/>
      <c r="W35" s="410"/>
      <c r="X35" s="410"/>
      <c r="Y35" s="410"/>
      <c r="Z35" s="410"/>
      <c r="AA35" s="410"/>
      <c r="AB35" s="410"/>
      <c r="AC35" s="410"/>
      <c r="AD35" s="410"/>
      <c r="AE35" s="410"/>
      <c r="AF35" s="410"/>
    </row>
    <row r="36" spans="1:33" ht="12.75" customHeight="1" x14ac:dyDescent="0.2">
      <c r="A36" s="410"/>
      <c r="B36" s="1654"/>
      <c r="C36" s="1654"/>
      <c r="D36" s="1654"/>
      <c r="E36" s="410"/>
      <c r="F36" s="410"/>
      <c r="G36" s="1658"/>
      <c r="H36" s="1658"/>
      <c r="I36" s="1658"/>
      <c r="J36" s="1658"/>
      <c r="K36" s="1658"/>
      <c r="L36" s="1658"/>
      <c r="M36" s="410"/>
      <c r="N36" s="410"/>
      <c r="O36" s="410"/>
      <c r="P36" s="410"/>
      <c r="Q36" s="410"/>
      <c r="R36" s="410"/>
      <c r="S36" s="410"/>
      <c r="T36" s="410"/>
      <c r="U36" s="410"/>
      <c r="V36" s="410"/>
      <c r="W36" s="410"/>
      <c r="X36" s="410"/>
      <c r="Y36" s="410"/>
      <c r="Z36" s="410"/>
      <c r="AA36" s="410"/>
      <c r="AB36" s="410"/>
      <c r="AC36" s="410"/>
      <c r="AD36" s="410"/>
      <c r="AE36" s="410"/>
      <c r="AF36" s="410"/>
    </row>
    <row r="37" spans="1:33" x14ac:dyDescent="0.2">
      <c r="A37" s="410"/>
      <c r="B37" s="1654"/>
      <c r="C37" s="1654"/>
      <c r="D37" s="1654"/>
      <c r="E37" s="410"/>
      <c r="F37" s="410"/>
      <c r="G37" s="1655"/>
      <c r="H37" s="1655"/>
      <c r="I37" s="1655"/>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row>
    <row r="38" spans="1:33" ht="18" customHeight="1" x14ac:dyDescent="0.2">
      <c r="A38" s="410"/>
      <c r="B38" s="410"/>
      <c r="C38" s="420"/>
      <c r="D38" s="410"/>
      <c r="E38" s="410"/>
      <c r="F38" s="410"/>
      <c r="G38" s="410"/>
      <c r="H38" s="410"/>
      <c r="I38" s="410"/>
      <c r="J38" s="410"/>
      <c r="K38" s="410"/>
      <c r="L38" s="410"/>
      <c r="M38" s="410"/>
      <c r="N38" s="410"/>
      <c r="O38" s="410"/>
      <c r="P38" s="410"/>
      <c r="Q38" s="410"/>
      <c r="R38" s="410"/>
      <c r="S38" s="410"/>
      <c r="T38" s="410"/>
      <c r="U38" s="410"/>
      <c r="V38" s="410"/>
      <c r="W38" s="410"/>
      <c r="X38" s="410"/>
      <c r="Y38" s="410"/>
      <c r="Z38" s="410"/>
      <c r="AA38" s="410"/>
      <c r="AB38" s="410"/>
      <c r="AC38" s="410"/>
      <c r="AD38" s="410"/>
      <c r="AE38" s="410"/>
      <c r="AF38" s="410"/>
    </row>
    <row r="39" spans="1:33" x14ac:dyDescent="0.2">
      <c r="A39" s="410"/>
      <c r="B39" s="421"/>
      <c r="C39" s="410"/>
      <c r="D39" s="410"/>
      <c r="E39" s="410"/>
      <c r="F39" s="410"/>
      <c r="G39" s="410"/>
      <c r="H39" s="410"/>
      <c r="I39" s="410"/>
      <c r="O39" s="410"/>
      <c r="P39" s="410"/>
      <c r="Q39" s="410"/>
      <c r="R39" s="410"/>
      <c r="S39" s="410"/>
      <c r="T39" s="410"/>
      <c r="U39" s="410"/>
      <c r="V39" s="410"/>
      <c r="W39" s="410"/>
      <c r="X39" s="410"/>
      <c r="Y39" s="410"/>
      <c r="Z39" s="410"/>
      <c r="AA39" s="410"/>
      <c r="AB39" s="410"/>
      <c r="AC39" s="410"/>
      <c r="AD39" s="410"/>
      <c r="AE39" s="410"/>
      <c r="AF39" s="410"/>
      <c r="AG39" s="410"/>
    </row>
    <row r="40" spans="1:33" x14ac:dyDescent="0.2">
      <c r="A40" s="410"/>
      <c r="B40" s="410"/>
      <c r="C40" s="410"/>
      <c r="D40" s="410"/>
      <c r="E40" s="410"/>
      <c r="F40" s="410"/>
      <c r="G40" s="410"/>
      <c r="H40" s="410"/>
      <c r="I40" s="410"/>
      <c r="O40" s="410"/>
      <c r="P40" s="410"/>
      <c r="Q40" s="410"/>
      <c r="R40" s="410"/>
      <c r="S40" s="410"/>
      <c r="T40" s="410"/>
      <c r="U40" s="410"/>
      <c r="V40" s="410"/>
      <c r="W40" s="410"/>
      <c r="X40" s="410"/>
      <c r="Y40" s="410"/>
      <c r="Z40" s="410"/>
      <c r="AA40" s="410"/>
      <c r="AB40" s="410"/>
      <c r="AC40" s="410"/>
      <c r="AD40" s="410"/>
      <c r="AE40" s="410"/>
      <c r="AF40" s="410"/>
      <c r="AG40" s="410"/>
    </row>
    <row r="41" spans="1:33" x14ac:dyDescent="0.2">
      <c r="A41" s="410"/>
      <c r="B41" s="410"/>
      <c r="C41" s="410"/>
      <c r="D41" s="410"/>
      <c r="E41" s="410"/>
      <c r="F41" s="410"/>
      <c r="G41" s="410"/>
      <c r="H41" s="410"/>
      <c r="I41" s="410"/>
      <c r="O41" s="410"/>
      <c r="P41" s="410"/>
      <c r="Q41" s="410"/>
      <c r="R41" s="410"/>
      <c r="S41" s="410"/>
      <c r="T41" s="410"/>
      <c r="U41" s="410"/>
      <c r="V41" s="410"/>
      <c r="W41" s="410"/>
      <c r="X41" s="410"/>
      <c r="Y41" s="410"/>
      <c r="Z41" s="410"/>
      <c r="AA41" s="410"/>
      <c r="AB41" s="410"/>
      <c r="AC41" s="410"/>
      <c r="AD41" s="410"/>
      <c r="AE41" s="410"/>
      <c r="AF41" s="410"/>
      <c r="AG41" s="410"/>
    </row>
    <row r="42" spans="1:33" x14ac:dyDescent="0.2">
      <c r="A42" s="410"/>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x14ac:dyDescent="0.2">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x14ac:dyDescent="0.2">
      <c r="A44" s="410"/>
      <c r="B44" s="410"/>
      <c r="C44" s="410"/>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x14ac:dyDescent="0.2">
      <c r="A45" s="410"/>
      <c r="B45" s="410"/>
      <c r="C45" s="410"/>
      <c r="D45" s="410"/>
      <c r="E45" s="410"/>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x14ac:dyDescent="0.2">
      <c r="A46" s="410"/>
      <c r="B46" s="410"/>
      <c r="C46" s="410"/>
      <c r="D46" s="410"/>
      <c r="E46" s="410"/>
      <c r="F46" s="410"/>
      <c r="G46" s="410"/>
      <c r="H46" s="410"/>
      <c r="I46" s="410"/>
      <c r="J46" s="410"/>
      <c r="K46" s="410"/>
      <c r="L46" s="410"/>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x14ac:dyDescent="0.2">
      <c r="A47" s="410"/>
      <c r="B47" s="410"/>
      <c r="C47" s="410"/>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row>
    <row r="48" spans="1:33" x14ac:dyDescent="0.2">
      <c r="A48" s="410"/>
      <c r="B48" s="410"/>
      <c r="C48" s="410"/>
      <c r="D48" s="410"/>
      <c r="E48" s="410"/>
      <c r="F48" s="410"/>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row>
    <row r="49" spans="1:33" x14ac:dyDescent="0.2">
      <c r="A49" s="410"/>
      <c r="B49" s="410"/>
      <c r="C49" s="410"/>
      <c r="D49" s="410"/>
      <c r="E49" s="410"/>
      <c r="F49" s="410"/>
      <c r="G49" s="410"/>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row>
    <row r="50" spans="1:33" x14ac:dyDescent="0.2">
      <c r="A50" s="410"/>
      <c r="B50" s="410"/>
      <c r="C50" s="410"/>
      <c r="D50" s="410"/>
      <c r="E50" s="410"/>
      <c r="F50" s="410"/>
      <c r="G50" s="410"/>
      <c r="H50" s="410"/>
      <c r="I50" s="410"/>
      <c r="J50" s="410"/>
      <c r="K50" s="410"/>
      <c r="L50" s="410"/>
      <c r="M50" s="410"/>
      <c r="N50" s="410"/>
      <c r="O50" s="410"/>
      <c r="P50" s="410"/>
      <c r="Q50" s="410"/>
      <c r="R50" s="410"/>
      <c r="S50" s="410"/>
      <c r="T50" s="410"/>
      <c r="U50" s="410"/>
      <c r="V50" s="410"/>
      <c r="W50" s="410"/>
      <c r="X50" s="410"/>
      <c r="Y50" s="410"/>
      <c r="Z50" s="410"/>
      <c r="AA50" s="410"/>
      <c r="AB50" s="410"/>
      <c r="AC50" s="410"/>
      <c r="AD50" s="410"/>
      <c r="AE50" s="410"/>
      <c r="AF50" s="410"/>
      <c r="AG50" s="410"/>
    </row>
    <row r="51" spans="1:33" x14ac:dyDescent="0.2">
      <c r="A51" s="410"/>
      <c r="B51" s="410"/>
      <c r="C51" s="410"/>
      <c r="D51" s="410"/>
      <c r="E51" s="410"/>
      <c r="F51" s="410"/>
      <c r="G51" s="410"/>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row>
    <row r="52" spans="1:33" x14ac:dyDescent="0.2">
      <c r="A52" s="410"/>
      <c r="B52" s="410"/>
      <c r="C52" s="410"/>
      <c r="D52" s="410"/>
      <c r="E52" s="410"/>
      <c r="F52" s="410"/>
      <c r="G52" s="410"/>
      <c r="H52" s="410"/>
      <c r="I52" s="410"/>
      <c r="J52" s="410"/>
      <c r="K52" s="410"/>
      <c r="L52" s="410"/>
      <c r="M52" s="410"/>
      <c r="N52" s="410"/>
      <c r="O52" s="410"/>
      <c r="P52" s="410"/>
      <c r="Q52" s="410"/>
      <c r="R52" s="410"/>
      <c r="S52" s="410"/>
      <c r="T52" s="410"/>
      <c r="U52" s="410"/>
      <c r="V52" s="410"/>
      <c r="W52" s="410"/>
      <c r="X52" s="410"/>
      <c r="Y52" s="410"/>
      <c r="Z52" s="410"/>
      <c r="AA52" s="410"/>
      <c r="AB52" s="410"/>
      <c r="AC52" s="410"/>
      <c r="AD52" s="410"/>
      <c r="AE52" s="410"/>
      <c r="AF52" s="410"/>
      <c r="AG52" s="410"/>
    </row>
    <row r="53" spans="1:33" x14ac:dyDescent="0.2">
      <c r="A53" s="410"/>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row>
    <row r="54" spans="1:33" x14ac:dyDescent="0.2">
      <c r="A54" s="410"/>
      <c r="B54" s="410"/>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row>
    <row r="55" spans="1:33" x14ac:dyDescent="0.2">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row>
    <row r="56" spans="1:33" x14ac:dyDescent="0.2">
      <c r="A56" s="410"/>
      <c r="B56" s="410"/>
      <c r="C56" s="410"/>
      <c r="D56" s="410"/>
      <c r="E56" s="410"/>
      <c r="F56" s="410"/>
      <c r="G56" s="410"/>
      <c r="H56" s="410"/>
      <c r="I56" s="410"/>
      <c r="J56" s="410"/>
      <c r="K56" s="410"/>
      <c r="L56" s="410"/>
      <c r="M56" s="410"/>
      <c r="N56" s="410"/>
      <c r="O56" s="410"/>
      <c r="P56" s="410"/>
      <c r="Q56" s="410"/>
      <c r="R56" s="410"/>
      <c r="S56" s="410"/>
      <c r="T56" s="410"/>
      <c r="U56" s="410"/>
      <c r="V56" s="410"/>
      <c r="W56" s="410"/>
      <c r="X56" s="410"/>
      <c r="Y56" s="410"/>
      <c r="Z56" s="410"/>
      <c r="AA56" s="410"/>
      <c r="AB56" s="410"/>
      <c r="AC56" s="410"/>
      <c r="AD56" s="410"/>
      <c r="AE56" s="410"/>
      <c r="AF56" s="410"/>
      <c r="AG56" s="410"/>
    </row>
    <row r="57" spans="1:33" x14ac:dyDescent="0.2">
      <c r="A57" s="410"/>
      <c r="B57" s="410"/>
      <c r="C57" s="410"/>
      <c r="D57" s="422"/>
      <c r="E57" s="410"/>
      <c r="F57" s="410"/>
      <c r="G57" s="410"/>
      <c r="H57" s="410"/>
      <c r="I57" s="410"/>
      <c r="J57" s="410"/>
      <c r="K57" s="410"/>
      <c r="L57" s="410"/>
      <c r="M57" s="410"/>
      <c r="N57" s="410"/>
      <c r="O57" s="410"/>
      <c r="P57" s="410"/>
      <c r="Q57" s="410"/>
      <c r="R57" s="410"/>
      <c r="S57" s="410"/>
      <c r="T57" s="410"/>
      <c r="U57" s="410"/>
      <c r="V57" s="410"/>
      <c r="W57" s="410"/>
      <c r="X57" s="410"/>
      <c r="Y57" s="410"/>
      <c r="Z57" s="410"/>
      <c r="AA57" s="410"/>
      <c r="AB57" s="410"/>
      <c r="AC57" s="410"/>
      <c r="AD57" s="410"/>
      <c r="AE57" s="410"/>
      <c r="AF57" s="410"/>
      <c r="AG57" s="410"/>
    </row>
    <row r="58" spans="1:33" x14ac:dyDescent="0.2">
      <c r="A58" s="410"/>
      <c r="B58" s="410"/>
      <c r="C58" s="410"/>
      <c r="D58" s="410"/>
      <c r="E58" s="410"/>
      <c r="F58" s="410"/>
      <c r="G58" s="410"/>
      <c r="H58" s="410"/>
      <c r="I58" s="410"/>
      <c r="J58" s="410"/>
      <c r="K58" s="410"/>
      <c r="L58" s="410"/>
      <c r="M58" s="410"/>
      <c r="N58" s="410"/>
      <c r="O58" s="410"/>
      <c r="P58" s="410"/>
      <c r="Q58" s="410"/>
      <c r="R58" s="410"/>
      <c r="S58" s="410"/>
      <c r="T58" s="410"/>
      <c r="U58" s="410"/>
      <c r="V58" s="410"/>
      <c r="W58" s="410"/>
      <c r="X58" s="410"/>
      <c r="Y58" s="410"/>
      <c r="Z58" s="410"/>
      <c r="AA58" s="410"/>
      <c r="AB58" s="410"/>
      <c r="AC58" s="410"/>
      <c r="AD58" s="410"/>
      <c r="AE58" s="410"/>
      <c r="AF58" s="410"/>
      <c r="AG58" s="410"/>
    </row>
    <row r="59" spans="1:33" x14ac:dyDescent="0.2">
      <c r="A59" s="410"/>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row>
    <row r="60" spans="1:33" x14ac:dyDescent="0.2">
      <c r="A60" s="410"/>
      <c r="B60" s="410"/>
      <c r="C60" s="410"/>
      <c r="D60" s="410"/>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row>
    <row r="61" spans="1:33" x14ac:dyDescent="0.2">
      <c r="A61" s="410"/>
      <c r="B61" s="410"/>
      <c r="C61" s="410"/>
      <c r="D61" s="410"/>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row>
    <row r="62" spans="1:33" x14ac:dyDescent="0.2">
      <c r="A62" s="410"/>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row>
    <row r="63" spans="1:33" x14ac:dyDescent="0.2">
      <c r="A63" s="410"/>
      <c r="B63" s="410"/>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row>
    <row r="64" spans="1:33" x14ac:dyDescent="0.2">
      <c r="A64" s="410"/>
      <c r="B64" s="410"/>
      <c r="C64" s="410"/>
      <c r="D64" s="410"/>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row>
    <row r="65" spans="1:33" x14ac:dyDescent="0.2">
      <c r="A65" s="410"/>
      <c r="B65" s="410"/>
      <c r="C65" s="410"/>
      <c r="D65" s="410"/>
      <c r="E65" s="410"/>
      <c r="F65" s="410"/>
      <c r="G65" s="410"/>
      <c r="H65" s="410"/>
      <c r="I65" s="410"/>
      <c r="J65" s="410"/>
      <c r="K65" s="410"/>
      <c r="L65" s="410"/>
      <c r="M65" s="410"/>
      <c r="N65" s="410"/>
      <c r="O65" s="410"/>
      <c r="P65" s="410"/>
      <c r="Q65" s="410"/>
      <c r="R65" s="410"/>
      <c r="S65" s="410"/>
      <c r="T65" s="410"/>
      <c r="U65" s="410"/>
      <c r="V65" s="410"/>
      <c r="W65" s="410"/>
      <c r="X65" s="410"/>
      <c r="Y65" s="410"/>
      <c r="Z65" s="410"/>
      <c r="AA65" s="410"/>
      <c r="AB65" s="410"/>
      <c r="AC65" s="410"/>
      <c r="AD65" s="410"/>
      <c r="AE65" s="410"/>
      <c r="AF65" s="410"/>
      <c r="AG65" s="410"/>
    </row>
    <row r="66" spans="1:33" x14ac:dyDescent="0.2">
      <c r="A66" s="410"/>
      <c r="B66" s="410"/>
      <c r="C66" s="410"/>
      <c r="D66" s="410"/>
      <c r="E66" s="410"/>
      <c r="F66" s="410"/>
      <c r="G66" s="410"/>
      <c r="H66" s="410"/>
      <c r="I66" s="410"/>
      <c r="J66" s="410"/>
      <c r="K66" s="410"/>
      <c r="L66" s="410"/>
      <c r="M66" s="410"/>
      <c r="N66" s="410"/>
      <c r="O66" s="410"/>
      <c r="P66" s="410"/>
      <c r="Q66" s="410"/>
      <c r="R66" s="410"/>
      <c r="S66" s="410"/>
      <c r="T66" s="410"/>
      <c r="U66" s="410"/>
      <c r="V66" s="410"/>
      <c r="W66" s="410"/>
      <c r="X66" s="410"/>
      <c r="Y66" s="410"/>
      <c r="Z66" s="410"/>
      <c r="AA66" s="410"/>
      <c r="AB66" s="410"/>
      <c r="AC66" s="410"/>
      <c r="AD66" s="410"/>
      <c r="AE66" s="410"/>
      <c r="AF66" s="410"/>
      <c r="AG66" s="410"/>
    </row>
    <row r="67" spans="1:33" x14ac:dyDescent="0.2">
      <c r="A67" s="410"/>
      <c r="B67" s="410"/>
      <c r="C67" s="410"/>
      <c r="D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row>
    <row r="68" spans="1:33" x14ac:dyDescent="0.2">
      <c r="A68" s="410"/>
      <c r="B68" s="410"/>
      <c r="C68" s="410"/>
      <c r="D68" s="410"/>
      <c r="E68" s="410"/>
      <c r="F68" s="410"/>
      <c r="G68" s="410"/>
      <c r="H68" s="410"/>
      <c r="I68" s="410"/>
      <c r="J68" s="410"/>
      <c r="K68" s="410"/>
      <c r="L68" s="410"/>
      <c r="M68" s="410"/>
      <c r="N68" s="410"/>
      <c r="O68" s="410"/>
      <c r="P68" s="410"/>
      <c r="Q68" s="410"/>
      <c r="R68" s="410"/>
      <c r="S68" s="410"/>
      <c r="T68" s="410"/>
      <c r="U68" s="410"/>
      <c r="V68" s="410"/>
      <c r="W68" s="410"/>
      <c r="X68" s="410"/>
      <c r="Y68" s="410"/>
      <c r="Z68" s="410"/>
      <c r="AA68" s="410"/>
      <c r="AB68" s="410"/>
      <c r="AC68" s="410"/>
      <c r="AD68" s="410"/>
      <c r="AE68" s="410"/>
      <c r="AF68" s="410"/>
      <c r="AG68" s="410"/>
    </row>
    <row r="69" spans="1:33" x14ac:dyDescent="0.2">
      <c r="A69" s="410"/>
      <c r="B69" s="410"/>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c r="AA69" s="410"/>
      <c r="AB69" s="410"/>
      <c r="AC69" s="410"/>
      <c r="AD69" s="410"/>
      <c r="AE69" s="410"/>
      <c r="AF69" s="410"/>
      <c r="AG69" s="410"/>
    </row>
    <row r="70" spans="1:33" x14ac:dyDescent="0.2">
      <c r="A70" s="410"/>
      <c r="B70" s="410"/>
      <c r="C70" s="410"/>
      <c r="D70" s="410"/>
      <c r="E70" s="410"/>
      <c r="F70" s="410"/>
      <c r="G70" s="410"/>
      <c r="H70" s="410"/>
      <c r="I70" s="410"/>
      <c r="J70" s="410"/>
      <c r="K70" s="410"/>
      <c r="L70" s="410"/>
      <c r="M70" s="410"/>
      <c r="N70" s="410"/>
      <c r="O70" s="410"/>
      <c r="P70" s="410"/>
      <c r="Q70" s="410"/>
      <c r="R70" s="410"/>
      <c r="S70" s="410"/>
      <c r="T70" s="410"/>
      <c r="U70" s="410"/>
      <c r="V70" s="410"/>
      <c r="W70" s="410"/>
      <c r="X70" s="410"/>
      <c r="Y70" s="410"/>
      <c r="Z70" s="410"/>
      <c r="AA70" s="410"/>
      <c r="AB70" s="410"/>
      <c r="AC70" s="410"/>
      <c r="AD70" s="410"/>
      <c r="AE70" s="410"/>
      <c r="AF70" s="410"/>
      <c r="AG70" s="410"/>
    </row>
    <row r="71" spans="1:33" x14ac:dyDescent="0.2">
      <c r="A71" s="410"/>
      <c r="B71" s="410"/>
      <c r="C71" s="410"/>
      <c r="D71" s="410"/>
      <c r="E71" s="410"/>
      <c r="F71" s="410"/>
      <c r="G71" s="410"/>
      <c r="H71" s="410"/>
      <c r="I71" s="410"/>
      <c r="J71" s="410"/>
      <c r="K71" s="410"/>
      <c r="L71" s="410"/>
      <c r="M71" s="410"/>
      <c r="N71" s="410"/>
      <c r="O71" s="410"/>
      <c r="P71" s="410"/>
      <c r="Q71" s="410"/>
      <c r="R71" s="410"/>
      <c r="S71" s="410"/>
      <c r="T71" s="410"/>
      <c r="U71" s="410"/>
      <c r="V71" s="410"/>
      <c r="W71" s="410"/>
      <c r="X71" s="410"/>
      <c r="Y71" s="410"/>
      <c r="Z71" s="410"/>
      <c r="AA71" s="410"/>
      <c r="AB71" s="410"/>
      <c r="AC71" s="410"/>
      <c r="AD71" s="410"/>
      <c r="AE71" s="410"/>
      <c r="AF71" s="410"/>
      <c r="AG71" s="410"/>
    </row>
    <row r="72" spans="1:33" x14ac:dyDescent="0.2">
      <c r="A72" s="410"/>
      <c r="B72" s="410"/>
      <c r="C72" s="410"/>
      <c r="D72" s="410"/>
      <c r="E72" s="410"/>
      <c r="F72" s="410"/>
      <c r="G72" s="410"/>
      <c r="H72" s="410"/>
      <c r="I72" s="410"/>
      <c r="J72" s="410"/>
      <c r="K72" s="410"/>
      <c r="L72" s="410"/>
      <c r="M72" s="410"/>
      <c r="N72" s="410"/>
      <c r="O72" s="410"/>
      <c r="P72" s="410"/>
      <c r="Q72" s="410"/>
      <c r="R72" s="410"/>
      <c r="S72" s="410"/>
      <c r="T72" s="410"/>
      <c r="U72" s="410"/>
      <c r="V72" s="410"/>
      <c r="W72" s="410"/>
      <c r="X72" s="410"/>
      <c r="Y72" s="410"/>
      <c r="Z72" s="410"/>
      <c r="AA72" s="410"/>
      <c r="AB72" s="410"/>
      <c r="AC72" s="410"/>
      <c r="AD72" s="410"/>
      <c r="AE72" s="410"/>
      <c r="AF72" s="410"/>
      <c r="AG72" s="410"/>
    </row>
    <row r="73" spans="1:33" x14ac:dyDescent="0.2">
      <c r="A73" s="410"/>
      <c r="B73" s="410"/>
      <c r="C73" s="410"/>
      <c r="D73" s="410"/>
      <c r="E73" s="410"/>
      <c r="F73" s="410"/>
      <c r="G73" s="410"/>
      <c r="H73" s="410"/>
      <c r="I73" s="410"/>
      <c r="J73" s="410"/>
      <c r="K73" s="410"/>
      <c r="L73" s="410"/>
      <c r="M73" s="410"/>
      <c r="N73" s="410"/>
      <c r="O73" s="410"/>
      <c r="P73" s="410"/>
      <c r="Q73" s="410"/>
      <c r="R73" s="410"/>
      <c r="S73" s="410"/>
      <c r="T73" s="410"/>
      <c r="U73" s="410"/>
      <c r="V73" s="410"/>
      <c r="W73" s="410"/>
      <c r="X73" s="410"/>
      <c r="Y73" s="410"/>
      <c r="Z73" s="410"/>
      <c r="AA73" s="410"/>
      <c r="AB73" s="410"/>
      <c r="AC73" s="410"/>
      <c r="AD73" s="410"/>
      <c r="AE73" s="410"/>
      <c r="AF73" s="410"/>
      <c r="AG73" s="410"/>
    </row>
    <row r="74" spans="1:33" x14ac:dyDescent="0.2">
      <c r="A74" s="410"/>
      <c r="B74" s="410"/>
      <c r="C74" s="410"/>
      <c r="D74" s="41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row>
    <row r="75" spans="1:33" x14ac:dyDescent="0.2">
      <c r="A75" s="410"/>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row>
    <row r="76" spans="1:33" x14ac:dyDescent="0.2">
      <c r="A76" s="410"/>
      <c r="B76" s="410"/>
      <c r="C76" s="410"/>
      <c r="D76" s="410"/>
      <c r="E76" s="410"/>
      <c r="F76" s="410"/>
      <c r="G76" s="410"/>
      <c r="H76" s="410"/>
      <c r="I76" s="410"/>
      <c r="J76" s="410"/>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row>
    <row r="77" spans="1:33" x14ac:dyDescent="0.2">
      <c r="A77" s="410"/>
      <c r="B77" s="410"/>
      <c r="C77" s="410"/>
      <c r="D77" s="410"/>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row>
    <row r="78" spans="1:33" x14ac:dyDescent="0.2">
      <c r="A78" s="410"/>
      <c r="B78" s="410"/>
      <c r="C78" s="410"/>
      <c r="D78" s="410"/>
      <c r="E78" s="410"/>
      <c r="F78" s="410"/>
      <c r="G78" s="410"/>
      <c r="H78" s="410"/>
      <c r="I78" s="410"/>
      <c r="J78" s="410"/>
      <c r="K78" s="410"/>
      <c r="L78" s="410"/>
      <c r="M78" s="410"/>
      <c r="N78" s="410"/>
      <c r="O78" s="410"/>
      <c r="P78" s="410"/>
      <c r="Q78" s="410"/>
      <c r="R78" s="410"/>
      <c r="S78" s="410"/>
      <c r="T78" s="410"/>
      <c r="U78" s="410"/>
      <c r="V78" s="410"/>
      <c r="W78" s="410"/>
      <c r="X78" s="410"/>
      <c r="Y78" s="410"/>
      <c r="Z78" s="410"/>
      <c r="AA78" s="410"/>
      <c r="AB78" s="410"/>
      <c r="AC78" s="410"/>
      <c r="AD78" s="410"/>
      <c r="AE78" s="410"/>
      <c r="AF78" s="410"/>
      <c r="AG78" s="410"/>
    </row>
    <row r="79" spans="1:33" x14ac:dyDescent="0.2">
      <c r="A79" s="410"/>
      <c r="B79" s="410"/>
      <c r="C79" s="410"/>
      <c r="D79" s="410"/>
      <c r="E79" s="410"/>
      <c r="F79" s="410"/>
      <c r="G79" s="410"/>
      <c r="H79" s="410"/>
      <c r="I79" s="410"/>
      <c r="J79" s="410"/>
      <c r="K79" s="410"/>
      <c r="L79" s="410"/>
      <c r="M79" s="410"/>
      <c r="N79" s="410"/>
      <c r="O79" s="410"/>
      <c r="P79" s="410"/>
      <c r="Q79" s="410"/>
      <c r="R79" s="410"/>
      <c r="S79" s="410"/>
      <c r="T79" s="410"/>
      <c r="U79" s="410"/>
      <c r="V79" s="410"/>
      <c r="W79" s="410"/>
      <c r="X79" s="410"/>
      <c r="Y79" s="410"/>
      <c r="Z79" s="410"/>
      <c r="AA79" s="410"/>
      <c r="AB79" s="410"/>
      <c r="AC79" s="410"/>
      <c r="AD79" s="410"/>
      <c r="AE79" s="410"/>
      <c r="AF79" s="410"/>
      <c r="AG79" s="410"/>
    </row>
    <row r="80" spans="1:33" x14ac:dyDescent="0.2">
      <c r="A80" s="410"/>
      <c r="B80" s="410"/>
      <c r="C80" s="410"/>
      <c r="D80" s="410"/>
      <c r="E80" s="410"/>
      <c r="F80" s="410"/>
      <c r="G80" s="410"/>
      <c r="H80" s="410"/>
      <c r="I80" s="410"/>
      <c r="J80" s="410"/>
      <c r="K80" s="410"/>
      <c r="L80" s="410"/>
      <c r="M80" s="410"/>
      <c r="N80" s="410"/>
      <c r="O80" s="410"/>
      <c r="P80" s="410"/>
      <c r="Q80" s="410"/>
      <c r="R80" s="410"/>
      <c r="S80" s="410"/>
      <c r="T80" s="410"/>
      <c r="U80" s="410"/>
      <c r="V80" s="410"/>
      <c r="W80" s="410"/>
      <c r="X80" s="410"/>
      <c r="Y80" s="410"/>
      <c r="Z80" s="410"/>
      <c r="AA80" s="410"/>
      <c r="AB80" s="410"/>
      <c r="AC80" s="410"/>
      <c r="AD80" s="410"/>
      <c r="AE80" s="410"/>
      <c r="AF80" s="410"/>
      <c r="AG80" s="410"/>
    </row>
    <row r="81" spans="1:33" x14ac:dyDescent="0.2">
      <c r="A81" s="410"/>
      <c r="B81" s="410"/>
      <c r="C81" s="410"/>
      <c r="D81" s="410"/>
      <c r="E81" s="410"/>
      <c r="F81" s="410"/>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0"/>
      <c r="AG81" s="410"/>
    </row>
    <row r="82" spans="1:33" x14ac:dyDescent="0.2">
      <c r="A82" s="410"/>
      <c r="B82" s="410"/>
      <c r="C82" s="410"/>
      <c r="D82" s="410"/>
      <c r="E82" s="410"/>
      <c r="F82" s="410"/>
      <c r="G82" s="410"/>
      <c r="H82" s="410"/>
      <c r="I82" s="410"/>
      <c r="J82" s="410"/>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row>
    <row r="83" spans="1:33" x14ac:dyDescent="0.2">
      <c r="A83" s="410"/>
      <c r="B83" s="410"/>
      <c r="C83" s="410"/>
      <c r="D83" s="410"/>
      <c r="E83" s="410"/>
      <c r="F83" s="410"/>
      <c r="G83" s="410"/>
      <c r="H83" s="410"/>
      <c r="I83" s="410"/>
      <c r="J83" s="410"/>
      <c r="K83" s="410"/>
      <c r="L83" s="410"/>
      <c r="M83" s="410"/>
      <c r="N83" s="410"/>
      <c r="O83" s="410"/>
      <c r="P83" s="410"/>
      <c r="Q83" s="410"/>
      <c r="R83" s="410"/>
      <c r="S83" s="410"/>
      <c r="T83" s="410"/>
      <c r="U83" s="410"/>
      <c r="V83" s="410"/>
      <c r="W83" s="410"/>
      <c r="X83" s="410"/>
      <c r="Y83" s="410"/>
      <c r="Z83" s="410"/>
      <c r="AA83" s="410"/>
      <c r="AB83" s="410"/>
      <c r="AC83" s="410"/>
      <c r="AD83" s="410"/>
      <c r="AE83" s="410"/>
      <c r="AF83" s="410"/>
      <c r="AG83" s="410"/>
    </row>
    <row r="84" spans="1:33" x14ac:dyDescent="0.2">
      <c r="A84" s="410"/>
      <c r="B84" s="410"/>
      <c r="C84" s="410"/>
      <c r="D84" s="410"/>
      <c r="E84" s="410"/>
      <c r="F84" s="410"/>
      <c r="G84" s="410"/>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row>
    <row r="85" spans="1:33" x14ac:dyDescent="0.2">
      <c r="A85" s="410"/>
      <c r="B85" s="410"/>
      <c r="C85" s="410"/>
      <c r="D85" s="410"/>
      <c r="E85" s="410"/>
      <c r="F85" s="410"/>
      <c r="G85" s="410"/>
      <c r="H85" s="410"/>
      <c r="I85" s="410"/>
      <c r="J85" s="410"/>
      <c r="K85" s="410"/>
      <c r="L85" s="410"/>
      <c r="M85" s="410"/>
      <c r="N85" s="410"/>
      <c r="O85" s="410"/>
      <c r="P85" s="410"/>
      <c r="Q85" s="410"/>
      <c r="R85" s="410"/>
      <c r="S85" s="410"/>
      <c r="T85" s="410"/>
      <c r="U85" s="410"/>
      <c r="V85" s="410"/>
      <c r="W85" s="410"/>
      <c r="X85" s="410"/>
      <c r="Y85" s="410"/>
      <c r="Z85" s="410"/>
      <c r="AA85" s="410"/>
      <c r="AB85" s="410"/>
      <c r="AC85" s="410"/>
      <c r="AD85" s="410"/>
      <c r="AE85" s="410"/>
      <c r="AF85" s="410"/>
      <c r="AG85" s="410"/>
    </row>
    <row r="86" spans="1:33" x14ac:dyDescent="0.2">
      <c r="A86" s="410"/>
      <c r="B86" s="410"/>
      <c r="C86" s="410"/>
      <c r="D86" s="410"/>
      <c r="E86" s="410"/>
      <c r="F86" s="410"/>
      <c r="G86" s="410"/>
      <c r="H86" s="410"/>
      <c r="I86" s="410"/>
      <c r="J86" s="410"/>
      <c r="K86" s="410"/>
      <c r="L86" s="410"/>
      <c r="M86" s="410"/>
      <c r="N86" s="410"/>
      <c r="O86" s="410"/>
      <c r="P86" s="410"/>
      <c r="Q86" s="410"/>
      <c r="R86" s="410"/>
      <c r="S86" s="410"/>
      <c r="T86" s="410"/>
      <c r="U86" s="410"/>
      <c r="V86" s="410"/>
      <c r="W86" s="410"/>
      <c r="X86" s="410"/>
      <c r="Y86" s="410"/>
      <c r="Z86" s="410"/>
      <c r="AA86" s="410"/>
      <c r="AB86" s="410"/>
      <c r="AC86" s="410"/>
      <c r="AD86" s="410"/>
      <c r="AE86" s="410"/>
      <c r="AF86" s="410"/>
      <c r="AG86" s="410"/>
    </row>
    <row r="87" spans="1:33" x14ac:dyDescent="0.2">
      <c r="A87" s="410"/>
      <c r="B87" s="410"/>
      <c r="C87" s="410"/>
      <c r="D87" s="410"/>
      <c r="E87" s="410"/>
      <c r="F87" s="410"/>
      <c r="G87" s="410"/>
      <c r="H87" s="410"/>
      <c r="I87" s="410"/>
      <c r="J87" s="410"/>
      <c r="K87" s="410"/>
      <c r="L87" s="410"/>
      <c r="M87" s="410"/>
      <c r="N87" s="410"/>
      <c r="O87" s="410"/>
      <c r="P87" s="410"/>
      <c r="Q87" s="410"/>
      <c r="R87" s="410"/>
      <c r="S87" s="410"/>
      <c r="T87" s="410"/>
      <c r="U87" s="410"/>
      <c r="V87" s="410"/>
      <c r="W87" s="410"/>
      <c r="X87" s="410"/>
      <c r="Y87" s="410"/>
      <c r="Z87" s="410"/>
      <c r="AA87" s="410"/>
      <c r="AB87" s="410"/>
      <c r="AC87" s="410"/>
      <c r="AD87" s="410"/>
      <c r="AE87" s="410"/>
      <c r="AF87" s="410"/>
      <c r="AG87" s="410"/>
    </row>
    <row r="88" spans="1:33" x14ac:dyDescent="0.2">
      <c r="A88" s="410"/>
      <c r="B88" s="410"/>
      <c r="C88" s="410"/>
      <c r="D88" s="410"/>
      <c r="E88" s="410"/>
      <c r="F88" s="410"/>
      <c r="G88" s="410"/>
      <c r="H88" s="410"/>
      <c r="I88" s="410"/>
      <c r="J88" s="410"/>
      <c r="K88" s="410"/>
      <c r="L88" s="410"/>
      <c r="M88" s="410"/>
      <c r="N88" s="410"/>
      <c r="O88" s="410"/>
      <c r="P88" s="410"/>
      <c r="Q88" s="410"/>
      <c r="R88" s="410"/>
      <c r="S88" s="410"/>
      <c r="T88" s="410"/>
      <c r="U88" s="410"/>
      <c r="V88" s="410"/>
      <c r="W88" s="410"/>
      <c r="X88" s="410"/>
      <c r="Y88" s="410"/>
      <c r="Z88" s="410"/>
      <c r="AA88" s="410"/>
      <c r="AB88" s="410"/>
      <c r="AC88" s="410"/>
      <c r="AD88" s="410"/>
      <c r="AE88" s="410"/>
      <c r="AF88" s="410"/>
      <c r="AG88" s="410"/>
    </row>
    <row r="89" spans="1:33" x14ac:dyDescent="0.2">
      <c r="A89" s="410"/>
      <c r="B89" s="410"/>
      <c r="C89" s="410"/>
      <c r="D89" s="410"/>
      <c r="E89" s="410"/>
      <c r="F89" s="410"/>
      <c r="G89" s="410"/>
      <c r="H89" s="410"/>
      <c r="I89" s="410"/>
      <c r="J89" s="410"/>
      <c r="K89" s="410"/>
      <c r="L89" s="410"/>
      <c r="M89" s="410"/>
      <c r="N89" s="410"/>
      <c r="O89" s="410"/>
      <c r="P89" s="410"/>
      <c r="Q89" s="410"/>
      <c r="R89" s="410"/>
      <c r="S89" s="410"/>
      <c r="T89" s="410"/>
      <c r="U89" s="410"/>
      <c r="V89" s="410"/>
      <c r="W89" s="410"/>
      <c r="X89" s="410"/>
      <c r="Y89" s="410"/>
      <c r="Z89" s="410"/>
      <c r="AA89" s="410"/>
      <c r="AB89" s="410"/>
      <c r="AC89" s="410"/>
      <c r="AD89" s="410"/>
      <c r="AE89" s="410"/>
      <c r="AF89" s="410"/>
      <c r="AG89" s="410"/>
    </row>
    <row r="90" spans="1:33" x14ac:dyDescent="0.2">
      <c r="A90" s="410"/>
      <c r="B90" s="410"/>
      <c r="C90" s="410"/>
      <c r="D90" s="410"/>
      <c r="E90" s="410"/>
      <c r="F90" s="410"/>
      <c r="G90" s="410"/>
      <c r="H90" s="410"/>
      <c r="I90" s="410"/>
      <c r="J90" s="410"/>
      <c r="K90" s="410"/>
      <c r="L90" s="410"/>
      <c r="M90" s="410"/>
      <c r="N90" s="410"/>
      <c r="O90" s="410"/>
      <c r="P90" s="410"/>
      <c r="Q90" s="410"/>
      <c r="R90" s="410"/>
      <c r="S90" s="410"/>
      <c r="T90" s="410"/>
      <c r="U90" s="410"/>
      <c r="V90" s="410"/>
      <c r="W90" s="410"/>
      <c r="X90" s="410"/>
      <c r="Y90" s="410"/>
      <c r="Z90" s="410"/>
      <c r="AA90" s="410"/>
      <c r="AB90" s="410"/>
      <c r="AC90" s="410"/>
      <c r="AD90" s="410"/>
      <c r="AE90" s="410"/>
      <c r="AF90" s="410"/>
      <c r="AG90" s="410"/>
    </row>
    <row r="91" spans="1:33" x14ac:dyDescent="0.2">
      <c r="A91" s="410"/>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row>
    <row r="92" spans="1:33" x14ac:dyDescent="0.2">
      <c r="A92" s="410"/>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410"/>
      <c r="AE92" s="410"/>
      <c r="AF92" s="410"/>
      <c r="AG92" s="410"/>
    </row>
    <row r="93" spans="1:33" x14ac:dyDescent="0.2">
      <c r="A93" s="410"/>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410"/>
      <c r="AE93" s="410"/>
      <c r="AF93" s="410"/>
      <c r="AG93" s="410"/>
    </row>
    <row r="94" spans="1:33" x14ac:dyDescent="0.2">
      <c r="A94" s="410"/>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410"/>
      <c r="AE94" s="410"/>
      <c r="AF94" s="410"/>
      <c r="AG94" s="410"/>
    </row>
    <row r="95" spans="1:33" x14ac:dyDescent="0.2">
      <c r="A95" s="410"/>
      <c r="B95" s="410"/>
      <c r="C95" s="410"/>
      <c r="D95" s="410"/>
      <c r="E95" s="410"/>
      <c r="F95" s="410"/>
      <c r="G95" s="410"/>
      <c r="H95" s="410"/>
      <c r="I95" s="410"/>
      <c r="J95" s="410"/>
      <c r="K95" s="410"/>
      <c r="L95" s="410"/>
      <c r="M95" s="410"/>
      <c r="N95" s="410"/>
      <c r="O95" s="410"/>
      <c r="P95" s="410"/>
      <c r="Q95" s="410"/>
      <c r="R95" s="410"/>
      <c r="S95" s="410"/>
      <c r="T95" s="410"/>
      <c r="U95" s="410"/>
      <c r="V95" s="410"/>
      <c r="W95" s="410"/>
      <c r="X95" s="410"/>
      <c r="Y95" s="410"/>
      <c r="Z95" s="410"/>
      <c r="AA95" s="410"/>
      <c r="AB95" s="410"/>
      <c r="AC95" s="410"/>
      <c r="AD95" s="410"/>
      <c r="AE95" s="410"/>
      <c r="AF95" s="410"/>
      <c r="AG95" s="410"/>
    </row>
    <row r="96" spans="1:33" x14ac:dyDescent="0.2">
      <c r="A96" s="410"/>
      <c r="B96" s="410"/>
      <c r="C96" s="410"/>
      <c r="D96" s="410"/>
      <c r="E96" s="410"/>
      <c r="F96" s="410"/>
      <c r="G96" s="410"/>
      <c r="H96" s="410"/>
      <c r="I96" s="410"/>
      <c r="J96" s="410"/>
      <c r="K96" s="410"/>
      <c r="L96" s="410"/>
      <c r="M96" s="410"/>
      <c r="N96" s="410"/>
      <c r="O96" s="410"/>
      <c r="P96" s="410"/>
      <c r="Q96" s="410"/>
      <c r="R96" s="410"/>
      <c r="S96" s="410"/>
      <c r="T96" s="410"/>
      <c r="U96" s="410"/>
      <c r="V96" s="410"/>
      <c r="W96" s="410"/>
      <c r="X96" s="410"/>
      <c r="Y96" s="410"/>
      <c r="Z96" s="410"/>
      <c r="AA96" s="410"/>
      <c r="AB96" s="410"/>
      <c r="AC96" s="410"/>
      <c r="AD96" s="410"/>
      <c r="AE96" s="410"/>
      <c r="AF96" s="410"/>
      <c r="AG96" s="410"/>
    </row>
    <row r="97" spans="1:33" x14ac:dyDescent="0.2">
      <c r="A97" s="410"/>
      <c r="B97" s="410"/>
      <c r="C97" s="410"/>
      <c r="D97" s="410"/>
      <c r="E97" s="410"/>
      <c r="F97" s="410"/>
      <c r="G97" s="410"/>
      <c r="H97" s="410"/>
      <c r="I97" s="410"/>
      <c r="J97" s="410"/>
      <c r="K97" s="410"/>
      <c r="L97" s="410"/>
      <c r="M97" s="410"/>
      <c r="N97" s="410"/>
      <c r="O97" s="410"/>
      <c r="P97" s="410"/>
      <c r="Q97" s="410"/>
      <c r="R97" s="410"/>
      <c r="S97" s="410"/>
      <c r="T97" s="410"/>
      <c r="U97" s="410"/>
      <c r="V97" s="410"/>
      <c r="W97" s="410"/>
      <c r="X97" s="410"/>
      <c r="Y97" s="410"/>
      <c r="Z97" s="410"/>
      <c r="AA97" s="410"/>
      <c r="AB97" s="410"/>
      <c r="AC97" s="410"/>
      <c r="AD97" s="410"/>
      <c r="AE97" s="410"/>
      <c r="AF97" s="410"/>
      <c r="AG97" s="410"/>
    </row>
    <row r="98" spans="1:33" x14ac:dyDescent="0.2">
      <c r="A98" s="410"/>
      <c r="B98" s="410"/>
      <c r="C98" s="410"/>
      <c r="D98" s="410"/>
      <c r="E98" s="410"/>
      <c r="F98" s="410"/>
      <c r="G98" s="410"/>
      <c r="H98" s="410"/>
      <c r="I98" s="410"/>
      <c r="J98" s="410"/>
      <c r="K98" s="410"/>
      <c r="L98" s="410"/>
      <c r="M98" s="410"/>
      <c r="N98" s="410"/>
      <c r="O98" s="410"/>
      <c r="P98" s="410"/>
      <c r="Q98" s="410"/>
      <c r="R98" s="410"/>
      <c r="S98" s="410"/>
      <c r="T98" s="410"/>
      <c r="U98" s="410"/>
      <c r="V98" s="410"/>
      <c r="W98" s="410"/>
      <c r="X98" s="410"/>
      <c r="Y98" s="410"/>
      <c r="Z98" s="410"/>
      <c r="AA98" s="410"/>
      <c r="AB98" s="410"/>
      <c r="AC98" s="410"/>
      <c r="AD98" s="410"/>
      <c r="AE98" s="410"/>
      <c r="AF98" s="410"/>
      <c r="AG98" s="410"/>
    </row>
    <row r="99" spans="1:33" x14ac:dyDescent="0.2">
      <c r="A99" s="410"/>
      <c r="B99" s="410"/>
      <c r="C99" s="410"/>
      <c r="D99" s="410"/>
      <c r="E99" s="410"/>
      <c r="F99" s="410"/>
      <c r="G99" s="410"/>
      <c r="H99" s="410"/>
      <c r="I99" s="410"/>
      <c r="J99" s="410"/>
      <c r="K99" s="410"/>
      <c r="L99" s="410"/>
      <c r="M99" s="410"/>
      <c r="N99" s="410"/>
      <c r="O99" s="410"/>
      <c r="P99" s="410"/>
      <c r="Q99" s="410"/>
      <c r="R99" s="410"/>
      <c r="S99" s="410"/>
      <c r="T99" s="410"/>
      <c r="U99" s="410"/>
      <c r="V99" s="410"/>
      <c r="W99" s="410"/>
      <c r="X99" s="410"/>
      <c r="Y99" s="410"/>
      <c r="Z99" s="410"/>
      <c r="AA99" s="410"/>
      <c r="AB99" s="410"/>
      <c r="AC99" s="410"/>
      <c r="AD99" s="410"/>
      <c r="AE99" s="410"/>
      <c r="AF99" s="410"/>
      <c r="AG99" s="410"/>
    </row>
    <row r="100" spans="1:33" x14ac:dyDescent="0.2">
      <c r="A100" s="410"/>
      <c r="B100" s="410"/>
      <c r="C100" s="410"/>
      <c r="D100" s="410"/>
      <c r="E100" s="410"/>
      <c r="F100" s="410"/>
      <c r="G100" s="410"/>
      <c r="H100" s="410"/>
      <c r="I100" s="410"/>
      <c r="J100" s="410"/>
      <c r="K100" s="410"/>
      <c r="L100" s="410"/>
      <c r="M100" s="410"/>
      <c r="N100" s="410"/>
      <c r="O100" s="410"/>
      <c r="P100" s="410"/>
      <c r="Q100" s="410"/>
      <c r="R100" s="410"/>
      <c r="S100" s="410"/>
      <c r="T100" s="410"/>
      <c r="U100" s="410"/>
      <c r="V100" s="410"/>
      <c r="W100" s="410"/>
      <c r="X100" s="410"/>
      <c r="Y100" s="410"/>
      <c r="Z100" s="410"/>
      <c r="AA100" s="410"/>
      <c r="AB100" s="410"/>
      <c r="AC100" s="410"/>
      <c r="AD100" s="410"/>
      <c r="AE100" s="410"/>
      <c r="AF100" s="410"/>
      <c r="AG100" s="410"/>
    </row>
    <row r="101" spans="1:33" x14ac:dyDescent="0.2">
      <c r="A101" s="410"/>
      <c r="B101" s="410"/>
      <c r="C101" s="410"/>
      <c r="D101" s="410"/>
      <c r="E101" s="410"/>
      <c r="F101" s="410"/>
      <c r="G101" s="410"/>
      <c r="H101" s="410"/>
      <c r="I101" s="410"/>
      <c r="J101" s="410"/>
      <c r="K101" s="410"/>
      <c r="L101" s="410"/>
      <c r="M101" s="410"/>
      <c r="N101" s="410"/>
      <c r="O101" s="410"/>
      <c r="P101" s="410"/>
      <c r="Q101" s="410"/>
      <c r="R101" s="410"/>
      <c r="S101" s="410"/>
      <c r="T101" s="410"/>
      <c r="U101" s="410"/>
      <c r="V101" s="410"/>
      <c r="W101" s="410"/>
      <c r="X101" s="410"/>
      <c r="Y101" s="410"/>
      <c r="Z101" s="410"/>
      <c r="AA101" s="410"/>
      <c r="AB101" s="410"/>
      <c r="AC101" s="410"/>
      <c r="AD101" s="410"/>
      <c r="AE101" s="410"/>
      <c r="AF101" s="410"/>
      <c r="AG101" s="410"/>
    </row>
    <row r="102" spans="1:33" x14ac:dyDescent="0.2">
      <c r="A102" s="410"/>
      <c r="B102" s="410"/>
      <c r="C102" s="410"/>
      <c r="D102" s="410"/>
      <c r="E102" s="410"/>
      <c r="F102" s="410"/>
      <c r="G102" s="410"/>
      <c r="H102" s="410"/>
      <c r="I102" s="410"/>
      <c r="J102" s="410"/>
      <c r="K102" s="410"/>
      <c r="L102" s="410"/>
      <c r="M102" s="410"/>
      <c r="N102" s="410"/>
      <c r="O102" s="410"/>
      <c r="P102" s="410"/>
      <c r="Q102" s="410"/>
      <c r="R102" s="410"/>
      <c r="S102" s="410"/>
      <c r="T102" s="410"/>
      <c r="U102" s="410"/>
      <c r="V102" s="410"/>
      <c r="W102" s="410"/>
      <c r="X102" s="410"/>
      <c r="Y102" s="410"/>
      <c r="Z102" s="410"/>
      <c r="AA102" s="410"/>
      <c r="AB102" s="410"/>
      <c r="AC102" s="410"/>
      <c r="AD102" s="410"/>
      <c r="AE102" s="410"/>
      <c r="AF102" s="410"/>
      <c r="AG102" s="410"/>
    </row>
    <row r="103" spans="1:33" x14ac:dyDescent="0.2">
      <c r="A103" s="410"/>
      <c r="B103" s="410"/>
      <c r="C103" s="410"/>
      <c r="D103" s="410"/>
      <c r="E103" s="410"/>
      <c r="F103" s="410"/>
      <c r="G103" s="410"/>
      <c r="H103" s="410"/>
      <c r="I103" s="410"/>
      <c r="J103" s="410"/>
      <c r="K103" s="410"/>
      <c r="L103" s="410"/>
      <c r="M103" s="410"/>
      <c r="N103" s="410"/>
      <c r="O103" s="410"/>
      <c r="P103" s="410"/>
      <c r="Q103" s="410"/>
      <c r="R103" s="410"/>
      <c r="S103" s="410"/>
      <c r="T103" s="410"/>
      <c r="U103" s="410"/>
      <c r="V103" s="410"/>
      <c r="W103" s="410"/>
      <c r="X103" s="410"/>
      <c r="Y103" s="410"/>
      <c r="Z103" s="410"/>
      <c r="AA103" s="410"/>
      <c r="AB103" s="410"/>
      <c r="AC103" s="410"/>
      <c r="AD103" s="410"/>
      <c r="AE103" s="410"/>
      <c r="AF103" s="410"/>
      <c r="AG103" s="410"/>
    </row>
    <row r="104" spans="1:33" x14ac:dyDescent="0.2">
      <c r="A104" s="410"/>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0"/>
      <c r="Z104" s="410"/>
      <c r="AA104" s="410"/>
      <c r="AB104" s="410"/>
      <c r="AC104" s="410"/>
      <c r="AD104" s="410"/>
      <c r="AE104" s="410"/>
      <c r="AF104" s="410"/>
      <c r="AG104" s="410"/>
    </row>
    <row r="105" spans="1:33" x14ac:dyDescent="0.2">
      <c r="A105" s="410"/>
      <c r="B105" s="410"/>
      <c r="C105" s="410"/>
      <c r="D105" s="410"/>
      <c r="E105" s="410"/>
      <c r="F105" s="410"/>
      <c r="G105" s="410"/>
      <c r="H105" s="410"/>
      <c r="I105" s="410"/>
      <c r="J105" s="410"/>
      <c r="K105" s="410"/>
      <c r="L105" s="410"/>
      <c r="M105" s="410"/>
      <c r="N105" s="410"/>
      <c r="O105" s="410"/>
      <c r="P105" s="410"/>
      <c r="Q105" s="410"/>
      <c r="R105" s="410"/>
      <c r="S105" s="410"/>
      <c r="T105" s="410"/>
      <c r="U105" s="410"/>
      <c r="V105" s="410"/>
      <c r="W105" s="410"/>
      <c r="X105" s="410"/>
      <c r="Y105" s="410"/>
      <c r="Z105" s="410"/>
      <c r="AA105" s="410"/>
      <c r="AB105" s="410"/>
      <c r="AC105" s="410"/>
      <c r="AD105" s="410"/>
      <c r="AE105" s="410"/>
      <c r="AF105" s="410"/>
      <c r="AG105" s="410"/>
    </row>
    <row r="106" spans="1:33" x14ac:dyDescent="0.2">
      <c r="A106" s="410"/>
      <c r="B106" s="410"/>
      <c r="C106" s="410"/>
      <c r="D106" s="410"/>
      <c r="E106" s="410"/>
      <c r="F106" s="410"/>
      <c r="G106" s="410"/>
      <c r="H106" s="410"/>
      <c r="I106" s="410"/>
      <c r="J106" s="410"/>
      <c r="K106" s="410"/>
      <c r="L106" s="410"/>
      <c r="M106" s="410"/>
      <c r="N106" s="410"/>
      <c r="O106" s="410"/>
      <c r="P106" s="410"/>
      <c r="Q106" s="410"/>
      <c r="R106" s="410"/>
      <c r="S106" s="410"/>
      <c r="T106" s="410"/>
      <c r="U106" s="410"/>
      <c r="V106" s="410"/>
      <c r="W106" s="410"/>
      <c r="X106" s="410"/>
      <c r="Y106" s="410"/>
      <c r="Z106" s="410"/>
      <c r="AA106" s="410"/>
      <c r="AB106" s="410"/>
      <c r="AC106" s="410"/>
      <c r="AD106" s="410"/>
      <c r="AE106" s="410"/>
      <c r="AF106" s="410"/>
      <c r="AG106" s="410"/>
    </row>
    <row r="107" spans="1:33" x14ac:dyDescent="0.2">
      <c r="A107" s="410"/>
      <c r="B107" s="410"/>
      <c r="C107" s="410"/>
      <c r="D107" s="410"/>
      <c r="E107" s="410"/>
      <c r="F107" s="410"/>
      <c r="G107" s="410"/>
      <c r="H107" s="410"/>
      <c r="I107" s="410"/>
      <c r="J107" s="410"/>
      <c r="K107" s="410"/>
      <c r="L107" s="410"/>
      <c r="M107" s="410"/>
      <c r="N107" s="410"/>
      <c r="O107" s="410"/>
      <c r="P107" s="410"/>
      <c r="Q107" s="410"/>
      <c r="R107" s="410"/>
      <c r="S107" s="410"/>
      <c r="T107" s="410"/>
      <c r="U107" s="410"/>
      <c r="V107" s="410"/>
      <c r="W107" s="410"/>
      <c r="X107" s="410"/>
      <c r="Y107" s="410"/>
      <c r="Z107" s="410"/>
      <c r="AA107" s="410"/>
      <c r="AB107" s="410"/>
      <c r="AC107" s="410"/>
      <c r="AD107" s="410"/>
      <c r="AE107" s="410"/>
      <c r="AF107" s="410"/>
      <c r="AG107" s="410"/>
    </row>
    <row r="108" spans="1:33" x14ac:dyDescent="0.2">
      <c r="A108" s="410"/>
      <c r="B108" s="410"/>
      <c r="C108" s="410"/>
      <c r="D108" s="410"/>
      <c r="E108" s="410"/>
      <c r="F108" s="410"/>
      <c r="G108" s="410"/>
      <c r="H108" s="410"/>
      <c r="I108" s="410"/>
      <c r="J108" s="410"/>
      <c r="K108" s="410"/>
      <c r="L108" s="410"/>
      <c r="M108" s="410"/>
      <c r="N108" s="410"/>
      <c r="O108" s="410"/>
      <c r="P108" s="410"/>
      <c r="Q108" s="410"/>
      <c r="R108" s="410"/>
      <c r="S108" s="410"/>
      <c r="T108" s="410"/>
      <c r="U108" s="410"/>
      <c r="V108" s="410"/>
      <c r="W108" s="410"/>
      <c r="X108" s="410"/>
      <c r="Y108" s="410"/>
      <c r="Z108" s="410"/>
      <c r="AA108" s="410"/>
      <c r="AB108" s="410"/>
      <c r="AC108" s="410"/>
      <c r="AD108" s="410"/>
      <c r="AE108" s="410"/>
      <c r="AF108" s="410"/>
      <c r="AG108" s="410"/>
    </row>
    <row r="109" spans="1:33" x14ac:dyDescent="0.2">
      <c r="A109" s="410"/>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row>
    <row r="110" spans="1:33" x14ac:dyDescent="0.2">
      <c r="A110" s="410"/>
      <c r="B110" s="410"/>
      <c r="C110" s="410"/>
      <c r="D110" s="410"/>
      <c r="E110" s="410"/>
      <c r="F110" s="410"/>
      <c r="G110" s="410"/>
      <c r="H110" s="410"/>
      <c r="I110" s="410"/>
      <c r="J110" s="410"/>
      <c r="K110" s="410"/>
      <c r="L110" s="410"/>
      <c r="M110" s="410"/>
      <c r="N110" s="410"/>
      <c r="O110" s="410"/>
      <c r="P110" s="410"/>
      <c r="Q110" s="410"/>
      <c r="R110" s="410"/>
      <c r="S110" s="410"/>
      <c r="T110" s="410"/>
      <c r="U110" s="410"/>
      <c r="V110" s="410"/>
      <c r="W110" s="410"/>
      <c r="X110" s="410"/>
      <c r="Y110" s="410"/>
      <c r="Z110" s="410"/>
      <c r="AA110" s="410"/>
      <c r="AB110" s="410"/>
      <c r="AC110" s="410"/>
      <c r="AD110" s="410"/>
      <c r="AE110" s="410"/>
      <c r="AF110" s="410"/>
      <c r="AG110" s="410"/>
    </row>
    <row r="111" spans="1:33" x14ac:dyDescent="0.2">
      <c r="A111" s="410"/>
      <c r="B111" s="410"/>
      <c r="C111" s="410"/>
      <c r="D111" s="410"/>
      <c r="E111" s="410"/>
      <c r="F111" s="410"/>
      <c r="G111" s="410"/>
      <c r="H111" s="410"/>
      <c r="I111" s="410"/>
      <c r="J111" s="410"/>
      <c r="K111" s="410"/>
      <c r="L111" s="410"/>
      <c r="M111" s="410"/>
      <c r="N111" s="410"/>
      <c r="O111" s="410"/>
      <c r="P111" s="410"/>
      <c r="Q111" s="410"/>
      <c r="R111" s="410"/>
      <c r="S111" s="410"/>
      <c r="T111" s="410"/>
      <c r="U111" s="410"/>
      <c r="V111" s="410"/>
      <c r="W111" s="410"/>
      <c r="X111" s="410"/>
      <c r="Y111" s="410"/>
      <c r="Z111" s="410"/>
      <c r="AA111" s="410"/>
      <c r="AB111" s="410"/>
      <c r="AC111" s="410"/>
      <c r="AD111" s="410"/>
      <c r="AE111" s="410"/>
      <c r="AF111" s="410"/>
      <c r="AG111" s="410"/>
    </row>
    <row r="112" spans="1:33" x14ac:dyDescent="0.2">
      <c r="A112" s="410"/>
      <c r="B112" s="410"/>
      <c r="C112" s="410"/>
      <c r="D112" s="410"/>
      <c r="E112" s="410"/>
      <c r="F112" s="410"/>
      <c r="G112" s="410"/>
      <c r="H112" s="410"/>
      <c r="I112" s="410"/>
      <c r="J112" s="410"/>
      <c r="K112" s="410"/>
      <c r="L112" s="410"/>
      <c r="M112" s="410"/>
      <c r="N112" s="410"/>
      <c r="O112" s="410"/>
      <c r="P112" s="410"/>
      <c r="Q112" s="410"/>
      <c r="R112" s="410"/>
      <c r="S112" s="410"/>
      <c r="T112" s="410"/>
      <c r="U112" s="410"/>
      <c r="V112" s="410"/>
      <c r="W112" s="410"/>
      <c r="X112" s="410"/>
      <c r="Y112" s="410"/>
      <c r="Z112" s="410"/>
      <c r="AA112" s="410"/>
      <c r="AB112" s="410"/>
      <c r="AC112" s="410"/>
      <c r="AD112" s="410"/>
      <c r="AE112" s="410"/>
      <c r="AF112" s="410"/>
      <c r="AG112" s="410"/>
    </row>
    <row r="113" spans="1:33" x14ac:dyDescent="0.2">
      <c r="A113" s="410"/>
      <c r="B113" s="410"/>
      <c r="C113" s="410"/>
      <c r="D113" s="410"/>
      <c r="E113" s="410"/>
      <c r="F113" s="410"/>
      <c r="G113" s="410"/>
      <c r="H113" s="410"/>
      <c r="I113" s="410"/>
      <c r="J113" s="410"/>
      <c r="K113" s="410"/>
      <c r="L113" s="410"/>
      <c r="M113" s="410"/>
      <c r="N113" s="410"/>
      <c r="O113" s="410"/>
      <c r="P113" s="410"/>
      <c r="Q113" s="410"/>
      <c r="R113" s="410"/>
      <c r="S113" s="410"/>
      <c r="T113" s="410"/>
      <c r="U113" s="410"/>
      <c r="V113" s="410"/>
      <c r="W113" s="410"/>
      <c r="X113" s="410"/>
      <c r="Y113" s="410"/>
      <c r="Z113" s="410"/>
      <c r="AA113" s="410"/>
      <c r="AB113" s="410"/>
      <c r="AC113" s="410"/>
      <c r="AD113" s="410"/>
      <c r="AE113" s="410"/>
      <c r="AF113" s="410"/>
      <c r="AG113" s="410"/>
    </row>
    <row r="114" spans="1:33" x14ac:dyDescent="0.2">
      <c r="A114" s="410"/>
      <c r="B114" s="410"/>
      <c r="C114" s="410"/>
      <c r="D114" s="410"/>
      <c r="E114" s="410"/>
      <c r="F114" s="410"/>
      <c r="G114" s="410"/>
      <c r="H114" s="410"/>
      <c r="I114" s="410"/>
      <c r="J114" s="410"/>
      <c r="K114" s="410"/>
      <c r="L114" s="410"/>
      <c r="M114" s="410"/>
      <c r="N114" s="410"/>
      <c r="O114" s="410"/>
      <c r="P114" s="410"/>
      <c r="Q114" s="410"/>
      <c r="R114" s="410"/>
      <c r="S114" s="410"/>
      <c r="T114" s="410"/>
      <c r="U114" s="410"/>
      <c r="V114" s="410"/>
      <c r="W114" s="410"/>
      <c r="X114" s="410"/>
      <c r="Y114" s="410"/>
      <c r="Z114" s="410"/>
      <c r="AA114" s="410"/>
      <c r="AB114" s="410"/>
      <c r="AC114" s="410"/>
      <c r="AD114" s="410"/>
      <c r="AE114" s="410"/>
      <c r="AF114" s="410"/>
      <c r="AG114" s="410"/>
    </row>
    <row r="115" spans="1:33" x14ac:dyDescent="0.2">
      <c r="A115" s="410"/>
      <c r="B115" s="410"/>
      <c r="C115" s="410"/>
      <c r="D115" s="410"/>
      <c r="E115" s="410"/>
      <c r="F115" s="410"/>
      <c r="G115" s="410"/>
      <c r="H115" s="410"/>
      <c r="I115" s="410"/>
      <c r="J115" s="410"/>
      <c r="K115" s="410"/>
      <c r="L115" s="410"/>
      <c r="M115" s="410"/>
      <c r="N115" s="410"/>
      <c r="O115" s="410"/>
      <c r="P115" s="410"/>
      <c r="Q115" s="410"/>
      <c r="R115" s="410"/>
      <c r="S115" s="410"/>
      <c r="T115" s="410"/>
      <c r="U115" s="410"/>
      <c r="V115" s="410"/>
      <c r="W115" s="410"/>
      <c r="X115" s="410"/>
      <c r="Y115" s="410"/>
      <c r="Z115" s="410"/>
      <c r="AA115" s="410"/>
      <c r="AB115" s="410"/>
      <c r="AC115" s="410"/>
      <c r="AD115" s="410"/>
      <c r="AE115" s="410"/>
      <c r="AF115" s="410"/>
      <c r="AG115" s="410"/>
    </row>
    <row r="116" spans="1:33" x14ac:dyDescent="0.2">
      <c r="A116" s="410"/>
      <c r="B116" s="410"/>
      <c r="C116" s="410"/>
      <c r="D116" s="410"/>
      <c r="E116" s="410"/>
      <c r="F116" s="410"/>
      <c r="G116" s="410"/>
      <c r="H116" s="410"/>
      <c r="I116" s="410"/>
      <c r="J116" s="410"/>
      <c r="K116" s="410"/>
      <c r="L116" s="410"/>
      <c r="M116" s="410"/>
      <c r="N116" s="410"/>
      <c r="O116" s="410"/>
      <c r="P116" s="410"/>
      <c r="Q116" s="410"/>
      <c r="R116" s="410"/>
      <c r="S116" s="410"/>
      <c r="T116" s="410"/>
      <c r="U116" s="410"/>
      <c r="V116" s="410"/>
      <c r="W116" s="410"/>
      <c r="X116" s="410"/>
      <c r="Y116" s="410"/>
      <c r="Z116" s="410"/>
      <c r="AA116" s="410"/>
      <c r="AB116" s="410"/>
      <c r="AC116" s="410"/>
      <c r="AD116" s="410"/>
      <c r="AE116" s="410"/>
      <c r="AF116" s="410"/>
      <c r="AG116" s="410"/>
    </row>
    <row r="117" spans="1:33" x14ac:dyDescent="0.2">
      <c r="A117" s="410"/>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0"/>
      <c r="AD117" s="410"/>
      <c r="AE117" s="410"/>
      <c r="AF117" s="410"/>
      <c r="AG117" s="410"/>
    </row>
    <row r="118" spans="1:33" x14ac:dyDescent="0.2">
      <c r="A118" s="410"/>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row>
  </sheetData>
  <sheetProtection algorithmName="SHA-512" hashValue="0uzSFkzghooSA1dEjqhPKXdIgL/dianZbl08aXws5tRRnM4Fs6bvY7iPkWbuRMuzGsGEO3evdw6KshvBlEwrVQ==" saltValue="2n3tbGfMnvOTc1JpjN5W5w==" spinCount="100000" sheet="1" objects="1" scenarios="1" selectLockedCells="1" selectUnlockedCells="1"/>
  <mergeCells count="26">
    <mergeCell ref="B36:D36"/>
    <mergeCell ref="B37:D37"/>
    <mergeCell ref="G37:I37"/>
    <mergeCell ref="B35:D35"/>
    <mergeCell ref="G35:L36"/>
    <mergeCell ref="B1:I3"/>
    <mergeCell ref="B11:D11"/>
    <mergeCell ref="B12:D12"/>
    <mergeCell ref="G11:I11"/>
    <mergeCell ref="G12:I12"/>
    <mergeCell ref="B10:D10"/>
    <mergeCell ref="G13:I13"/>
    <mergeCell ref="B13:D13"/>
    <mergeCell ref="G10:I10"/>
    <mergeCell ref="B23:D23"/>
    <mergeCell ref="B24:D24"/>
    <mergeCell ref="I34:L34"/>
    <mergeCell ref="G25:I25"/>
    <mergeCell ref="B25:D25"/>
    <mergeCell ref="G23:I23"/>
    <mergeCell ref="G24:I24"/>
    <mergeCell ref="G33:I33"/>
    <mergeCell ref="G30:I30"/>
    <mergeCell ref="B31:D31"/>
    <mergeCell ref="B30:D30"/>
    <mergeCell ref="G31:I31"/>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4" tint="0.59999389629810485"/>
  </sheetPr>
  <dimension ref="A1:W244"/>
  <sheetViews>
    <sheetView showGridLines="0" showZeros="0" defaultGridColor="0" colorId="55" zoomScaleNormal="100" workbookViewId="0"/>
  </sheetViews>
  <sheetFormatPr defaultRowHeight="12.75" x14ac:dyDescent="0.2"/>
  <cols>
    <col min="1" max="1" width="5.7109375" customWidth="1"/>
    <col min="2" max="2" width="33.140625" customWidth="1"/>
    <col min="3" max="5" width="11.7109375" customWidth="1"/>
    <col min="6" max="6" width="21.28515625" style="293" customWidth="1"/>
    <col min="7" max="8" width="5.7109375" customWidth="1"/>
    <col min="9" max="9" width="10.140625" customWidth="1"/>
    <col min="10" max="10" width="5.140625" customWidth="1"/>
    <col min="12" max="12" width="11.28515625" customWidth="1"/>
    <col min="13" max="13" width="11" customWidth="1"/>
    <col min="23" max="23" width="5.28515625" customWidth="1"/>
  </cols>
  <sheetData>
    <row r="1" spans="1:23" x14ac:dyDescent="0.2">
      <c r="B1" s="1704"/>
      <c r="C1" s="1704"/>
      <c r="D1" s="1704"/>
      <c r="E1" s="1704"/>
      <c r="F1" s="1704"/>
      <c r="G1" s="1704"/>
      <c r="H1" s="1704"/>
      <c r="I1" s="40"/>
    </row>
    <row r="2" spans="1:23" ht="15" customHeight="1" x14ac:dyDescent="0.2">
      <c r="B2" s="1924" t="s">
        <v>449</v>
      </c>
      <c r="C2" s="1924"/>
      <c r="D2" s="1924"/>
      <c r="E2" s="1924"/>
      <c r="F2" s="1924"/>
      <c r="G2" s="1924"/>
      <c r="H2" s="1924"/>
      <c r="I2" s="1924"/>
      <c r="J2" s="451"/>
      <c r="K2" s="451"/>
      <c r="L2" s="451"/>
      <c r="M2" s="19"/>
      <c r="N2" s="19"/>
      <c r="O2" s="19"/>
      <c r="P2" s="19"/>
      <c r="Q2" s="19"/>
      <c r="R2" s="19"/>
      <c r="S2" s="19"/>
      <c r="T2" s="19"/>
      <c r="U2" s="19"/>
      <c r="V2" s="19"/>
      <c r="W2" s="19"/>
    </row>
    <row r="3" spans="1:23" ht="15" customHeight="1" x14ac:dyDescent="0.2">
      <c r="K3" s="1935" t="s">
        <v>247</v>
      </c>
      <c r="L3" s="1935"/>
      <c r="M3" s="19"/>
      <c r="N3" s="1935" t="s">
        <v>248</v>
      </c>
      <c r="O3" s="1935"/>
      <c r="P3" s="1935"/>
      <c r="Q3" s="19"/>
      <c r="R3" s="19"/>
      <c r="S3" s="19"/>
      <c r="T3" s="19"/>
      <c r="U3" s="19"/>
      <c r="V3" s="19"/>
      <c r="W3" s="19"/>
    </row>
    <row r="4" spans="1:23" ht="15" customHeight="1" x14ac:dyDescent="0.2">
      <c r="B4" s="1926" t="s">
        <v>453</v>
      </c>
      <c r="C4" s="1926"/>
      <c r="D4" s="1926"/>
      <c r="E4" s="1926"/>
      <c r="F4" s="1926"/>
      <c r="G4" s="1926"/>
      <c r="H4" s="1926"/>
      <c r="I4" s="1926"/>
      <c r="M4" s="19"/>
      <c r="N4" s="19"/>
      <c r="O4" s="19"/>
      <c r="P4" s="19"/>
      <c r="Q4" s="19"/>
      <c r="R4" s="19"/>
      <c r="S4" s="19"/>
      <c r="T4" s="19"/>
      <c r="U4" s="19"/>
      <c r="V4" s="19"/>
      <c r="W4" s="19"/>
    </row>
    <row r="5" spans="1:23" ht="15" customHeight="1" x14ac:dyDescent="0.25">
      <c r="B5" s="107" t="str">
        <f>'K1 Kostnader'!C5</f>
        <v>Tjänsten erbjuds av:</v>
      </c>
      <c r="F5" s="515"/>
      <c r="G5" s="12"/>
      <c r="J5" s="19"/>
      <c r="K5" s="19"/>
      <c r="L5" s="19"/>
      <c r="M5" s="19"/>
      <c r="N5" s="19"/>
      <c r="O5" s="19"/>
      <c r="P5" s="19"/>
      <c r="Q5" s="19"/>
      <c r="R5" s="19"/>
      <c r="S5" s="19"/>
      <c r="T5" s="19"/>
      <c r="U5" s="19"/>
      <c r="V5" s="19"/>
      <c r="W5" s="19"/>
    </row>
    <row r="6" spans="1:23" ht="12" customHeight="1" x14ac:dyDescent="0.25">
      <c r="B6" s="1936" t="str">
        <f>Startsidan!G35</f>
        <v xml:space="preserve">Karlebynejdens Utveckling Ab
</v>
      </c>
      <c r="C6" s="1936"/>
      <c r="D6" s="1936"/>
      <c r="E6" s="1936"/>
      <c r="F6" s="515"/>
      <c r="G6" s="12"/>
      <c r="J6" s="19"/>
      <c r="K6" s="19"/>
      <c r="L6" s="19"/>
      <c r="M6" s="19"/>
      <c r="N6" s="19"/>
      <c r="O6" s="19"/>
      <c r="P6" s="19"/>
      <c r="Q6" s="19"/>
      <c r="R6" s="19"/>
      <c r="S6" s="19"/>
      <c r="T6" s="19"/>
      <c r="U6" s="19"/>
      <c r="V6" s="19"/>
      <c r="W6" s="19"/>
    </row>
    <row r="7" spans="1:23" ht="12" customHeight="1" x14ac:dyDescent="0.25">
      <c r="B7" s="517"/>
      <c r="C7" s="517"/>
      <c r="D7" s="517"/>
      <c r="E7" s="517"/>
      <c r="F7" s="515"/>
      <c r="G7" s="12"/>
      <c r="J7" s="19"/>
      <c r="K7" s="19"/>
      <c r="L7" s="19"/>
      <c r="M7" s="19"/>
      <c r="N7" s="19"/>
      <c r="O7" s="19"/>
      <c r="P7" s="19"/>
      <c r="Q7" s="19"/>
      <c r="R7" s="19"/>
      <c r="S7" s="19"/>
      <c r="T7" s="19"/>
      <c r="U7" s="19"/>
      <c r="V7" s="19"/>
      <c r="W7" s="19"/>
    </row>
    <row r="8" spans="1:23" ht="12" customHeight="1" x14ac:dyDescent="0.2">
      <c r="B8" s="517" t="s">
        <v>797</v>
      </c>
      <c r="C8" s="1695"/>
      <c r="D8" s="1939"/>
      <c r="E8" s="1939"/>
      <c r="F8" s="294" t="s">
        <v>0</v>
      </c>
      <c r="G8" s="39"/>
      <c r="H8" s="41"/>
      <c r="I8" s="45"/>
      <c r="J8" s="19"/>
      <c r="K8" s="19"/>
      <c r="L8" s="19"/>
      <c r="M8" s="19"/>
      <c r="N8" s="19"/>
      <c r="O8" s="19"/>
      <c r="P8" s="19"/>
      <c r="Q8" s="19"/>
      <c r="R8" s="19"/>
      <c r="S8" s="19"/>
      <c r="T8" s="19"/>
      <c r="U8" s="19"/>
      <c r="V8" s="19"/>
      <c r="W8" s="19"/>
    </row>
    <row r="9" spans="1:23" ht="13.5" customHeight="1" x14ac:dyDescent="0.2">
      <c r="B9" s="1398">
        <f>'FS1 Kostnader '!C9</f>
        <v>0</v>
      </c>
      <c r="C9" s="1940"/>
      <c r="D9" s="1941"/>
      <c r="E9" s="1941"/>
      <c r="F9" s="1706"/>
      <c r="G9" s="1706"/>
      <c r="H9" s="1706"/>
      <c r="I9" s="1706"/>
      <c r="J9" s="19"/>
      <c r="K9" s="19"/>
      <c r="L9" s="19"/>
      <c r="M9" s="19"/>
      <c r="N9" s="19"/>
      <c r="O9" s="19"/>
      <c r="P9" s="19"/>
      <c r="Q9" s="19"/>
      <c r="R9" s="19"/>
      <c r="S9" s="19"/>
      <c r="T9" s="19"/>
      <c r="U9" s="19"/>
      <c r="V9" s="19"/>
      <c r="W9" s="19"/>
    </row>
    <row r="10" spans="1:23" ht="12.75" customHeight="1" x14ac:dyDescent="0.2">
      <c r="B10" s="1"/>
      <c r="C10" s="1"/>
      <c r="D10" s="1"/>
      <c r="E10" s="1"/>
      <c r="F10" s="295"/>
      <c r="G10" s="33"/>
      <c r="H10" s="36"/>
      <c r="I10" s="36"/>
      <c r="J10" s="19"/>
      <c r="K10" s="19"/>
      <c r="L10" s="19"/>
      <c r="M10" s="19"/>
      <c r="N10" s="19"/>
      <c r="O10" s="19"/>
      <c r="P10" s="19"/>
      <c r="Q10" s="19"/>
      <c r="R10" s="19"/>
      <c r="S10" s="19"/>
      <c r="T10" s="19"/>
      <c r="U10" s="19"/>
      <c r="V10" s="19"/>
      <c r="W10" s="19"/>
    </row>
    <row r="11" spans="1:23" x14ac:dyDescent="0.2">
      <c r="B11" s="1708">
        <f>IF(C13=12,0,"OBSERVERA RÄKENSKAPSPERIODENS LÄNGD!")</f>
        <v>0</v>
      </c>
      <c r="C11" s="1556" t="s">
        <v>354</v>
      </c>
      <c r="D11" s="1557" t="s">
        <v>355</v>
      </c>
      <c r="E11" s="1558" t="s">
        <v>356</v>
      </c>
      <c r="J11" s="80"/>
      <c r="L11" s="506">
        <f>C8</f>
        <v>0</v>
      </c>
      <c r="M11" s="80"/>
      <c r="N11" s="507"/>
      <c r="O11" s="19"/>
      <c r="P11" s="19"/>
      <c r="Q11" s="19"/>
      <c r="R11" s="19"/>
      <c r="S11" s="19"/>
      <c r="T11" s="19"/>
      <c r="U11" s="19"/>
      <c r="V11" s="19"/>
      <c r="W11" s="19"/>
    </row>
    <row r="12" spans="1:23" ht="12" customHeight="1" x14ac:dyDescent="0.2">
      <c r="B12" s="1708"/>
      <c r="C12" s="1406">
        <f>'FS1 Kostnader '!F12</f>
        <v>2023</v>
      </c>
      <c r="D12" s="1559">
        <f>'FS1 Kostnader '!G12</f>
        <v>2024</v>
      </c>
      <c r="E12" s="1407">
        <f>'FS1 Kostnader '!H12</f>
        <v>2025</v>
      </c>
      <c r="J12" s="35"/>
      <c r="K12" s="438" t="str">
        <f>B8</f>
        <v>Företag</v>
      </c>
      <c r="L12" s="1399">
        <f>B9</f>
        <v>0</v>
      </c>
      <c r="M12" s="1400"/>
      <c r="N12" s="1401"/>
      <c r="O12" s="1276"/>
      <c r="P12" s="1276"/>
      <c r="Q12" s="1276"/>
      <c r="R12" s="19"/>
      <c r="S12" s="19"/>
      <c r="T12" s="19"/>
      <c r="U12" s="19"/>
      <c r="V12" s="19"/>
      <c r="W12" s="19"/>
    </row>
    <row r="13" spans="1:23" x14ac:dyDescent="0.2">
      <c r="B13" s="1451" t="s">
        <v>357</v>
      </c>
      <c r="C13" s="1560">
        <f>'FS1 Kostnader '!F13</f>
        <v>12</v>
      </c>
      <c r="D13" s="1561">
        <f>'FS1 Kostnader '!G13</f>
        <v>12</v>
      </c>
      <c r="E13" s="1562">
        <f>'FS1 Kostnader '!H13</f>
        <v>12</v>
      </c>
      <c r="F13"/>
      <c r="K13" s="1326"/>
      <c r="L13" s="1329"/>
      <c r="M13" s="1329"/>
      <c r="N13" s="1326"/>
      <c r="O13" s="1326"/>
      <c r="P13" s="1326"/>
      <c r="Q13" s="1326"/>
      <c r="R13" s="1326"/>
      <c r="S13" s="1326"/>
      <c r="T13" s="1326"/>
    </row>
    <row r="14" spans="1:23" ht="4.5" customHeight="1" x14ac:dyDescent="0.2">
      <c r="B14" s="14"/>
      <c r="C14" s="106"/>
      <c r="D14" s="106"/>
      <c r="E14" s="106"/>
      <c r="J14" s="35"/>
      <c r="K14" s="1326"/>
      <c r="L14" s="1354"/>
      <c r="M14" s="1354"/>
      <c r="N14" s="1355"/>
      <c r="O14" s="1356"/>
      <c r="P14" s="1356"/>
      <c r="Q14" s="1356"/>
      <c r="R14" s="1356"/>
      <c r="S14" s="1356"/>
      <c r="T14" s="1356"/>
      <c r="U14" s="19"/>
      <c r="V14" s="19"/>
      <c r="W14" s="19"/>
    </row>
    <row r="15" spans="1:23" ht="12" customHeight="1" x14ac:dyDescent="0.2">
      <c r="B15" s="1032" t="s">
        <v>707</v>
      </c>
      <c r="C15" s="1033">
        <v>0.24</v>
      </c>
      <c r="D15" s="1033">
        <f>C15</f>
        <v>0.24</v>
      </c>
      <c r="E15" s="1549">
        <f>D15</f>
        <v>0.24</v>
      </c>
      <c r="F15" s="1937"/>
      <c r="G15" s="1938"/>
      <c r="H15" s="1938"/>
      <c r="I15" s="1618"/>
      <c r="J15" s="21"/>
      <c r="K15" s="1326"/>
      <c r="L15" s="1354"/>
      <c r="M15" s="1357"/>
      <c r="N15" s="1356"/>
      <c r="O15" s="1356"/>
      <c r="P15" s="1356"/>
      <c r="Q15" s="1356"/>
      <c r="R15" s="1356"/>
      <c r="S15" s="1356"/>
      <c r="T15" s="1356"/>
      <c r="U15" s="19"/>
      <c r="V15" s="19"/>
      <c r="W15" s="19"/>
    </row>
    <row r="16" spans="1:23" ht="12" customHeight="1" x14ac:dyDescent="0.2">
      <c r="A16" s="168"/>
      <c r="B16" s="961" t="s">
        <v>388</v>
      </c>
      <c r="C16" s="887">
        <f>C17*C18</f>
        <v>0</v>
      </c>
      <c r="D16" s="887">
        <f>D17*D18</f>
        <v>0</v>
      </c>
      <c r="E16" s="1546">
        <f>E17*E18</f>
        <v>0</v>
      </c>
      <c r="F16" s="1565"/>
      <c r="G16" s="1453">
        <f>D12</f>
        <v>2024</v>
      </c>
      <c r="H16" s="1453">
        <f>E12</f>
        <v>2025</v>
      </c>
      <c r="I16" s="1619"/>
      <c r="J16" s="21"/>
      <c r="K16" s="1302" t="s">
        <v>351</v>
      </c>
      <c r="L16" s="1358"/>
      <c r="M16" s="1359"/>
      <c r="N16" s="1360"/>
      <c r="O16" s="1360"/>
      <c r="P16" s="1360"/>
      <c r="Q16" s="1360"/>
      <c r="R16" s="1360"/>
      <c r="S16" s="1360"/>
      <c r="T16" s="1361"/>
      <c r="U16" s="19"/>
      <c r="V16" s="19"/>
      <c r="W16" s="19"/>
    </row>
    <row r="17" spans="1:23" ht="12" customHeight="1" x14ac:dyDescent="0.2">
      <c r="B17" s="390" t="s">
        <v>454</v>
      </c>
      <c r="C17" s="1034">
        <v>0</v>
      </c>
      <c r="D17" s="1034">
        <f>C17*(1+G17)</f>
        <v>0</v>
      </c>
      <c r="E17" s="1547">
        <f>D17*(1+H17)</f>
        <v>0</v>
      </c>
      <c r="F17" s="1566" t="s">
        <v>652</v>
      </c>
      <c r="G17" s="1543">
        <v>0.03</v>
      </c>
      <c r="H17" s="1543">
        <f>G17</f>
        <v>0.03</v>
      </c>
      <c r="I17" s="1620"/>
      <c r="J17" s="21"/>
      <c r="K17" s="1346"/>
      <c r="L17" s="1347"/>
      <c r="M17" s="1347"/>
      <c r="N17" s="1347"/>
      <c r="O17" s="1347"/>
      <c r="P17" s="1347"/>
      <c r="Q17" s="1347"/>
      <c r="R17" s="1347"/>
      <c r="S17" s="1347"/>
      <c r="T17" s="1362"/>
      <c r="U17" s="19"/>
      <c r="V17" s="19"/>
      <c r="W17" s="19"/>
    </row>
    <row r="18" spans="1:23" ht="12" customHeight="1" x14ac:dyDescent="0.2">
      <c r="A18" s="168"/>
      <c r="B18" s="1036" t="s">
        <v>455</v>
      </c>
      <c r="C18" s="1035">
        <v>0</v>
      </c>
      <c r="D18" s="1035">
        <f>C18*12/C$13+G18*C18*12/C$13</f>
        <v>0</v>
      </c>
      <c r="E18" s="1548">
        <f>D18*(1+H18)</f>
        <v>0</v>
      </c>
      <c r="F18" s="1566" t="s">
        <v>650</v>
      </c>
      <c r="G18" s="1543">
        <v>0</v>
      </c>
      <c r="H18" s="1543">
        <f>G18</f>
        <v>0</v>
      </c>
      <c r="I18" s="1620"/>
      <c r="J18" s="21"/>
      <c r="K18" s="1346"/>
      <c r="L18" s="1347"/>
      <c r="M18" s="1347"/>
      <c r="N18" s="1347"/>
      <c r="O18" s="1347"/>
      <c r="P18" s="1347"/>
      <c r="Q18" s="1347"/>
      <c r="R18" s="1347"/>
      <c r="S18" s="1347"/>
      <c r="T18" s="1362"/>
      <c r="U18" s="19"/>
      <c r="V18" s="19"/>
      <c r="W18" s="19"/>
    </row>
    <row r="19" spans="1:23" ht="4.1500000000000004" customHeight="1" x14ac:dyDescent="0.2">
      <c r="A19" s="2"/>
      <c r="B19" s="388"/>
      <c r="C19" s="905"/>
      <c r="D19" s="957"/>
      <c r="E19" s="957"/>
      <c r="F19" s="1621"/>
      <c r="G19" s="1544"/>
      <c r="H19" s="1544"/>
      <c r="I19" s="1620"/>
      <c r="J19" s="21"/>
      <c r="K19" s="1363"/>
      <c r="L19" s="1364"/>
      <c r="M19" s="1364"/>
      <c r="N19" s="1364"/>
      <c r="O19" s="1364"/>
      <c r="P19" s="1364"/>
      <c r="Q19" s="1364"/>
      <c r="R19" s="1364"/>
      <c r="S19" s="1364"/>
      <c r="T19" s="1365"/>
      <c r="U19" s="19"/>
      <c r="V19" s="19"/>
      <c r="W19" s="19"/>
    </row>
    <row r="20" spans="1:23" ht="12" customHeight="1" x14ac:dyDescent="0.2">
      <c r="A20" s="168"/>
      <c r="B20" s="1032">
        <v>0</v>
      </c>
      <c r="C20" s="1033">
        <v>0.24</v>
      </c>
      <c r="D20" s="1033">
        <f>C20</f>
        <v>0.24</v>
      </c>
      <c r="E20" s="1549">
        <f>D20</f>
        <v>0.24</v>
      </c>
      <c r="F20" s="1473"/>
      <c r="G20" s="1066"/>
      <c r="H20" s="1066"/>
      <c r="I20" s="1606"/>
      <c r="J20" s="21"/>
      <c r="K20" s="1346"/>
      <c r="L20" s="1347"/>
      <c r="M20" s="1347"/>
      <c r="N20" s="1347"/>
      <c r="O20" s="1347"/>
      <c r="P20" s="1347"/>
      <c r="Q20" s="1347"/>
      <c r="R20" s="1347"/>
      <c r="S20" s="1347"/>
      <c r="T20" s="1362"/>
      <c r="U20" s="19"/>
      <c r="V20" s="19"/>
      <c r="W20" s="19"/>
    </row>
    <row r="21" spans="1:23" ht="12" customHeight="1" x14ac:dyDescent="0.2">
      <c r="B21" s="961" t="s">
        <v>388</v>
      </c>
      <c r="C21" s="887">
        <f>C22*C23</f>
        <v>0</v>
      </c>
      <c r="D21" s="887">
        <f>D22*D23</f>
        <v>0</v>
      </c>
      <c r="E21" s="1546">
        <f>E22*E23</f>
        <v>0</v>
      </c>
      <c r="F21" s="1567"/>
      <c r="G21" s="1453">
        <f>D$12</f>
        <v>2024</v>
      </c>
      <c r="H21" s="1453">
        <f>E$12</f>
        <v>2025</v>
      </c>
      <c r="I21" s="1622"/>
      <c r="J21" s="21"/>
      <c r="K21" s="1346"/>
      <c r="L21" s="1347"/>
      <c r="M21" s="1347"/>
      <c r="N21" s="1347"/>
      <c r="O21" s="1347"/>
      <c r="P21" s="1347"/>
      <c r="Q21" s="1347"/>
      <c r="R21" s="1347"/>
      <c r="S21" s="1347"/>
      <c r="T21" s="1362"/>
      <c r="U21" s="19"/>
      <c r="V21" s="19"/>
      <c r="W21" s="19"/>
    </row>
    <row r="22" spans="1:23" ht="12" customHeight="1" x14ac:dyDescent="0.2">
      <c r="A22" s="168"/>
      <c r="B22" s="390" t="s">
        <v>454</v>
      </c>
      <c r="C22" s="1034">
        <v>0</v>
      </c>
      <c r="D22" s="1034">
        <f>C22*(1+G22)</f>
        <v>0</v>
      </c>
      <c r="E22" s="1547">
        <f>D22*(1+H22)</f>
        <v>0</v>
      </c>
      <c r="F22" s="1566" t="s">
        <v>652</v>
      </c>
      <c r="G22" s="1543">
        <v>0.03</v>
      </c>
      <c r="H22" s="1543">
        <f>G22</f>
        <v>0.03</v>
      </c>
      <c r="I22" s="1620"/>
      <c r="J22" s="24"/>
      <c r="K22" s="746"/>
      <c r="L22" s="1284"/>
      <c r="M22" s="1284"/>
      <c r="N22" s="1284"/>
      <c r="O22" s="1284"/>
      <c r="P22" s="1347"/>
      <c r="Q22" s="1347"/>
      <c r="R22" s="1347"/>
      <c r="S22" s="1347"/>
      <c r="T22" s="1362"/>
      <c r="U22" s="19"/>
      <c r="V22" s="19"/>
      <c r="W22" s="19"/>
    </row>
    <row r="23" spans="1:23" ht="12" customHeight="1" x14ac:dyDescent="0.2">
      <c r="A23" s="2"/>
      <c r="B23" s="1036" t="s">
        <v>455</v>
      </c>
      <c r="C23" s="1035">
        <v>0</v>
      </c>
      <c r="D23" s="1035">
        <f>C23*12/C$13+G23*C23*12/C$13</f>
        <v>0</v>
      </c>
      <c r="E23" s="1548">
        <f>D23*(1+H23)</f>
        <v>0</v>
      </c>
      <c r="F23" s="1566" t="s">
        <v>650</v>
      </c>
      <c r="G23" s="1543">
        <v>0</v>
      </c>
      <c r="H23" s="1543">
        <f>G23</f>
        <v>0</v>
      </c>
      <c r="I23" s="1620"/>
      <c r="J23" s="29"/>
      <c r="K23" s="746"/>
      <c r="L23" s="1284"/>
      <c r="M23" s="1284"/>
      <c r="N23" s="1284"/>
      <c r="O23" s="1284"/>
      <c r="P23" s="1347"/>
      <c r="Q23" s="1347"/>
      <c r="R23" s="1347"/>
      <c r="S23" s="1347"/>
      <c r="T23" s="1362"/>
      <c r="U23" s="19"/>
      <c r="V23" s="19"/>
      <c r="W23" s="19"/>
    </row>
    <row r="24" spans="1:23" ht="4.1500000000000004" customHeight="1" x14ac:dyDescent="0.2">
      <c r="A24" s="168"/>
      <c r="B24" s="388"/>
      <c r="C24" s="905"/>
      <c r="D24" s="957"/>
      <c r="E24" s="957"/>
      <c r="F24" s="1621"/>
      <c r="G24" s="1544"/>
      <c r="H24" s="1544"/>
      <c r="I24" s="1620"/>
      <c r="J24" s="29"/>
      <c r="K24" s="1338"/>
      <c r="L24" s="1287"/>
      <c r="M24" s="1287"/>
      <c r="N24" s="1287"/>
      <c r="O24" s="1287"/>
      <c r="P24" s="1364"/>
      <c r="Q24" s="1364"/>
      <c r="R24" s="1364"/>
      <c r="S24" s="1364"/>
      <c r="T24" s="1365"/>
      <c r="U24" s="19"/>
      <c r="V24" s="19"/>
      <c r="W24" s="19"/>
    </row>
    <row r="25" spans="1:23" ht="12" customHeight="1" x14ac:dyDescent="0.2">
      <c r="A25" s="168"/>
      <c r="B25" s="1032">
        <v>0</v>
      </c>
      <c r="C25" s="1033">
        <v>0.24</v>
      </c>
      <c r="D25" s="1033">
        <f>C25</f>
        <v>0.24</v>
      </c>
      <c r="E25" s="1549">
        <f>D25</f>
        <v>0.24</v>
      </c>
      <c r="F25" s="1473" t="s">
        <v>0</v>
      </c>
      <c r="G25" s="1066"/>
      <c r="H25" s="1066"/>
      <c r="I25" s="1606"/>
      <c r="J25" s="29"/>
      <c r="K25" s="746"/>
      <c r="L25" s="1284"/>
      <c r="M25" s="1284"/>
      <c r="N25" s="1284"/>
      <c r="O25" s="1284"/>
      <c r="P25" s="1347"/>
      <c r="Q25" s="1347"/>
      <c r="R25" s="1347"/>
      <c r="S25" s="1347"/>
      <c r="T25" s="1362"/>
      <c r="U25" s="19"/>
      <c r="V25" s="19"/>
      <c r="W25" s="19"/>
    </row>
    <row r="26" spans="1:23" ht="12" customHeight="1" x14ac:dyDescent="0.2">
      <c r="B26" s="961" t="s">
        <v>388</v>
      </c>
      <c r="C26" s="887">
        <f>C27*C28</f>
        <v>0</v>
      </c>
      <c r="D26" s="887">
        <f>D27*D28</f>
        <v>0</v>
      </c>
      <c r="E26" s="1546">
        <f>E27*E28</f>
        <v>0</v>
      </c>
      <c r="F26" s="1568"/>
      <c r="G26" s="1453">
        <f>D$12</f>
        <v>2024</v>
      </c>
      <c r="H26" s="1453">
        <f>E$12</f>
        <v>2025</v>
      </c>
      <c r="I26" s="1622"/>
      <c r="K26" s="746"/>
      <c r="L26" s="1284"/>
      <c r="M26" s="1284"/>
      <c r="N26" s="1284">
        <v>0</v>
      </c>
      <c r="O26" s="1284"/>
      <c r="P26" s="1347"/>
      <c r="Q26" s="1347"/>
      <c r="R26" s="1347"/>
      <c r="S26" s="1347"/>
      <c r="T26" s="1362"/>
      <c r="U26" s="19"/>
      <c r="V26" s="19"/>
      <c r="W26" s="19"/>
    </row>
    <row r="27" spans="1:23" ht="12" customHeight="1" x14ac:dyDescent="0.2">
      <c r="A27" s="168"/>
      <c r="B27" s="390" t="s">
        <v>454</v>
      </c>
      <c r="C27" s="1034">
        <v>0</v>
      </c>
      <c r="D27" s="1034">
        <f>C27*(1+G27)</f>
        <v>0</v>
      </c>
      <c r="E27" s="1547">
        <f>D27*(1+H27)</f>
        <v>0</v>
      </c>
      <c r="F27" s="1566" t="s">
        <v>652</v>
      </c>
      <c r="G27" s="1543">
        <v>0.03</v>
      </c>
      <c r="H27" s="1543">
        <f>G27</f>
        <v>0.03</v>
      </c>
      <c r="I27" s="1620"/>
      <c r="K27" s="746"/>
      <c r="L27" s="1284"/>
      <c r="M27" s="1284"/>
      <c r="N27" s="1284"/>
      <c r="O27" s="1284"/>
      <c r="P27" s="1347"/>
      <c r="Q27" s="1347"/>
      <c r="R27" s="1347"/>
      <c r="S27" s="1347"/>
      <c r="T27" s="1362"/>
      <c r="U27" s="19"/>
      <c r="V27" s="19"/>
      <c r="W27" s="19"/>
    </row>
    <row r="28" spans="1:23" ht="12" customHeight="1" x14ac:dyDescent="0.2">
      <c r="A28" s="2"/>
      <c r="B28" s="1036" t="s">
        <v>455</v>
      </c>
      <c r="C28" s="1035">
        <v>0</v>
      </c>
      <c r="D28" s="1035">
        <f>C28*12/C$13+G28*C28*12/C$13</f>
        <v>0</v>
      </c>
      <c r="E28" s="1548">
        <f>D28*(1+H28)</f>
        <v>0</v>
      </c>
      <c r="F28" s="1566" t="s">
        <v>650</v>
      </c>
      <c r="G28" s="1543">
        <v>0</v>
      </c>
      <c r="H28" s="1543">
        <f>G28</f>
        <v>0</v>
      </c>
      <c r="I28" s="1620"/>
      <c r="K28" s="746"/>
      <c r="L28" s="1284"/>
      <c r="M28" s="1284"/>
      <c r="N28" s="1284"/>
      <c r="O28" s="1284"/>
      <c r="P28" s="1347"/>
      <c r="Q28" s="1347"/>
      <c r="R28" s="1347"/>
      <c r="S28" s="1347"/>
      <c r="T28" s="1362"/>
      <c r="U28" s="19"/>
      <c r="V28" s="19"/>
      <c r="W28" s="19"/>
    </row>
    <row r="29" spans="1:23" ht="4.1500000000000004" customHeight="1" x14ac:dyDescent="0.2">
      <c r="A29" s="2"/>
      <c r="B29" s="388"/>
      <c r="C29" s="905"/>
      <c r="D29" s="957"/>
      <c r="E29" s="957"/>
      <c r="F29" s="1623"/>
      <c r="G29" s="1544"/>
      <c r="H29" s="1544"/>
      <c r="I29" s="1620"/>
      <c r="K29" s="1338"/>
      <c r="L29" s="1287"/>
      <c r="M29" s="1287"/>
      <c r="N29" s="1287"/>
      <c r="O29" s="1287"/>
      <c r="P29" s="1364"/>
      <c r="Q29" s="1364"/>
      <c r="R29" s="1364"/>
      <c r="S29" s="1364"/>
      <c r="T29" s="1365"/>
      <c r="U29" s="19"/>
      <c r="V29" s="19"/>
      <c r="W29" s="19"/>
    </row>
    <row r="30" spans="1:23" ht="12" customHeight="1" x14ac:dyDescent="0.2">
      <c r="A30" s="168"/>
      <c r="B30" s="1032">
        <v>0</v>
      </c>
      <c r="C30" s="1033">
        <v>0.24</v>
      </c>
      <c r="D30" s="1033">
        <f>C30</f>
        <v>0.24</v>
      </c>
      <c r="E30" s="1549">
        <f>D30</f>
        <v>0.24</v>
      </c>
      <c r="F30" s="1473"/>
      <c r="G30" s="1066"/>
      <c r="H30" s="1066"/>
      <c r="I30" s="1606"/>
      <c r="K30" s="746"/>
      <c r="L30" s="1284"/>
      <c r="M30" s="1284"/>
      <c r="N30" s="1284"/>
      <c r="O30" s="1284"/>
      <c r="P30" s="1347"/>
      <c r="Q30" s="1347"/>
      <c r="R30" s="1347"/>
      <c r="S30" s="1347"/>
      <c r="T30" s="1362"/>
      <c r="U30" s="19"/>
      <c r="V30" s="19"/>
      <c r="W30" s="19"/>
    </row>
    <row r="31" spans="1:23" ht="12" customHeight="1" x14ac:dyDescent="0.2">
      <c r="B31" s="961" t="s">
        <v>388</v>
      </c>
      <c r="C31" s="887">
        <f>C32*C33</f>
        <v>0</v>
      </c>
      <c r="D31" s="887">
        <f>D32*D33</f>
        <v>0</v>
      </c>
      <c r="E31" s="1546">
        <f>E32*E33</f>
        <v>0</v>
      </c>
      <c r="F31" s="1568"/>
      <c r="G31" s="1453">
        <f>D$12</f>
        <v>2024</v>
      </c>
      <c r="H31" s="1453">
        <f>E$12</f>
        <v>2025</v>
      </c>
      <c r="I31" s="1606" t="s">
        <v>0</v>
      </c>
      <c r="K31" s="746"/>
      <c r="L31" s="1284"/>
      <c r="M31" s="1284"/>
      <c r="N31" s="1284"/>
      <c r="O31" s="1284"/>
      <c r="P31" s="1347"/>
      <c r="Q31" s="1347"/>
      <c r="R31" s="1347"/>
      <c r="S31" s="1347"/>
      <c r="T31" s="1362"/>
      <c r="U31" s="19"/>
      <c r="V31" s="19"/>
      <c r="W31" s="19"/>
    </row>
    <row r="32" spans="1:23" ht="12" customHeight="1" x14ac:dyDescent="0.2">
      <c r="A32" s="168"/>
      <c r="B32" s="390" t="s">
        <v>454</v>
      </c>
      <c r="C32" s="1034">
        <v>0</v>
      </c>
      <c r="D32" s="1034">
        <f>C32*(1+G32)</f>
        <v>0</v>
      </c>
      <c r="E32" s="1547">
        <f>D32*(1+H32)</f>
        <v>0</v>
      </c>
      <c r="F32" s="1566" t="s">
        <v>652</v>
      </c>
      <c r="G32" s="1543">
        <v>0.03</v>
      </c>
      <c r="H32" s="1543">
        <f>G32</f>
        <v>0.03</v>
      </c>
      <c r="I32" s="1606"/>
      <c r="K32" s="746"/>
      <c r="L32" s="1284"/>
      <c r="M32" s="1284"/>
      <c r="N32" s="1284"/>
      <c r="O32" s="1284"/>
      <c r="P32" s="1347"/>
      <c r="Q32" s="1347"/>
      <c r="R32" s="1347"/>
      <c r="S32" s="1347"/>
      <c r="T32" s="1362"/>
      <c r="U32" s="19"/>
      <c r="V32" s="19"/>
      <c r="W32" s="19"/>
    </row>
    <row r="33" spans="1:23" ht="12" customHeight="1" x14ac:dyDescent="0.2">
      <c r="A33" s="2"/>
      <c r="B33" s="1036" t="s">
        <v>455</v>
      </c>
      <c r="C33" s="1035">
        <v>0</v>
      </c>
      <c r="D33" s="1035">
        <f>C33*12/C$13+G33*C33*12/C$13</f>
        <v>0</v>
      </c>
      <c r="E33" s="1548">
        <f>D33*(1+H33)</f>
        <v>0</v>
      </c>
      <c r="F33" s="1566" t="s">
        <v>650</v>
      </c>
      <c r="G33" s="1543">
        <v>0</v>
      </c>
      <c r="H33" s="1543">
        <f>G33</f>
        <v>0</v>
      </c>
      <c r="I33" s="1624"/>
      <c r="K33" s="746"/>
      <c r="L33" s="1284"/>
      <c r="M33" s="1284"/>
      <c r="N33" s="1284"/>
      <c r="O33" s="1284"/>
      <c r="P33" s="1347"/>
      <c r="Q33" s="1347"/>
      <c r="R33" s="1347"/>
      <c r="S33" s="1347"/>
      <c r="T33" s="1362"/>
      <c r="U33" s="19"/>
      <c r="V33" s="19"/>
      <c r="W33" s="19"/>
    </row>
    <row r="34" spans="1:23" ht="4.1500000000000004" customHeight="1" x14ac:dyDescent="0.2">
      <c r="B34" s="388"/>
      <c r="C34" s="905"/>
      <c r="D34" s="905"/>
      <c r="E34" s="905"/>
      <c r="F34" s="1621"/>
      <c r="G34" s="1045"/>
      <c r="H34" s="1544"/>
      <c r="I34" s="1620"/>
      <c r="K34" s="1338"/>
      <c r="L34" s="1287"/>
      <c r="M34" s="1287"/>
      <c r="N34" s="1287"/>
      <c r="O34" s="1287"/>
      <c r="P34" s="1364"/>
      <c r="Q34" s="1364"/>
      <c r="R34" s="1364"/>
      <c r="S34" s="1364"/>
      <c r="T34" s="1365"/>
      <c r="U34" s="19"/>
      <c r="V34" s="19"/>
      <c r="W34" s="19"/>
    </row>
    <row r="35" spans="1:23" ht="12" customHeight="1" x14ac:dyDescent="0.2">
      <c r="A35" s="168"/>
      <c r="B35" s="1032">
        <v>0</v>
      </c>
      <c r="C35" s="1033">
        <v>0.24</v>
      </c>
      <c r="D35" s="1033">
        <f>C35</f>
        <v>0.24</v>
      </c>
      <c r="E35" s="1549">
        <f>D35</f>
        <v>0.24</v>
      </c>
      <c r="F35" s="1473" t="s">
        <v>0</v>
      </c>
      <c r="G35" s="1066"/>
      <c r="H35" s="1066"/>
      <c r="I35" s="1606"/>
      <c r="K35" s="746"/>
      <c r="L35" s="1284"/>
      <c r="M35" s="1284"/>
      <c r="N35" s="1284"/>
      <c r="O35" s="1284"/>
      <c r="P35" s="1347"/>
      <c r="Q35" s="1347"/>
      <c r="R35" s="1347"/>
      <c r="S35" s="1347"/>
      <c r="T35" s="1362"/>
      <c r="U35" s="19"/>
      <c r="V35" s="19"/>
      <c r="W35" s="19"/>
    </row>
    <row r="36" spans="1:23" ht="12" customHeight="1" x14ac:dyDescent="0.2">
      <c r="B36" s="961" t="s">
        <v>388</v>
      </c>
      <c r="C36" s="887">
        <f>C37*C38</f>
        <v>0</v>
      </c>
      <c r="D36" s="887">
        <f>D37*D38</f>
        <v>0</v>
      </c>
      <c r="E36" s="1546">
        <f>E37*E38</f>
        <v>0</v>
      </c>
      <c r="F36" s="1568"/>
      <c r="G36" s="1453">
        <f>D$12</f>
        <v>2024</v>
      </c>
      <c r="H36" s="1453">
        <f>E$12</f>
        <v>2025</v>
      </c>
      <c r="I36" s="1606"/>
      <c r="K36" s="746"/>
      <c r="L36" s="1284"/>
      <c r="M36" s="1284"/>
      <c r="N36" s="1284"/>
      <c r="O36" s="1284"/>
      <c r="P36" s="1347"/>
      <c r="Q36" s="1347"/>
      <c r="R36" s="1347"/>
      <c r="S36" s="1347"/>
      <c r="T36" s="1362"/>
      <c r="U36" s="19"/>
      <c r="V36" s="19"/>
      <c r="W36" s="19"/>
    </row>
    <row r="37" spans="1:23" ht="12" customHeight="1" x14ac:dyDescent="0.2">
      <c r="A37" s="168"/>
      <c r="B37" s="390" t="s">
        <v>454</v>
      </c>
      <c r="C37" s="1034">
        <v>0</v>
      </c>
      <c r="D37" s="1034">
        <f>C37*(1+G37)</f>
        <v>0</v>
      </c>
      <c r="E37" s="1547">
        <f>D37*(1+H37)</f>
        <v>0</v>
      </c>
      <c r="F37" s="1566" t="s">
        <v>652</v>
      </c>
      <c r="G37" s="1543">
        <v>0.03</v>
      </c>
      <c r="H37" s="1543">
        <f>G37</f>
        <v>0.03</v>
      </c>
      <c r="I37" s="1624"/>
      <c r="K37" s="746"/>
      <c r="L37" s="1284"/>
      <c r="M37" s="1284"/>
      <c r="N37" s="1284"/>
      <c r="O37" s="1284"/>
      <c r="P37" s="1347"/>
      <c r="Q37" s="1347"/>
      <c r="R37" s="1347"/>
      <c r="S37" s="1347"/>
      <c r="T37" s="1362"/>
      <c r="U37" s="19"/>
      <c r="V37" s="19"/>
      <c r="W37" s="19"/>
    </row>
    <row r="38" spans="1:23" ht="12" customHeight="1" x14ac:dyDescent="0.2">
      <c r="A38" s="2"/>
      <c r="B38" s="1036" t="s">
        <v>455</v>
      </c>
      <c r="C38" s="1035">
        <v>0</v>
      </c>
      <c r="D38" s="1035">
        <f>C38*12/C$13+G38*C38*12/C$13</f>
        <v>0</v>
      </c>
      <c r="E38" s="1548">
        <f>D38*(1+H38)</f>
        <v>0</v>
      </c>
      <c r="F38" s="1566" t="s">
        <v>650</v>
      </c>
      <c r="G38" s="1543">
        <v>0</v>
      </c>
      <c r="H38" s="1543">
        <f>G38</f>
        <v>0</v>
      </c>
      <c r="I38" s="1624"/>
      <c r="K38" s="746"/>
      <c r="L38" s="1284"/>
      <c r="M38" s="1284"/>
      <c r="N38" s="1284"/>
      <c r="O38" s="1284"/>
      <c r="P38" s="1347"/>
      <c r="Q38" s="1347"/>
      <c r="R38" s="1347"/>
      <c r="S38" s="1347"/>
      <c r="T38" s="1362"/>
      <c r="U38" s="19"/>
      <c r="V38" s="19"/>
      <c r="W38" s="19"/>
    </row>
    <row r="39" spans="1:23" ht="4.1500000000000004" customHeight="1" x14ac:dyDescent="0.2">
      <c r="A39" s="168"/>
      <c r="B39" s="388"/>
      <c r="C39" s="905"/>
      <c r="D39" s="905"/>
      <c r="E39" s="905"/>
      <c r="F39" s="1621"/>
      <c r="G39" s="1045"/>
      <c r="H39" s="1544"/>
      <c r="I39" s="1620"/>
      <c r="K39" s="1338"/>
      <c r="L39" s="1287"/>
      <c r="M39" s="1287"/>
      <c r="N39" s="1287"/>
      <c r="O39" s="1287"/>
      <c r="P39" s="1364"/>
      <c r="Q39" s="1364"/>
      <c r="R39" s="1364"/>
      <c r="S39" s="1364"/>
      <c r="T39" s="1365"/>
      <c r="U39" s="19"/>
      <c r="V39" s="19"/>
      <c r="W39" s="19"/>
    </row>
    <row r="40" spans="1:23" ht="12" customHeight="1" x14ac:dyDescent="0.2">
      <c r="B40" s="1032" t="s">
        <v>456</v>
      </c>
      <c r="C40" s="1033">
        <v>0.24</v>
      </c>
      <c r="D40" s="1033">
        <f>C40</f>
        <v>0.24</v>
      </c>
      <c r="E40" s="1549">
        <f>D40</f>
        <v>0.24</v>
      </c>
      <c r="F40" s="1473" t="s">
        <v>0</v>
      </c>
      <c r="G40" s="1545"/>
      <c r="H40" s="1545"/>
      <c r="I40" s="1606"/>
      <c r="K40" s="746"/>
      <c r="L40" s="1284"/>
      <c r="M40" s="1284"/>
      <c r="N40" s="1284"/>
      <c r="O40" s="1284"/>
      <c r="P40" s="1347"/>
      <c r="Q40" s="1347"/>
      <c r="R40" s="1347"/>
      <c r="S40" s="1347"/>
      <c r="T40" s="1362"/>
      <c r="U40" s="19"/>
      <c r="V40" s="19"/>
      <c r="W40" s="19"/>
    </row>
    <row r="41" spans="1:23" ht="12" customHeight="1" x14ac:dyDescent="0.2">
      <c r="A41" s="168"/>
      <c r="B41" s="962" t="s">
        <v>388</v>
      </c>
      <c r="C41" s="887">
        <f>C44*C43</f>
        <v>0</v>
      </c>
      <c r="D41" s="887">
        <f>D44*D43</f>
        <v>0</v>
      </c>
      <c r="E41" s="1546">
        <f>E44*E43</f>
        <v>0</v>
      </c>
      <c r="F41" s="1568"/>
      <c r="G41" s="1453">
        <f>D$12</f>
        <v>2024</v>
      </c>
      <c r="H41" s="1453">
        <f>E$12</f>
        <v>2025</v>
      </c>
      <c r="I41" s="1622"/>
      <c r="J41" s="90"/>
      <c r="K41" s="1346"/>
      <c r="L41" s="1347"/>
      <c r="M41" s="1347"/>
      <c r="N41" s="1347"/>
      <c r="O41" s="1347"/>
      <c r="P41" s="1347"/>
      <c r="Q41" s="1347"/>
      <c r="R41" s="1347"/>
      <c r="S41" s="1347"/>
      <c r="T41" s="1362"/>
      <c r="U41" s="19"/>
      <c r="V41" s="19"/>
      <c r="W41" s="19"/>
    </row>
    <row r="42" spans="1:23" ht="12" customHeight="1" x14ac:dyDescent="0.2">
      <c r="A42" s="2"/>
      <c r="B42" s="390" t="s">
        <v>457</v>
      </c>
      <c r="C42" s="1034">
        <v>0</v>
      </c>
      <c r="D42" s="1034">
        <f t="shared" ref="D42:E44" si="0">C42*(1+G42)</f>
        <v>0</v>
      </c>
      <c r="E42" s="1547">
        <f t="shared" si="0"/>
        <v>0</v>
      </c>
      <c r="F42" s="1569" t="s">
        <v>653</v>
      </c>
      <c r="G42" s="1543">
        <v>0.03</v>
      </c>
      <c r="H42" s="1543">
        <f>G42</f>
        <v>0.03</v>
      </c>
      <c r="I42" s="1620"/>
      <c r="J42" s="29"/>
      <c r="K42" s="1346"/>
      <c r="L42" s="1347"/>
      <c r="M42" s="1347"/>
      <c r="N42" s="1347"/>
      <c r="O42" s="1347"/>
      <c r="P42" s="1347"/>
      <c r="Q42" s="1347"/>
      <c r="R42" s="1347"/>
      <c r="S42" s="1347"/>
      <c r="T42" s="1362"/>
      <c r="U42" s="19"/>
      <c r="V42" s="19"/>
      <c r="W42" s="19"/>
    </row>
    <row r="43" spans="1:23" ht="12" customHeight="1" x14ac:dyDescent="0.2">
      <c r="B43" s="390" t="s">
        <v>458</v>
      </c>
      <c r="C43" s="1035">
        <v>0</v>
      </c>
      <c r="D43" s="1035">
        <f>C43*12/C$13+G43*C43*12/C$13</f>
        <v>0</v>
      </c>
      <c r="E43" s="1548">
        <f t="shared" si="0"/>
        <v>0</v>
      </c>
      <c r="F43" s="1569" t="s">
        <v>477</v>
      </c>
      <c r="G43" s="1543">
        <v>0</v>
      </c>
      <c r="H43" s="1543">
        <f>G43</f>
        <v>0</v>
      </c>
      <c r="I43" s="1620"/>
      <c r="J43" s="29"/>
      <c r="K43" s="1346"/>
      <c r="L43" s="1347"/>
      <c r="M43" s="1347"/>
      <c r="N43" s="1347"/>
      <c r="O43" s="1347"/>
      <c r="P43" s="1347"/>
      <c r="Q43" s="1347"/>
      <c r="R43" s="1347"/>
      <c r="S43" s="1347"/>
      <c r="T43" s="1362"/>
      <c r="U43" s="19"/>
      <c r="V43" s="19"/>
      <c r="W43" s="19"/>
    </row>
    <row r="44" spans="1:23" ht="12" customHeight="1" x14ac:dyDescent="0.2">
      <c r="B44" s="390" t="s">
        <v>459</v>
      </c>
      <c r="C44" s="1034">
        <v>0</v>
      </c>
      <c r="D44" s="1034">
        <f t="shared" si="0"/>
        <v>0</v>
      </c>
      <c r="E44" s="1547">
        <f t="shared" si="0"/>
        <v>0</v>
      </c>
      <c r="F44" s="1570" t="s">
        <v>654</v>
      </c>
      <c r="G44" s="1543">
        <v>0.03</v>
      </c>
      <c r="H44" s="1543">
        <f>G44</f>
        <v>0.03</v>
      </c>
      <c r="I44" s="1620"/>
      <c r="J44" s="29"/>
      <c r="K44" s="1346"/>
      <c r="L44" s="1347"/>
      <c r="M44" s="1347"/>
      <c r="N44" s="1347"/>
      <c r="O44" s="1347"/>
      <c r="P44" s="1347"/>
      <c r="Q44" s="1347"/>
      <c r="R44" s="1347"/>
      <c r="S44" s="1347"/>
      <c r="T44" s="1362"/>
      <c r="U44" s="19"/>
      <c r="V44" s="19"/>
      <c r="W44" s="19"/>
    </row>
    <row r="45" spans="1:23" ht="12" customHeight="1" x14ac:dyDescent="0.2">
      <c r="A45" s="168"/>
      <c r="B45" s="390" t="s">
        <v>460</v>
      </c>
      <c r="C45" s="882">
        <f>IF(C44=0,0,(C44-C42)/C44)</f>
        <v>0</v>
      </c>
      <c r="D45" s="882">
        <f>IF(D44=0,0,(D44-D42)/D44)</f>
        <v>0</v>
      </c>
      <c r="E45" s="1466">
        <f>IF(E44=0,0,(E44-E42)/E44)</f>
        <v>0</v>
      </c>
      <c r="F45" s="1473" t="s">
        <v>0</v>
      </c>
      <c r="G45" s="1066"/>
      <c r="H45" s="1066"/>
      <c r="I45" s="1606"/>
      <c r="J45" s="29"/>
      <c r="K45" s="1346"/>
      <c r="L45" s="1347"/>
      <c r="M45" s="1347"/>
      <c r="N45" s="1347"/>
      <c r="O45" s="1347"/>
      <c r="P45" s="1347"/>
      <c r="Q45" s="1347"/>
      <c r="R45" s="1347"/>
      <c r="S45" s="1347"/>
      <c r="T45" s="1362"/>
      <c r="U45" s="19"/>
      <c r="V45" s="19"/>
      <c r="W45" s="19"/>
    </row>
    <row r="46" spans="1:23" ht="4.1500000000000004" customHeight="1" x14ac:dyDescent="0.2">
      <c r="B46" s="388"/>
      <c r="C46" s="958"/>
      <c r="D46" s="958"/>
      <c r="E46" s="958"/>
      <c r="F46" s="1621"/>
      <c r="G46" s="1045"/>
      <c r="H46" s="1045"/>
      <c r="I46" s="1625"/>
      <c r="J46" s="29"/>
      <c r="K46" s="1363"/>
      <c r="L46" s="1364"/>
      <c r="M46" s="1364"/>
      <c r="N46" s="1364"/>
      <c r="O46" s="1364"/>
      <c r="P46" s="1364"/>
      <c r="Q46" s="1364"/>
      <c r="R46" s="1364"/>
      <c r="S46" s="1364"/>
      <c r="T46" s="1365"/>
      <c r="U46" s="19"/>
      <c r="V46" s="19"/>
      <c r="W46" s="19"/>
    </row>
    <row r="47" spans="1:23" ht="12" customHeight="1" x14ac:dyDescent="0.2">
      <c r="A47" s="168"/>
      <c r="B47" s="1032">
        <v>0</v>
      </c>
      <c r="C47" s="1033">
        <v>0.24</v>
      </c>
      <c r="D47" s="1033">
        <f>C47</f>
        <v>0.24</v>
      </c>
      <c r="E47" s="1549">
        <f>D47</f>
        <v>0.24</v>
      </c>
      <c r="F47" s="1473"/>
      <c r="G47" s="1066"/>
      <c r="H47" s="1066"/>
      <c r="I47" s="1606"/>
      <c r="J47" s="29"/>
      <c r="K47" s="1366"/>
      <c r="L47" s="1347"/>
      <c r="M47" s="1347"/>
      <c r="N47" s="1347"/>
      <c r="O47" s="1347"/>
      <c r="P47" s="1347"/>
      <c r="Q47" s="1347"/>
      <c r="R47" s="1347"/>
      <c r="S47" s="1347"/>
      <c r="T47" s="1362"/>
      <c r="U47" s="19"/>
      <c r="V47" s="19"/>
      <c r="W47" s="19"/>
    </row>
    <row r="48" spans="1:23" ht="12" customHeight="1" x14ac:dyDescent="0.2">
      <c r="A48" s="2"/>
      <c r="B48" s="962" t="s">
        <v>388</v>
      </c>
      <c r="C48" s="887">
        <f>C51*C50</f>
        <v>0</v>
      </c>
      <c r="D48" s="887">
        <f>D51*D50</f>
        <v>0</v>
      </c>
      <c r="E48" s="1546">
        <f>E51*E50</f>
        <v>0</v>
      </c>
      <c r="F48" s="1567"/>
      <c r="G48" s="1453">
        <f>D$12</f>
        <v>2024</v>
      </c>
      <c r="H48" s="1453">
        <f>E$12</f>
        <v>2025</v>
      </c>
      <c r="I48" s="1622"/>
      <c r="J48" s="29"/>
      <c r="K48" s="1366"/>
      <c r="L48" s="1347"/>
      <c r="M48" s="1347"/>
      <c r="N48" s="1347"/>
      <c r="O48" s="1347"/>
      <c r="P48" s="1347"/>
      <c r="Q48" s="1347"/>
      <c r="R48" s="1347"/>
      <c r="S48" s="1347"/>
      <c r="T48" s="1362"/>
      <c r="U48" s="19"/>
      <c r="V48" s="19"/>
      <c r="W48" s="19"/>
    </row>
    <row r="49" spans="1:23" ht="12" customHeight="1" x14ac:dyDescent="0.2">
      <c r="B49" s="390" t="s">
        <v>457</v>
      </c>
      <c r="C49" s="1550">
        <v>0</v>
      </c>
      <c r="D49" s="1034">
        <f t="shared" ref="D49:E51" si="1">C49*(1+G49)</f>
        <v>0</v>
      </c>
      <c r="E49" s="1547">
        <f t="shared" si="1"/>
        <v>0</v>
      </c>
      <c r="F49" s="1569" t="s">
        <v>653</v>
      </c>
      <c r="G49" s="1543">
        <v>0.03</v>
      </c>
      <c r="H49" s="1543">
        <f>G49</f>
        <v>0.03</v>
      </c>
      <c r="I49" s="1620"/>
      <c r="J49" s="19"/>
      <c r="K49" s="1346"/>
      <c r="L49" s="1347"/>
      <c r="M49" s="1347"/>
      <c r="N49" s="1347"/>
      <c r="O49" s="1347"/>
      <c r="P49" s="1347"/>
      <c r="Q49" s="1347"/>
      <c r="R49" s="1347"/>
      <c r="S49" s="1347"/>
      <c r="T49" s="1362"/>
      <c r="U49" s="19"/>
      <c r="V49" s="19"/>
      <c r="W49" s="19"/>
    </row>
    <row r="50" spans="1:23" ht="12" customHeight="1" x14ac:dyDescent="0.2">
      <c r="B50" s="390" t="s">
        <v>458</v>
      </c>
      <c r="C50" s="1551">
        <v>0</v>
      </c>
      <c r="D50" s="1035">
        <f>C50*12/C$13+G50*C50*12/C$13</f>
        <v>0</v>
      </c>
      <c r="E50" s="1548">
        <f t="shared" si="1"/>
        <v>0</v>
      </c>
      <c r="F50" s="1569" t="s">
        <v>477</v>
      </c>
      <c r="G50" s="1543">
        <v>0</v>
      </c>
      <c r="H50" s="1543">
        <f>G50</f>
        <v>0</v>
      </c>
      <c r="I50" s="1620"/>
      <c r="J50" s="19"/>
      <c r="K50" s="1346"/>
      <c r="L50" s="1347"/>
      <c r="M50" s="1347"/>
      <c r="N50" s="1347"/>
      <c r="O50" s="1347"/>
      <c r="P50" s="1347"/>
      <c r="Q50" s="1347"/>
      <c r="R50" s="1347"/>
      <c r="S50" s="1347"/>
      <c r="T50" s="1362"/>
      <c r="U50" s="19"/>
      <c r="V50" s="19"/>
      <c r="W50" s="19"/>
    </row>
    <row r="51" spans="1:23" ht="12" customHeight="1" x14ac:dyDescent="0.2">
      <c r="B51" s="390" t="s">
        <v>459</v>
      </c>
      <c r="C51" s="1550">
        <v>0</v>
      </c>
      <c r="D51" s="1034">
        <f t="shared" si="1"/>
        <v>0</v>
      </c>
      <c r="E51" s="1547">
        <f t="shared" si="1"/>
        <v>0</v>
      </c>
      <c r="F51" s="1570" t="s">
        <v>654</v>
      </c>
      <c r="G51" s="1543">
        <v>0.03</v>
      </c>
      <c r="H51" s="1543">
        <f>G51</f>
        <v>0.03</v>
      </c>
      <c r="I51" s="1620"/>
      <c r="J51" s="29"/>
      <c r="K51" s="1346"/>
      <c r="L51" s="1347"/>
      <c r="M51" s="1347"/>
      <c r="N51" s="1347"/>
      <c r="O51" s="1347"/>
      <c r="P51" s="1347"/>
      <c r="Q51" s="1347"/>
      <c r="R51" s="1347"/>
      <c r="S51" s="1347"/>
      <c r="T51" s="1362"/>
      <c r="U51" s="19"/>
      <c r="V51" s="19"/>
      <c r="W51" s="19"/>
    </row>
    <row r="52" spans="1:23" ht="12" customHeight="1" x14ac:dyDescent="0.2">
      <c r="B52" s="390" t="s">
        <v>460</v>
      </c>
      <c r="C52" s="882">
        <f>IF(C51=0,0,(C51-C49)/C51)</f>
        <v>0</v>
      </c>
      <c r="D52" s="882">
        <f>IF(D51=0,0,(D51-D49)/D51)</f>
        <v>0</v>
      </c>
      <c r="E52" s="1466">
        <f>IF(E51=0,0,(E51-E49)/E51)</f>
        <v>0</v>
      </c>
      <c r="F52" s="1473"/>
      <c r="G52" s="1066"/>
      <c r="H52" s="1066"/>
      <c r="I52" s="1606"/>
      <c r="J52" s="19"/>
      <c r="K52" s="1346"/>
      <c r="L52" s="1347"/>
      <c r="M52" s="1347"/>
      <c r="N52" s="1347"/>
      <c r="O52" s="1347"/>
      <c r="P52" s="1347"/>
      <c r="Q52" s="1347"/>
      <c r="R52" s="1347"/>
      <c r="S52" s="1347"/>
      <c r="T52" s="1362"/>
      <c r="U52" s="19"/>
      <c r="V52" s="19"/>
      <c r="W52" s="19"/>
    </row>
    <row r="53" spans="1:23" ht="4.1500000000000004" customHeight="1" x14ac:dyDescent="0.2">
      <c r="A53" s="941"/>
      <c r="B53" s="1552"/>
      <c r="C53" s="1553"/>
      <c r="D53" s="1553"/>
      <c r="E53" s="1553"/>
      <c r="F53" s="1626"/>
      <c r="G53" s="1045"/>
      <c r="H53" s="1045"/>
      <c r="I53" s="1625"/>
      <c r="J53" s="19"/>
      <c r="K53" s="1363"/>
      <c r="L53" s="1364"/>
      <c r="M53" s="1364"/>
      <c r="N53" s="1364"/>
      <c r="O53" s="1364"/>
      <c r="P53" s="1364"/>
      <c r="Q53" s="1364"/>
      <c r="R53" s="1364"/>
      <c r="S53" s="1364"/>
      <c r="T53" s="1365"/>
      <c r="U53" s="19"/>
      <c r="V53" s="19"/>
      <c r="W53" s="19"/>
    </row>
    <row r="54" spans="1:23" ht="12" customHeight="1" x14ac:dyDescent="0.2">
      <c r="B54" s="1032">
        <v>0</v>
      </c>
      <c r="C54" s="1033">
        <v>0.24</v>
      </c>
      <c r="D54" s="1033">
        <f>C54</f>
        <v>0.24</v>
      </c>
      <c r="E54" s="1549">
        <f>D54</f>
        <v>0.24</v>
      </c>
      <c r="F54" s="1473"/>
      <c r="G54" s="1066"/>
      <c r="H54" s="1066"/>
      <c r="I54" s="1606"/>
      <c r="J54" s="19"/>
      <c r="K54" s="1346"/>
      <c r="L54" s="1347"/>
      <c r="M54" s="1347"/>
      <c r="N54" s="1347"/>
      <c r="O54" s="1347"/>
      <c r="P54" s="1347"/>
      <c r="Q54" s="1347"/>
      <c r="R54" s="1347"/>
      <c r="S54" s="1347"/>
      <c r="T54" s="1362"/>
      <c r="U54" s="19"/>
      <c r="V54" s="19"/>
      <c r="W54" s="19"/>
    </row>
    <row r="55" spans="1:23" ht="12" customHeight="1" x14ac:dyDescent="0.2">
      <c r="B55" s="962" t="s">
        <v>388</v>
      </c>
      <c r="C55" s="887">
        <f>C58*C57</f>
        <v>0</v>
      </c>
      <c r="D55" s="887">
        <f>D58*D57</f>
        <v>0</v>
      </c>
      <c r="E55" s="1546">
        <f>E58*E57</f>
        <v>0</v>
      </c>
      <c r="F55" s="1567"/>
      <c r="G55" s="1453">
        <f>D$12</f>
        <v>2024</v>
      </c>
      <c r="H55" s="1453">
        <f>E$12</f>
        <v>2025</v>
      </c>
      <c r="I55" s="1622"/>
      <c r="K55" s="746"/>
      <c r="L55" s="1284"/>
      <c r="M55" s="1284"/>
      <c r="N55" s="1284"/>
      <c r="O55" s="1284"/>
      <c r="P55" s="1284"/>
      <c r="Q55" s="1284"/>
      <c r="R55" s="1284"/>
      <c r="S55" s="1284"/>
      <c r="T55" s="1285"/>
    </row>
    <row r="56" spans="1:23" ht="12" customHeight="1" x14ac:dyDescent="0.2">
      <c r="B56" s="390" t="s">
        <v>457</v>
      </c>
      <c r="C56" s="1034">
        <v>0</v>
      </c>
      <c r="D56" s="1034">
        <f t="shared" ref="D56:E58" si="2">C56*(1+G56)</f>
        <v>0</v>
      </c>
      <c r="E56" s="1547">
        <f t="shared" si="2"/>
        <v>0</v>
      </c>
      <c r="F56" s="1569" t="s">
        <v>653</v>
      </c>
      <c r="G56" s="1543">
        <v>0.03</v>
      </c>
      <c r="H56" s="1543">
        <f>G56</f>
        <v>0.03</v>
      </c>
      <c r="I56" s="1620"/>
      <c r="K56" s="746"/>
      <c r="L56" s="1284"/>
      <c r="M56" s="1284"/>
      <c r="N56" s="1284"/>
      <c r="O56" s="1284"/>
      <c r="P56" s="1284"/>
      <c r="Q56" s="1284"/>
      <c r="R56" s="1284"/>
      <c r="S56" s="1284"/>
      <c r="T56" s="1285"/>
    </row>
    <row r="57" spans="1:23" ht="12" customHeight="1" x14ac:dyDescent="0.2">
      <c r="B57" s="390" t="s">
        <v>458</v>
      </c>
      <c r="C57" s="1035">
        <v>0</v>
      </c>
      <c r="D57" s="1035">
        <f>C57*12/C$13+G57*C57*12/C$13</f>
        <v>0</v>
      </c>
      <c r="E57" s="1548">
        <f t="shared" si="2"/>
        <v>0</v>
      </c>
      <c r="F57" s="1569" t="s">
        <v>477</v>
      </c>
      <c r="G57" s="1543">
        <v>0</v>
      </c>
      <c r="H57" s="1543">
        <f>G57</f>
        <v>0</v>
      </c>
      <c r="I57" s="1620"/>
      <c r="K57" s="746"/>
      <c r="L57" s="1284"/>
      <c r="M57" s="1284"/>
      <c r="N57" s="1284"/>
      <c r="O57" s="1284"/>
      <c r="P57" s="1284"/>
      <c r="Q57" s="1284"/>
      <c r="R57" s="1284"/>
      <c r="S57" s="1284"/>
      <c r="T57" s="1285"/>
    </row>
    <row r="58" spans="1:23" ht="12" customHeight="1" x14ac:dyDescent="0.2">
      <c r="B58" s="390" t="s">
        <v>459</v>
      </c>
      <c r="C58" s="1034">
        <v>0</v>
      </c>
      <c r="D58" s="1034">
        <f t="shared" si="2"/>
        <v>0</v>
      </c>
      <c r="E58" s="1547">
        <f t="shared" si="2"/>
        <v>0</v>
      </c>
      <c r="F58" s="1570" t="s">
        <v>654</v>
      </c>
      <c r="G58" s="1543">
        <v>0.03</v>
      </c>
      <c r="H58" s="1543">
        <f>G58</f>
        <v>0.03</v>
      </c>
      <c r="I58" s="1620"/>
      <c r="J58" s="29"/>
      <c r="K58" s="1346"/>
      <c r="L58" s="1347"/>
      <c r="M58" s="1347"/>
      <c r="N58" s="1347"/>
      <c r="O58" s="1347"/>
      <c r="P58" s="1347"/>
      <c r="Q58" s="1347"/>
      <c r="R58" s="1347"/>
      <c r="S58" s="1347"/>
      <c r="T58" s="1362"/>
      <c r="U58" s="19"/>
      <c r="V58" s="19"/>
      <c r="W58" s="19"/>
    </row>
    <row r="59" spans="1:23" ht="12" customHeight="1" x14ac:dyDescent="0.2">
      <c r="B59" s="390" t="s">
        <v>460</v>
      </c>
      <c r="C59" s="882">
        <f>IF(C58=0,0,(C58-C56)/C58)</f>
        <v>0</v>
      </c>
      <c r="D59" s="882">
        <f>IF(D58=0,0,(D58-D56)/D58)</f>
        <v>0</v>
      </c>
      <c r="E59" s="1466">
        <f>IF(E58=0,0,(E58-E56)/E58)</f>
        <v>0</v>
      </c>
      <c r="F59" s="1473"/>
      <c r="G59" s="1066"/>
      <c r="H59" s="1066"/>
      <c r="I59" s="1606"/>
      <c r="K59" s="746"/>
      <c r="L59" s="1284"/>
      <c r="M59" s="1284"/>
      <c r="N59" s="1284"/>
      <c r="O59" s="1284"/>
      <c r="P59" s="1284"/>
      <c r="Q59" s="1284"/>
      <c r="R59" s="1284"/>
      <c r="S59" s="1284"/>
      <c r="T59" s="1285"/>
    </row>
    <row r="60" spans="1:23" ht="4.1500000000000004" customHeight="1" x14ac:dyDescent="0.2">
      <c r="B60" s="388"/>
      <c r="C60" s="958"/>
      <c r="D60" s="958"/>
      <c r="E60" s="958"/>
      <c r="F60" s="1621"/>
      <c r="G60" s="1045"/>
      <c r="H60" s="1045"/>
      <c r="I60" s="1625"/>
      <c r="K60" s="1338"/>
      <c r="L60" s="1287"/>
      <c r="M60" s="1287"/>
      <c r="N60" s="1287"/>
      <c r="O60" s="1287"/>
      <c r="P60" s="1287"/>
      <c r="Q60" s="1287"/>
      <c r="R60" s="1287"/>
      <c r="S60" s="1287"/>
      <c r="T60" s="1292"/>
    </row>
    <row r="61" spans="1:23" ht="12" customHeight="1" x14ac:dyDescent="0.2">
      <c r="B61" s="1032">
        <v>0</v>
      </c>
      <c r="C61" s="1033">
        <v>0.24</v>
      </c>
      <c r="D61" s="1033">
        <f>C61</f>
        <v>0.24</v>
      </c>
      <c r="E61" s="1549">
        <f>D61</f>
        <v>0.24</v>
      </c>
      <c r="F61" s="1473"/>
      <c r="G61" s="1066"/>
      <c r="H61" s="1066"/>
      <c r="I61" s="1606"/>
      <c r="K61" s="746"/>
      <c r="L61" s="1284"/>
      <c r="M61" s="1284"/>
      <c r="N61" s="1284"/>
      <c r="O61" s="1284"/>
      <c r="P61" s="1284"/>
      <c r="Q61" s="1284"/>
      <c r="R61" s="1284"/>
      <c r="S61" s="1284"/>
      <c r="T61" s="1285"/>
    </row>
    <row r="62" spans="1:23" ht="12" customHeight="1" x14ac:dyDescent="0.2">
      <c r="B62" s="962" t="s">
        <v>388</v>
      </c>
      <c r="C62" s="887">
        <f>C65*C64</f>
        <v>0</v>
      </c>
      <c r="D62" s="887">
        <f>D65*D64</f>
        <v>0</v>
      </c>
      <c r="E62" s="1546">
        <f>E65*E64</f>
        <v>0</v>
      </c>
      <c r="F62" s="1567"/>
      <c r="G62" s="1453">
        <f>D$12</f>
        <v>2024</v>
      </c>
      <c r="H62" s="1453">
        <f>E$12</f>
        <v>2025</v>
      </c>
      <c r="I62" s="1606"/>
      <c r="K62" s="746"/>
      <c r="L62" s="1284"/>
      <c r="M62" s="1284"/>
      <c r="N62" s="1284"/>
      <c r="O62" s="1284"/>
      <c r="P62" s="1284"/>
      <c r="Q62" s="1284"/>
      <c r="R62" s="1284"/>
      <c r="S62" s="1284"/>
      <c r="T62" s="1285"/>
    </row>
    <row r="63" spans="1:23" ht="12" customHeight="1" x14ac:dyDescent="0.2">
      <c r="B63" s="390" t="s">
        <v>457</v>
      </c>
      <c r="C63" s="1034">
        <v>0</v>
      </c>
      <c r="D63" s="1034">
        <f t="shared" ref="D63:E65" si="3">C63*(1+G63)</f>
        <v>0</v>
      </c>
      <c r="E63" s="1547">
        <f t="shared" si="3"/>
        <v>0</v>
      </c>
      <c r="F63" s="1569" t="s">
        <v>653</v>
      </c>
      <c r="G63" s="1543">
        <v>0.03</v>
      </c>
      <c r="H63" s="1543">
        <f>G63</f>
        <v>0.03</v>
      </c>
      <c r="I63" s="1606"/>
      <c r="K63" s="746"/>
      <c r="L63" s="1284"/>
      <c r="M63" s="1284"/>
      <c r="N63" s="1284"/>
      <c r="O63" s="1284"/>
      <c r="P63" s="1284"/>
      <c r="Q63" s="1284"/>
      <c r="R63" s="1284"/>
      <c r="S63" s="1284"/>
      <c r="T63" s="1285"/>
    </row>
    <row r="64" spans="1:23" ht="12" customHeight="1" x14ac:dyDescent="0.2">
      <c r="B64" s="390" t="s">
        <v>458</v>
      </c>
      <c r="C64" s="1035">
        <v>0</v>
      </c>
      <c r="D64" s="1035">
        <f>C64*12/C$13+G64*C64*12/C$13</f>
        <v>0</v>
      </c>
      <c r="E64" s="1548">
        <f t="shared" si="3"/>
        <v>0</v>
      </c>
      <c r="F64" s="1569" t="s">
        <v>477</v>
      </c>
      <c r="G64" s="1543">
        <v>0</v>
      </c>
      <c r="H64" s="1543">
        <f>G64</f>
        <v>0</v>
      </c>
      <c r="I64" s="1606"/>
      <c r="J64" s="29"/>
      <c r="K64" s="1346"/>
      <c r="L64" s="1347"/>
      <c r="M64" s="1347"/>
      <c r="N64" s="1347"/>
      <c r="O64" s="1347"/>
      <c r="P64" s="1284"/>
      <c r="Q64" s="1284"/>
      <c r="R64" s="1284"/>
      <c r="S64" s="1284"/>
      <c r="T64" s="1285"/>
    </row>
    <row r="65" spans="2:23" ht="12" customHeight="1" x14ac:dyDescent="0.2">
      <c r="B65" s="390" t="s">
        <v>459</v>
      </c>
      <c r="C65" s="1034">
        <v>0</v>
      </c>
      <c r="D65" s="1034">
        <f t="shared" si="3"/>
        <v>0</v>
      </c>
      <c r="E65" s="1547">
        <f t="shared" si="3"/>
        <v>0</v>
      </c>
      <c r="F65" s="1570" t="s">
        <v>654</v>
      </c>
      <c r="G65" s="1543">
        <v>0.03</v>
      </c>
      <c r="H65" s="1543">
        <f>G65</f>
        <v>0.03</v>
      </c>
      <c r="I65" s="1620"/>
      <c r="J65" s="29"/>
      <c r="K65" s="1346"/>
      <c r="L65" s="1347"/>
      <c r="M65" s="1347"/>
      <c r="N65" s="1347"/>
      <c r="O65" s="1347"/>
      <c r="P65" s="1347"/>
      <c r="Q65" s="1347"/>
      <c r="R65" s="1347"/>
      <c r="S65" s="1347"/>
      <c r="T65" s="1362"/>
      <c r="U65" s="19"/>
      <c r="V65" s="19"/>
      <c r="W65" s="19"/>
    </row>
    <row r="66" spans="2:23" ht="12" customHeight="1" x14ac:dyDescent="0.2">
      <c r="B66" s="390" t="s">
        <v>460</v>
      </c>
      <c r="C66" s="882">
        <f>IF(C65=0,0,(C65-C63)/C65)</f>
        <v>0</v>
      </c>
      <c r="D66" s="882">
        <f>IF(D65=0,0,(D65-D63)/D65)</f>
        <v>0</v>
      </c>
      <c r="E66" s="1466">
        <f>IF(E65=0,0,(E65-E63)/E65)</f>
        <v>0</v>
      </c>
      <c r="F66" s="1473" t="s">
        <v>0</v>
      </c>
      <c r="G66" s="1066"/>
      <c r="H66" s="1066"/>
      <c r="I66" s="1606"/>
      <c r="J66" s="19"/>
      <c r="K66" s="1346"/>
      <c r="L66" s="1347"/>
      <c r="M66" s="1347"/>
      <c r="N66" s="1347"/>
      <c r="O66" s="1347"/>
      <c r="P66" s="1284"/>
      <c r="Q66" s="1284"/>
      <c r="R66" s="1284"/>
      <c r="S66" s="1284"/>
      <c r="T66" s="1285"/>
    </row>
    <row r="67" spans="2:23" ht="4.1500000000000004" customHeight="1" x14ac:dyDescent="0.2">
      <c r="B67" s="388"/>
      <c r="C67" s="958"/>
      <c r="D67" s="958"/>
      <c r="E67" s="958"/>
      <c r="F67" s="1627"/>
      <c r="G67" s="1045"/>
      <c r="H67" s="1045"/>
      <c r="I67" s="1625"/>
      <c r="J67" s="19"/>
      <c r="K67" s="1363"/>
      <c r="L67" s="1364"/>
      <c r="M67" s="1364"/>
      <c r="N67" s="1364"/>
      <c r="O67" s="1364"/>
      <c r="P67" s="1287"/>
      <c r="Q67" s="1287"/>
      <c r="R67" s="1287"/>
      <c r="S67" s="1287"/>
      <c r="T67" s="1292"/>
    </row>
    <row r="68" spans="2:23" ht="12" customHeight="1" x14ac:dyDescent="0.2">
      <c r="B68" s="1032">
        <v>0</v>
      </c>
      <c r="C68" s="1033">
        <v>0.24</v>
      </c>
      <c r="D68" s="1033">
        <f>C68</f>
        <v>0.24</v>
      </c>
      <c r="E68" s="1549">
        <f>D68</f>
        <v>0.24</v>
      </c>
      <c r="F68" s="1473"/>
      <c r="G68" s="1066"/>
      <c r="H68" s="1066"/>
      <c r="I68" s="1606"/>
      <c r="J68" s="19"/>
      <c r="K68" s="1346"/>
      <c r="L68" s="1347"/>
      <c r="M68" s="1347"/>
      <c r="N68" s="1347"/>
      <c r="O68" s="1347"/>
      <c r="P68" s="1284"/>
      <c r="Q68" s="1284"/>
      <c r="R68" s="1284"/>
      <c r="S68" s="1284"/>
      <c r="T68" s="1285"/>
    </row>
    <row r="69" spans="2:23" ht="12" customHeight="1" x14ac:dyDescent="0.2">
      <c r="B69" s="962" t="s">
        <v>388</v>
      </c>
      <c r="C69" s="887">
        <f>C72*C71</f>
        <v>0</v>
      </c>
      <c r="D69" s="887">
        <f>D72*D71</f>
        <v>0</v>
      </c>
      <c r="E69" s="1546">
        <f>E72*E71</f>
        <v>0</v>
      </c>
      <c r="F69" s="1567"/>
      <c r="G69" s="1453">
        <f>D$12</f>
        <v>2024</v>
      </c>
      <c r="H69" s="1453">
        <f>E$12</f>
        <v>2025</v>
      </c>
      <c r="I69" s="1624"/>
      <c r="J69" s="19"/>
      <c r="K69" s="1346"/>
      <c r="L69" s="1347"/>
      <c r="M69" s="1347"/>
      <c r="N69" s="1347"/>
      <c r="O69" s="1347"/>
      <c r="P69" s="1284"/>
      <c r="Q69" s="1284"/>
      <c r="R69" s="1284"/>
      <c r="S69" s="1284"/>
      <c r="T69" s="1285"/>
    </row>
    <row r="70" spans="2:23" ht="12" customHeight="1" x14ac:dyDescent="0.2">
      <c r="B70" s="390" t="s">
        <v>457</v>
      </c>
      <c r="C70" s="1034">
        <v>0</v>
      </c>
      <c r="D70" s="1034">
        <f t="shared" ref="D70:E72" si="4">C70*(1+G70)</f>
        <v>0</v>
      </c>
      <c r="E70" s="1547">
        <f t="shared" si="4"/>
        <v>0</v>
      </c>
      <c r="F70" s="1569" t="s">
        <v>653</v>
      </c>
      <c r="G70" s="1543">
        <v>0.03</v>
      </c>
      <c r="H70" s="1543">
        <f>G70</f>
        <v>0.03</v>
      </c>
      <c r="I70" s="1624"/>
      <c r="J70" s="79"/>
      <c r="K70" s="1346"/>
      <c r="L70" s="1347"/>
      <c r="M70" s="1347"/>
      <c r="N70" s="1347"/>
      <c r="O70" s="1347"/>
      <c r="P70" s="1284"/>
      <c r="Q70" s="1284"/>
      <c r="R70" s="1284"/>
      <c r="S70" s="1284"/>
      <c r="T70" s="1285"/>
    </row>
    <row r="71" spans="2:23" ht="12" customHeight="1" x14ac:dyDescent="0.2">
      <c r="B71" s="390" t="s">
        <v>480</v>
      </c>
      <c r="C71" s="1035">
        <v>0</v>
      </c>
      <c r="D71" s="1035">
        <f>C71*12/C$13+G71*C71*12/C$13</f>
        <v>0</v>
      </c>
      <c r="E71" s="1548">
        <f t="shared" si="4"/>
        <v>0</v>
      </c>
      <c r="F71" s="1569" t="s">
        <v>477</v>
      </c>
      <c r="G71" s="1543">
        <v>0</v>
      </c>
      <c r="H71" s="1543">
        <f>G71</f>
        <v>0</v>
      </c>
      <c r="I71" s="1624"/>
      <c r="J71" s="81"/>
      <c r="K71" s="1346"/>
      <c r="L71" s="1347"/>
      <c r="M71" s="1347"/>
      <c r="N71" s="1347"/>
      <c r="O71" s="1347"/>
      <c r="P71" s="1284"/>
      <c r="Q71" s="1284"/>
      <c r="R71" s="1284"/>
      <c r="S71" s="1284"/>
      <c r="T71" s="1285"/>
    </row>
    <row r="72" spans="2:23" ht="12" customHeight="1" x14ac:dyDescent="0.2">
      <c r="B72" s="390" t="s">
        <v>459</v>
      </c>
      <c r="C72" s="1034">
        <v>0</v>
      </c>
      <c r="D72" s="1034">
        <f t="shared" si="4"/>
        <v>0</v>
      </c>
      <c r="E72" s="1547">
        <f t="shared" si="4"/>
        <v>0</v>
      </c>
      <c r="F72" s="1570" t="s">
        <v>654</v>
      </c>
      <c r="G72" s="1543">
        <v>0.03</v>
      </c>
      <c r="H72" s="1543">
        <f>G72</f>
        <v>0.03</v>
      </c>
      <c r="I72" s="1620"/>
      <c r="J72" s="29"/>
      <c r="K72" s="1346"/>
      <c r="L72" s="1347"/>
      <c r="M72" s="1347"/>
      <c r="N72" s="1347"/>
      <c r="O72" s="1347"/>
      <c r="P72" s="1347"/>
      <c r="Q72" s="1347"/>
      <c r="R72" s="1347"/>
      <c r="S72" s="1347"/>
      <c r="T72" s="1362"/>
      <c r="U72" s="19"/>
      <c r="V72" s="19"/>
      <c r="W72" s="19"/>
    </row>
    <row r="73" spans="2:23" ht="12" customHeight="1" x14ac:dyDescent="0.2">
      <c r="B73" s="390" t="s">
        <v>460</v>
      </c>
      <c r="C73" s="882">
        <f>IF(C72=0,0,(C72-C70)/C72)</f>
        <v>0</v>
      </c>
      <c r="D73" s="882">
        <f>IF(D72=0,0,(D72-D70)/D72)</f>
        <v>0</v>
      </c>
      <c r="E73" s="1466">
        <f>IF(E72=0,0,(E72-E70)/E72)</f>
        <v>0</v>
      </c>
      <c r="F73" s="1612"/>
      <c r="G73" s="1613"/>
      <c r="H73" s="1613"/>
      <c r="I73" s="1614"/>
      <c r="J73" s="83"/>
      <c r="K73" s="1367"/>
      <c r="L73" s="1368"/>
      <c r="M73" s="1368"/>
      <c r="N73" s="1368"/>
      <c r="O73" s="1368"/>
      <c r="P73" s="1272"/>
      <c r="Q73" s="1272"/>
      <c r="R73" s="1272"/>
      <c r="S73" s="1272"/>
      <c r="T73" s="1293"/>
    </row>
    <row r="74" spans="2:23" ht="4.1500000000000004" customHeight="1" x14ac:dyDescent="0.2">
      <c r="B74" s="388"/>
      <c r="C74" s="884"/>
      <c r="D74" s="884"/>
      <c r="E74" s="884"/>
      <c r="F74" s="387"/>
      <c r="G74" s="388"/>
      <c r="H74" s="1542"/>
      <c r="I74" s="391"/>
      <c r="J74" s="83"/>
      <c r="K74" s="442"/>
      <c r="L74" s="443"/>
      <c r="M74" s="443"/>
      <c r="N74" s="444"/>
      <c r="O74" s="444"/>
      <c r="P74" s="168"/>
      <c r="Q74" s="168"/>
      <c r="R74" s="168"/>
      <c r="S74" s="168"/>
      <c r="T74" s="168"/>
    </row>
    <row r="75" spans="2:23" ht="12.75" customHeight="1" x14ac:dyDescent="0.2">
      <c r="B75" s="1459" t="s">
        <v>461</v>
      </c>
      <c r="C75" s="1460">
        <f>C16*(1+C15)+C21*(1+C20)+C26*(1+C25)+C31*(1+C30)+C36*(1+C35)+C41*(1+C40)+C48*(1+C47)+C55*(1+C54)+C62*(1+C61)+C69*(1+C68)</f>
        <v>0</v>
      </c>
      <c r="D75" s="1460">
        <f>D16*(1+D15)+D21*(1+D20)+D26*(1+D25)+D31*(1+D30)+D36*(1+D35)+D41*(1+D40)+D48*(1+D47)+D55*(1+D54)+D62*(1+D61)+D69*(1+D68)</f>
        <v>0</v>
      </c>
      <c r="E75" s="1460">
        <f>E16*(1+E15)+E21*(1+E20)+E26*(1+E25)+E31*(1+E30)+E36*(1+E35)+E41*(1+E40)+E48*(1+E47)+E55*(1+E54)+E62*(1+E61)+E69*(1+E68)</f>
        <v>0</v>
      </c>
      <c r="F75" s="387"/>
      <c r="G75" s="388"/>
      <c r="H75" s="19"/>
      <c r="I75" s="19"/>
      <c r="J75" s="83"/>
      <c r="K75" s="442"/>
      <c r="L75" s="443"/>
      <c r="M75" s="443"/>
      <c r="N75" s="444"/>
      <c r="O75" s="444"/>
      <c r="P75" s="168"/>
      <c r="Q75" s="168"/>
      <c r="R75" s="168"/>
      <c r="S75" s="168"/>
      <c r="T75" s="168"/>
    </row>
    <row r="76" spans="2:23" ht="12" customHeight="1" x14ac:dyDescent="0.2">
      <c r="B76" s="1461" t="s">
        <v>462</v>
      </c>
      <c r="C76" s="1460">
        <f>C16+C21+C26+C31+C36+C41+C48+C55+C62+C69</f>
        <v>0</v>
      </c>
      <c r="D76" s="1460">
        <f>D16+D21+D26+D31+D36+D41+D48+D55+D62+D69</f>
        <v>0</v>
      </c>
      <c r="E76" s="1460">
        <f>E16+E21+E26+E31+E36+E41+E48+E55+E62+E69</f>
        <v>0</v>
      </c>
      <c r="F76" s="387"/>
      <c r="G76" s="388"/>
      <c r="H76" s="41"/>
      <c r="I76" s="45"/>
      <c r="J76" s="83"/>
      <c r="K76" s="442"/>
      <c r="L76" s="443"/>
      <c r="M76" s="443"/>
      <c r="N76" s="444"/>
      <c r="O76" s="444"/>
      <c r="P76" s="168"/>
      <c r="Q76" s="168"/>
      <c r="R76" s="168"/>
      <c r="S76" s="168"/>
      <c r="T76" s="168"/>
    </row>
    <row r="77" spans="2:23" ht="12" customHeight="1" x14ac:dyDescent="0.2">
      <c r="B77" s="1554" t="s">
        <v>715</v>
      </c>
      <c r="C77" s="1555">
        <f>C42*C43+C49*C50+C56*C57+C63*C64+C70*C71</f>
        <v>0</v>
      </c>
      <c r="D77" s="1555">
        <f>D42*D43+D49*D50+D56*D57+D63*D64+D70*D71</f>
        <v>0</v>
      </c>
      <c r="E77" s="1555">
        <f>E42*E43+E49*E50+E56*E57+E63*E64+E70*E71</f>
        <v>0</v>
      </c>
      <c r="F77" s="387"/>
      <c r="G77" s="388"/>
      <c r="H77" s="100"/>
      <c r="I77" s="154"/>
      <c r="K77" s="168"/>
      <c r="L77" s="168"/>
      <c r="M77" s="168"/>
      <c r="N77" s="168"/>
      <c r="O77" s="168"/>
      <c r="P77" s="168"/>
      <c r="Q77" s="168"/>
      <c r="R77" s="168"/>
      <c r="S77" s="168"/>
      <c r="T77" s="168"/>
    </row>
    <row r="78" spans="2:23" s="984" customFormat="1" x14ac:dyDescent="0.2">
      <c r="B78" s="1461" t="s">
        <v>752</v>
      </c>
      <c r="C78" s="1460">
        <f>C70*C71+C70*C71*C68+C63*C64+C63*C64*C61+C56*C57+C56*C57*C54+C49*C50+C49*C50*C47+C42*C43+C42*C43*C40</f>
        <v>0</v>
      </c>
      <c r="D78" s="1460">
        <f t="shared" ref="D78:E78" si="5">D70*D71+D70*D71*D68+D63*D64+D63*D64*D61+D56*D57+D56*D57*D54+D49*D50+D49*D50*D47+D42*D43+D42*D43*D40</f>
        <v>0</v>
      </c>
      <c r="E78" s="1460">
        <f t="shared" si="5"/>
        <v>0</v>
      </c>
      <c r="F78" s="19"/>
      <c r="G78" s="19"/>
      <c r="H78" s="19"/>
      <c r="I78" s="19"/>
      <c r="J78" s="19"/>
      <c r="K78" s="19"/>
    </row>
    <row r="79" spans="2:23" ht="4.1500000000000004" customHeight="1" x14ac:dyDescent="0.2">
      <c r="B79" s="959"/>
      <c r="C79" s="101"/>
      <c r="D79" s="101"/>
      <c r="E79" s="101"/>
      <c r="F79" s="392"/>
      <c r="G79" s="168"/>
      <c r="H79" s="168"/>
      <c r="I79" s="168"/>
      <c r="K79" s="168"/>
      <c r="L79" s="168"/>
      <c r="M79" s="168"/>
      <c r="N79" s="168"/>
      <c r="O79" s="168"/>
      <c r="P79" s="168"/>
      <c r="Q79" s="168"/>
      <c r="R79" s="168"/>
      <c r="S79" s="168"/>
      <c r="T79" s="168"/>
    </row>
    <row r="80" spans="2:23" x14ac:dyDescent="0.2">
      <c r="B80" s="1942"/>
      <c r="C80" s="1571" t="s">
        <v>354</v>
      </c>
      <c r="D80" s="1571" t="s">
        <v>355</v>
      </c>
      <c r="E80" s="1571" t="s">
        <v>356</v>
      </c>
      <c r="F80" s="392"/>
      <c r="G80" s="168"/>
      <c r="H80" s="19"/>
      <c r="I80" s="19"/>
      <c r="K80" s="168"/>
      <c r="L80" s="168"/>
      <c r="M80" s="168"/>
      <c r="N80" s="168"/>
      <c r="O80" s="168"/>
      <c r="P80" s="168"/>
      <c r="Q80" s="168"/>
      <c r="R80" s="168"/>
      <c r="S80" s="168"/>
      <c r="T80" s="168"/>
    </row>
    <row r="81" spans="1:20" x14ac:dyDescent="0.2">
      <c r="B81" s="1942"/>
      <c r="C81" s="1572">
        <f>C12</f>
        <v>2023</v>
      </c>
      <c r="D81" s="1572">
        <f>D12</f>
        <v>2024</v>
      </c>
      <c r="E81" s="1572">
        <f>E12</f>
        <v>2025</v>
      </c>
      <c r="F81" s="392"/>
      <c r="G81" s="168"/>
      <c r="H81" s="41"/>
      <c r="I81" s="45"/>
      <c r="K81" s="168"/>
      <c r="L81" s="168"/>
      <c r="M81" s="168"/>
      <c r="N81" s="168"/>
      <c r="O81" s="168"/>
      <c r="P81" s="168"/>
      <c r="Q81" s="168"/>
      <c r="R81" s="168"/>
      <c r="S81" s="168"/>
      <c r="T81" s="168"/>
    </row>
    <row r="82" spans="1:20" x14ac:dyDescent="0.2">
      <c r="B82" s="1574" t="str">
        <f>B13</f>
        <v>Räkenskapsperiodens längd</v>
      </c>
      <c r="C82" s="1573">
        <f>C13</f>
        <v>12</v>
      </c>
      <c r="D82" s="1573">
        <f t="shared" ref="D82:E82" si="6">D13</f>
        <v>12</v>
      </c>
      <c r="E82" s="1573">
        <f t="shared" si="6"/>
        <v>12</v>
      </c>
      <c r="F82"/>
      <c r="K82" s="407"/>
      <c r="L82" s="279"/>
      <c r="M82" s="279"/>
      <c r="N82" s="407"/>
      <c r="O82" s="407"/>
      <c r="P82" s="407"/>
      <c r="Q82" s="407"/>
      <c r="R82" s="407"/>
      <c r="S82" s="407"/>
    </row>
    <row r="83" spans="1:20" ht="4.1500000000000004" customHeight="1" x14ac:dyDescent="0.2">
      <c r="B83" s="960"/>
      <c r="C83" s="950"/>
      <c r="D83" s="950"/>
      <c r="E83" s="950"/>
      <c r="F83" s="392"/>
      <c r="G83" s="168"/>
      <c r="H83" s="100"/>
      <c r="I83" s="154"/>
      <c r="K83" s="168"/>
      <c r="L83" s="168"/>
      <c r="M83" s="168"/>
      <c r="N83" s="168"/>
      <c r="O83" s="168"/>
      <c r="P83" s="168"/>
      <c r="Q83" s="168"/>
      <c r="R83" s="168"/>
      <c r="S83" s="168"/>
      <c r="T83" s="168"/>
    </row>
    <row r="84" spans="1:20" ht="12" customHeight="1" x14ac:dyDescent="0.2">
      <c r="B84" s="1032" t="s">
        <v>850</v>
      </c>
      <c r="C84" s="1033">
        <v>0.24</v>
      </c>
      <c r="D84" s="1033">
        <f>C84</f>
        <v>0.24</v>
      </c>
      <c r="E84" s="1549">
        <f>D84</f>
        <v>0.24</v>
      </c>
      <c r="F84" s="1937">
        <v>0</v>
      </c>
      <c r="G84" s="1938"/>
      <c r="H84" s="1938"/>
      <c r="I84" s="1618"/>
      <c r="K84" s="168"/>
      <c r="L84" s="168"/>
      <c r="M84" s="168"/>
      <c r="N84" s="168"/>
      <c r="O84" s="168"/>
      <c r="P84" s="168"/>
      <c r="Q84" s="168"/>
      <c r="R84" s="168"/>
      <c r="S84" s="168"/>
      <c r="T84" s="168"/>
    </row>
    <row r="85" spans="1:20" ht="12" customHeight="1" x14ac:dyDescent="0.2">
      <c r="A85" s="168"/>
      <c r="B85" s="961" t="s">
        <v>388</v>
      </c>
      <c r="C85" s="887">
        <f>C86*C87</f>
        <v>0</v>
      </c>
      <c r="D85" s="887">
        <f>D86*D87</f>
        <v>0</v>
      </c>
      <c r="E85" s="1546">
        <f>E86*E87</f>
        <v>0</v>
      </c>
      <c r="F85" s="1565"/>
      <c r="G85" s="1453">
        <f>G16</f>
        <v>2024</v>
      </c>
      <c r="H85" s="1453">
        <f>H16</f>
        <v>2025</v>
      </c>
      <c r="I85" s="1619"/>
      <c r="K85" s="1302" t="s">
        <v>351</v>
      </c>
      <c r="L85" s="1369"/>
      <c r="M85" s="1369"/>
      <c r="N85" s="1370"/>
      <c r="O85" s="1370"/>
      <c r="P85" s="1370"/>
      <c r="Q85" s="1370"/>
      <c r="R85" s="1370"/>
      <c r="S85" s="1370"/>
      <c r="T85" s="1371"/>
    </row>
    <row r="86" spans="1:20" ht="12" customHeight="1" x14ac:dyDescent="0.2">
      <c r="B86" s="390" t="s">
        <v>454</v>
      </c>
      <c r="C86" s="1034">
        <v>0</v>
      </c>
      <c r="D86" s="1034">
        <f>C86*(1+G86)</f>
        <v>0</v>
      </c>
      <c r="E86" s="1547">
        <f>D86*(1+H86)</f>
        <v>0</v>
      </c>
      <c r="F86" s="1566" t="s">
        <v>652</v>
      </c>
      <c r="G86" s="1543">
        <v>0.03</v>
      </c>
      <c r="H86" s="1543">
        <f>G86</f>
        <v>0.03</v>
      </c>
      <c r="I86" s="1620"/>
      <c r="K86" s="1346"/>
      <c r="L86" s="1347"/>
      <c r="M86" s="1347"/>
      <c r="N86" s="1347"/>
      <c r="O86" s="1347"/>
      <c r="P86" s="1347"/>
      <c r="Q86" s="1347"/>
      <c r="R86" s="1347"/>
      <c r="S86" s="1347"/>
      <c r="T86" s="1362"/>
    </row>
    <row r="87" spans="1:20" ht="12" customHeight="1" x14ac:dyDescent="0.2">
      <c r="A87" s="168"/>
      <c r="B87" s="1036" t="s">
        <v>455</v>
      </c>
      <c r="C87" s="1035">
        <v>0</v>
      </c>
      <c r="D87" s="1035">
        <f>C87*12/C$13+G87*C87*12/C$13</f>
        <v>0</v>
      </c>
      <c r="E87" s="1548">
        <f>D87*(1+H87)</f>
        <v>0</v>
      </c>
      <c r="F87" s="1566" t="s">
        <v>650</v>
      </c>
      <c r="G87" s="1543">
        <v>0</v>
      </c>
      <c r="H87" s="1543">
        <f>G87</f>
        <v>0</v>
      </c>
      <c r="I87" s="1620"/>
      <c r="K87" s="1346"/>
      <c r="L87" s="1347"/>
      <c r="M87" s="1347"/>
      <c r="N87" s="1347"/>
      <c r="O87" s="1347"/>
      <c r="P87" s="1347"/>
      <c r="Q87" s="1347"/>
      <c r="R87" s="1347"/>
      <c r="S87" s="1347"/>
      <c r="T87" s="1362"/>
    </row>
    <row r="88" spans="1:20" ht="4.1500000000000004" customHeight="1" x14ac:dyDescent="0.2">
      <c r="A88" s="2"/>
      <c r="B88" s="1480"/>
      <c r="C88" s="1563"/>
      <c r="D88" s="1575"/>
      <c r="E88" s="1575"/>
      <c r="F88" s="1621"/>
      <c r="G88" s="1544"/>
      <c r="H88" s="1544"/>
      <c r="I88" s="1620"/>
      <c r="K88" s="1363"/>
      <c r="L88" s="1364"/>
      <c r="M88" s="1364"/>
      <c r="N88" s="1364"/>
      <c r="O88" s="1364"/>
      <c r="P88" s="1364"/>
      <c r="Q88" s="1364"/>
      <c r="R88" s="1364"/>
      <c r="S88" s="1364"/>
      <c r="T88" s="1365"/>
    </row>
    <row r="89" spans="1:20" ht="12" customHeight="1" x14ac:dyDescent="0.2">
      <c r="A89" s="168"/>
      <c r="B89" s="1032">
        <v>0</v>
      </c>
      <c r="C89" s="1033">
        <v>0.24</v>
      </c>
      <c r="D89" s="1033">
        <f>C89</f>
        <v>0.24</v>
      </c>
      <c r="E89" s="1549">
        <f>D89</f>
        <v>0.24</v>
      </c>
      <c r="F89" s="1473"/>
      <c r="G89" s="1066"/>
      <c r="H89" s="1066"/>
      <c r="I89" s="1606"/>
      <c r="K89" s="1346"/>
      <c r="L89" s="1347"/>
      <c r="M89" s="1347"/>
      <c r="N89" s="1347"/>
      <c r="O89" s="1347"/>
      <c r="P89" s="1347"/>
      <c r="Q89" s="1347"/>
      <c r="R89" s="1347"/>
      <c r="S89" s="1347"/>
      <c r="T89" s="1362"/>
    </row>
    <row r="90" spans="1:20" ht="12" customHeight="1" x14ac:dyDescent="0.2">
      <c r="B90" s="961" t="s">
        <v>388</v>
      </c>
      <c r="C90" s="887">
        <f>C91*C92</f>
        <v>0</v>
      </c>
      <c r="D90" s="887">
        <f>D91*D92</f>
        <v>0</v>
      </c>
      <c r="E90" s="1546">
        <f>E91*E92</f>
        <v>0</v>
      </c>
      <c r="F90" s="1567"/>
      <c r="G90" s="1453">
        <f>D$12</f>
        <v>2024</v>
      </c>
      <c r="H90" s="1453">
        <f>E$12</f>
        <v>2025</v>
      </c>
      <c r="I90" s="1622"/>
      <c r="K90" s="1346"/>
      <c r="L90" s="1347"/>
      <c r="M90" s="1347"/>
      <c r="N90" s="1347"/>
      <c r="O90" s="1347"/>
      <c r="P90" s="1347"/>
      <c r="Q90" s="1347"/>
      <c r="R90" s="1347"/>
      <c r="S90" s="1347"/>
      <c r="T90" s="1362"/>
    </row>
    <row r="91" spans="1:20" ht="12" customHeight="1" x14ac:dyDescent="0.2">
      <c r="A91" s="168"/>
      <c r="B91" s="390" t="s">
        <v>454</v>
      </c>
      <c r="C91" s="1034">
        <v>0</v>
      </c>
      <c r="D91" s="1034">
        <f>C91*(1+G91)</f>
        <v>0</v>
      </c>
      <c r="E91" s="1547">
        <f>D91*(1+H91)</f>
        <v>0</v>
      </c>
      <c r="F91" s="1566" t="s">
        <v>652</v>
      </c>
      <c r="G91" s="1543">
        <v>0.03</v>
      </c>
      <c r="H91" s="1543">
        <f>G91</f>
        <v>0.03</v>
      </c>
      <c r="I91" s="1620"/>
      <c r="J91" s="24"/>
      <c r="K91" s="746"/>
      <c r="L91" s="1284"/>
      <c r="M91" s="1284"/>
      <c r="N91" s="1284"/>
      <c r="O91" s="1284"/>
      <c r="P91" s="1347"/>
      <c r="Q91" s="1347"/>
      <c r="R91" s="1347"/>
      <c r="S91" s="1347"/>
      <c r="T91" s="1362"/>
    </row>
    <row r="92" spans="1:20" ht="12" customHeight="1" x14ac:dyDescent="0.2">
      <c r="B92" s="1036" t="s">
        <v>455</v>
      </c>
      <c r="C92" s="1035">
        <v>0</v>
      </c>
      <c r="D92" s="1035">
        <f>C92*12/C$13+G92*C92*12/C$13</f>
        <v>0</v>
      </c>
      <c r="E92" s="1548">
        <f>D92*(1+H92)</f>
        <v>0</v>
      </c>
      <c r="F92" s="1566" t="s">
        <v>650</v>
      </c>
      <c r="G92" s="1543">
        <v>0</v>
      </c>
      <c r="H92" s="1543">
        <f>G92</f>
        <v>0</v>
      </c>
      <c r="I92" s="1620"/>
      <c r="J92" s="29"/>
      <c r="K92" s="746"/>
      <c r="L92" s="1284"/>
      <c r="M92" s="1284"/>
      <c r="N92" s="1284"/>
      <c r="O92" s="1284"/>
      <c r="P92" s="1347"/>
      <c r="Q92" s="1347"/>
      <c r="R92" s="1347"/>
      <c r="S92" s="1347"/>
      <c r="T92" s="1362"/>
    </row>
    <row r="93" spans="1:20" ht="4.1500000000000004" customHeight="1" x14ac:dyDescent="0.2">
      <c r="A93" s="168"/>
      <c r="B93" s="1480"/>
      <c r="C93" s="1563"/>
      <c r="D93" s="1575"/>
      <c r="E93" s="1575"/>
      <c r="F93" s="1621"/>
      <c r="G93" s="1544"/>
      <c r="H93" s="1544"/>
      <c r="I93" s="1620"/>
      <c r="J93" s="29"/>
      <c r="K93" s="1338"/>
      <c r="L93" s="1287"/>
      <c r="M93" s="1287"/>
      <c r="N93" s="1287"/>
      <c r="O93" s="1287"/>
      <c r="P93" s="1364"/>
      <c r="Q93" s="1364"/>
      <c r="R93" s="1364"/>
      <c r="S93" s="1364"/>
      <c r="T93" s="1365"/>
    </row>
    <row r="94" spans="1:20" ht="12" customHeight="1" x14ac:dyDescent="0.2">
      <c r="A94" s="168"/>
      <c r="B94" s="1032">
        <v>0</v>
      </c>
      <c r="C94" s="1033">
        <v>0.24</v>
      </c>
      <c r="D94" s="1033">
        <f>C94</f>
        <v>0.24</v>
      </c>
      <c r="E94" s="1549">
        <f>D94</f>
        <v>0.24</v>
      </c>
      <c r="F94" s="1473" t="s">
        <v>0</v>
      </c>
      <c r="G94" s="1066"/>
      <c r="H94" s="1066"/>
      <c r="I94" s="1606"/>
      <c r="J94" s="29"/>
      <c r="K94" s="746"/>
      <c r="L94" s="1284"/>
      <c r="M94" s="1284"/>
      <c r="N94" s="1284"/>
      <c r="O94" s="1284"/>
      <c r="P94" s="1347"/>
      <c r="Q94" s="1347"/>
      <c r="R94" s="1347"/>
      <c r="S94" s="1347"/>
      <c r="T94" s="1362"/>
    </row>
    <row r="95" spans="1:20" ht="12" customHeight="1" x14ac:dyDescent="0.2">
      <c r="B95" s="961" t="s">
        <v>388</v>
      </c>
      <c r="C95" s="887">
        <f>C96*C97</f>
        <v>0</v>
      </c>
      <c r="D95" s="887">
        <f>D96*D97</f>
        <v>0</v>
      </c>
      <c r="E95" s="1546">
        <f>E96*E97</f>
        <v>0</v>
      </c>
      <c r="F95" s="1568"/>
      <c r="G95" s="1453">
        <f>D$12</f>
        <v>2024</v>
      </c>
      <c r="H95" s="1453">
        <f>E$12</f>
        <v>2025</v>
      </c>
      <c r="I95" s="1622"/>
      <c r="K95" s="746"/>
      <c r="L95" s="1284"/>
      <c r="M95" s="1284"/>
      <c r="N95" s="1284"/>
      <c r="O95" s="1284"/>
      <c r="P95" s="1347"/>
      <c r="Q95" s="1347"/>
      <c r="R95" s="1347"/>
      <c r="S95" s="1347"/>
      <c r="T95" s="1362"/>
    </row>
    <row r="96" spans="1:20" ht="12" customHeight="1" x14ac:dyDescent="0.2">
      <c r="A96" s="168"/>
      <c r="B96" s="390" t="s">
        <v>454</v>
      </c>
      <c r="C96" s="1034">
        <v>0</v>
      </c>
      <c r="D96" s="1034">
        <f>C96*(1+G96)</f>
        <v>0</v>
      </c>
      <c r="E96" s="1547">
        <f>D96*(1+H96)</f>
        <v>0</v>
      </c>
      <c r="F96" s="1566" t="s">
        <v>652</v>
      </c>
      <c r="G96" s="1543">
        <v>0.03</v>
      </c>
      <c r="H96" s="1543">
        <f>G96</f>
        <v>0.03</v>
      </c>
      <c r="I96" s="1620"/>
      <c r="K96" s="746"/>
      <c r="L96" s="1284"/>
      <c r="M96" s="1284"/>
      <c r="N96" s="1284"/>
      <c r="O96" s="1284"/>
      <c r="P96" s="1347"/>
      <c r="Q96" s="1347"/>
      <c r="R96" s="1347"/>
      <c r="S96" s="1347"/>
      <c r="T96" s="1362"/>
    </row>
    <row r="97" spans="1:20" ht="12" customHeight="1" x14ac:dyDescent="0.2">
      <c r="A97" s="2"/>
      <c r="B97" s="1036" t="s">
        <v>455</v>
      </c>
      <c r="C97" s="1035">
        <v>0</v>
      </c>
      <c r="D97" s="1035">
        <f>C97*12/C$13+G97*C97*12/C$13</f>
        <v>0</v>
      </c>
      <c r="E97" s="1548">
        <f>D97*(1+H97)</f>
        <v>0</v>
      </c>
      <c r="F97" s="1566" t="s">
        <v>650</v>
      </c>
      <c r="G97" s="1543">
        <v>0</v>
      </c>
      <c r="H97" s="1543">
        <f>G97</f>
        <v>0</v>
      </c>
      <c r="I97" s="1620"/>
      <c r="K97" s="746"/>
      <c r="L97" s="1284"/>
      <c r="M97" s="1284"/>
      <c r="N97" s="1284"/>
      <c r="O97" s="1284"/>
      <c r="P97" s="1347"/>
      <c r="Q97" s="1347"/>
      <c r="R97" s="1347"/>
      <c r="S97" s="1347"/>
      <c r="T97" s="1362"/>
    </row>
    <row r="98" spans="1:20" ht="4.1500000000000004" customHeight="1" x14ac:dyDescent="0.2">
      <c r="A98" s="168"/>
      <c r="B98" s="1480"/>
      <c r="C98" s="1563"/>
      <c r="D98" s="1575"/>
      <c r="E98" s="1575"/>
      <c r="F98" s="1621"/>
      <c r="G98" s="1544"/>
      <c r="H98" s="1544"/>
      <c r="I98" s="1620"/>
      <c r="K98" s="1338"/>
      <c r="L98" s="1287"/>
      <c r="M98" s="1287"/>
      <c r="N98" s="1287"/>
      <c r="O98" s="1287"/>
      <c r="P98" s="1364"/>
      <c r="Q98" s="1364"/>
      <c r="R98" s="1364"/>
      <c r="S98" s="1364"/>
      <c r="T98" s="1365"/>
    </row>
    <row r="99" spans="1:20" ht="12" customHeight="1" x14ac:dyDescent="0.2">
      <c r="A99" s="168"/>
      <c r="B99" s="1032">
        <v>0</v>
      </c>
      <c r="C99" s="1033">
        <v>0.24</v>
      </c>
      <c r="D99" s="1033">
        <f>C99</f>
        <v>0.24</v>
      </c>
      <c r="E99" s="1549">
        <f>D99</f>
        <v>0.24</v>
      </c>
      <c r="F99" s="1473"/>
      <c r="G99" s="1066"/>
      <c r="H99" s="1066"/>
      <c r="I99" s="1606"/>
      <c r="K99" s="746"/>
      <c r="L99" s="1284"/>
      <c r="M99" s="1284"/>
      <c r="N99" s="1284"/>
      <c r="O99" s="1284"/>
      <c r="P99" s="1347"/>
      <c r="Q99" s="1347"/>
      <c r="R99" s="1347"/>
      <c r="S99" s="1347"/>
      <c r="T99" s="1362"/>
    </row>
    <row r="100" spans="1:20" ht="12" customHeight="1" x14ac:dyDescent="0.2">
      <c r="B100" s="961" t="s">
        <v>388</v>
      </c>
      <c r="C100" s="887">
        <f>C101*C102</f>
        <v>0</v>
      </c>
      <c r="D100" s="887">
        <f>D101*D102</f>
        <v>0</v>
      </c>
      <c r="E100" s="1546">
        <f>E101*E102</f>
        <v>0</v>
      </c>
      <c r="F100" s="1568"/>
      <c r="G100" s="1453">
        <f>D$12</f>
        <v>2024</v>
      </c>
      <c r="H100" s="1453">
        <f>E$12</f>
        <v>2025</v>
      </c>
      <c r="I100" s="1606"/>
      <c r="K100" s="746"/>
      <c r="L100" s="1284"/>
      <c r="M100" s="1284"/>
      <c r="N100" s="1284"/>
      <c r="O100" s="1284"/>
      <c r="P100" s="1347"/>
      <c r="Q100" s="1347"/>
      <c r="R100" s="1347"/>
      <c r="S100" s="1347"/>
      <c r="T100" s="1362"/>
    </row>
    <row r="101" spans="1:20" ht="12" customHeight="1" x14ac:dyDescent="0.2">
      <c r="A101" s="168"/>
      <c r="B101" s="390" t="s">
        <v>454</v>
      </c>
      <c r="C101" s="1034">
        <v>0</v>
      </c>
      <c r="D101" s="1034">
        <f>C101*(1+G101)</f>
        <v>0</v>
      </c>
      <c r="E101" s="1547">
        <f>D101*(1+H101)</f>
        <v>0</v>
      </c>
      <c r="F101" s="1566" t="s">
        <v>652</v>
      </c>
      <c r="G101" s="1543">
        <v>0.03</v>
      </c>
      <c r="H101" s="1543">
        <f>G101</f>
        <v>0.03</v>
      </c>
      <c r="I101" s="1606"/>
      <c r="K101" s="746"/>
      <c r="L101" s="1284"/>
      <c r="M101" s="1284"/>
      <c r="N101" s="1284"/>
      <c r="O101" s="1284"/>
      <c r="P101" s="1347"/>
      <c r="Q101" s="1347"/>
      <c r="R101" s="1347"/>
      <c r="S101" s="1347"/>
      <c r="T101" s="1362"/>
    </row>
    <row r="102" spans="1:20" ht="12" customHeight="1" x14ac:dyDescent="0.2">
      <c r="A102" s="2"/>
      <c r="B102" s="1036" t="s">
        <v>455</v>
      </c>
      <c r="C102" s="1035">
        <v>0</v>
      </c>
      <c r="D102" s="1035">
        <f>C102*12/C$13+G102*C102*12/C$13</f>
        <v>0</v>
      </c>
      <c r="E102" s="1548">
        <f>D102*(1+H102)</f>
        <v>0</v>
      </c>
      <c r="F102" s="1566" t="s">
        <v>650</v>
      </c>
      <c r="G102" s="1543">
        <v>0</v>
      </c>
      <c r="H102" s="1543">
        <f>G102</f>
        <v>0</v>
      </c>
      <c r="I102" s="1624"/>
      <c r="K102" s="746"/>
      <c r="L102" s="1284"/>
      <c r="M102" s="1284"/>
      <c r="N102" s="1284"/>
      <c r="O102" s="1284"/>
      <c r="P102" s="1347"/>
      <c r="Q102" s="1347"/>
      <c r="R102" s="1347"/>
      <c r="S102" s="1347"/>
      <c r="T102" s="1362"/>
    </row>
    <row r="103" spans="1:20" ht="4.1500000000000004" customHeight="1" x14ac:dyDescent="0.2">
      <c r="A103" s="2"/>
      <c r="B103" s="1480"/>
      <c r="C103" s="1563"/>
      <c r="D103" s="1563"/>
      <c r="E103" s="1563"/>
      <c r="F103" s="1621"/>
      <c r="G103" s="1045"/>
      <c r="H103" s="1544"/>
      <c r="I103" s="1620"/>
      <c r="K103" s="1338"/>
      <c r="L103" s="1287"/>
      <c r="M103" s="1287"/>
      <c r="N103" s="1287"/>
      <c r="O103" s="1287"/>
      <c r="P103" s="1364"/>
      <c r="Q103" s="1364"/>
      <c r="R103" s="1364"/>
      <c r="S103" s="1364"/>
      <c r="T103" s="1365"/>
    </row>
    <row r="104" spans="1:20" ht="12" customHeight="1" x14ac:dyDescent="0.2">
      <c r="A104" s="168"/>
      <c r="B104" s="1032">
        <v>0</v>
      </c>
      <c r="C104" s="1033">
        <v>0.24</v>
      </c>
      <c r="D104" s="1033">
        <f>C104</f>
        <v>0.24</v>
      </c>
      <c r="E104" s="1549">
        <f>D104</f>
        <v>0.24</v>
      </c>
      <c r="F104" s="1473"/>
      <c r="G104" s="1066"/>
      <c r="H104" s="1066"/>
      <c r="I104" s="1606"/>
      <c r="K104" s="746"/>
      <c r="L104" s="1284"/>
      <c r="M104" s="1284"/>
      <c r="N104" s="1284"/>
      <c r="O104" s="1284"/>
      <c r="P104" s="1347"/>
      <c r="Q104" s="1347"/>
      <c r="R104" s="1347"/>
      <c r="S104" s="1347"/>
      <c r="T104" s="1362"/>
    </row>
    <row r="105" spans="1:20" ht="12" customHeight="1" x14ac:dyDescent="0.2">
      <c r="B105" s="961" t="s">
        <v>388</v>
      </c>
      <c r="C105" s="887">
        <f>C106*C107</f>
        <v>0</v>
      </c>
      <c r="D105" s="887">
        <f>D106*D107</f>
        <v>0</v>
      </c>
      <c r="E105" s="1546">
        <f>E106*E107</f>
        <v>0</v>
      </c>
      <c r="F105" s="1568"/>
      <c r="G105" s="1453">
        <f>D$12</f>
        <v>2024</v>
      </c>
      <c r="H105" s="1453">
        <f>E$12</f>
        <v>2025</v>
      </c>
      <c r="I105" s="1606"/>
      <c r="K105" s="746"/>
      <c r="L105" s="1284"/>
      <c r="M105" s="1284"/>
      <c r="N105" s="1284"/>
      <c r="O105" s="1284"/>
      <c r="P105" s="1347"/>
      <c r="Q105" s="1347"/>
      <c r="R105" s="1347"/>
      <c r="S105" s="1347"/>
      <c r="T105" s="1362"/>
    </row>
    <row r="106" spans="1:20" ht="12" customHeight="1" x14ac:dyDescent="0.2">
      <c r="A106" s="168"/>
      <c r="B106" s="390" t="s">
        <v>454</v>
      </c>
      <c r="C106" s="1034">
        <v>0</v>
      </c>
      <c r="D106" s="1034">
        <f>C106*(1+G106)</f>
        <v>0</v>
      </c>
      <c r="E106" s="1547">
        <f>D106*(1+H106)</f>
        <v>0</v>
      </c>
      <c r="F106" s="1566" t="s">
        <v>652</v>
      </c>
      <c r="G106" s="1543">
        <v>0.03</v>
      </c>
      <c r="H106" s="1543">
        <f>G106</f>
        <v>0.03</v>
      </c>
      <c r="I106" s="1624"/>
      <c r="K106" s="746"/>
      <c r="L106" s="1284"/>
      <c r="M106" s="1284"/>
      <c r="N106" s="1284"/>
      <c r="O106" s="1284"/>
      <c r="P106" s="1347"/>
      <c r="Q106" s="1347"/>
      <c r="R106" s="1347"/>
      <c r="S106" s="1347"/>
      <c r="T106" s="1362"/>
    </row>
    <row r="107" spans="1:20" ht="12" customHeight="1" x14ac:dyDescent="0.2">
      <c r="A107" s="2"/>
      <c r="B107" s="1036" t="s">
        <v>455</v>
      </c>
      <c r="C107" s="1035">
        <v>0</v>
      </c>
      <c r="D107" s="1035">
        <f>C107*12/C$13+G107*C107*12/C$13</f>
        <v>0</v>
      </c>
      <c r="E107" s="1548">
        <f>D107*(1+H107)</f>
        <v>0</v>
      </c>
      <c r="F107" s="1566" t="s">
        <v>650</v>
      </c>
      <c r="G107" s="1543">
        <v>0</v>
      </c>
      <c r="H107" s="1543">
        <f>G107</f>
        <v>0</v>
      </c>
      <c r="I107" s="1624"/>
      <c r="K107" s="746"/>
      <c r="L107" s="1284"/>
      <c r="M107" s="1284"/>
      <c r="N107" s="1284"/>
      <c r="O107" s="1284"/>
      <c r="P107" s="1347"/>
      <c r="Q107" s="1347"/>
      <c r="R107" s="1347"/>
      <c r="S107" s="1347"/>
      <c r="T107" s="1362"/>
    </row>
    <row r="108" spans="1:20" ht="4.1500000000000004" customHeight="1" x14ac:dyDescent="0.2">
      <c r="B108" s="1480"/>
      <c r="C108" s="1563"/>
      <c r="D108" s="1563"/>
      <c r="E108" s="1563"/>
      <c r="F108" s="1621"/>
      <c r="G108" s="1045"/>
      <c r="H108" s="1544"/>
      <c r="I108" s="1620"/>
      <c r="K108" s="1338"/>
      <c r="L108" s="1287"/>
      <c r="M108" s="1287"/>
      <c r="N108" s="1287"/>
      <c r="O108" s="1287"/>
      <c r="P108" s="1364"/>
      <c r="Q108" s="1364"/>
      <c r="R108" s="1364"/>
      <c r="S108" s="1364"/>
      <c r="T108" s="1365"/>
    </row>
    <row r="109" spans="1:20" ht="12" customHeight="1" x14ac:dyDescent="0.2">
      <c r="A109" s="168"/>
      <c r="B109" s="1032">
        <v>0</v>
      </c>
      <c r="C109" s="1033">
        <v>0.24</v>
      </c>
      <c r="D109" s="1033">
        <f>C109</f>
        <v>0.24</v>
      </c>
      <c r="E109" s="1549">
        <f>D109</f>
        <v>0.24</v>
      </c>
      <c r="F109" s="1473"/>
      <c r="G109" s="1066"/>
      <c r="H109" s="1066"/>
      <c r="I109" s="1606"/>
      <c r="K109" s="746"/>
      <c r="L109" s="1284"/>
      <c r="M109" s="1284"/>
      <c r="N109" s="1284"/>
      <c r="O109" s="1284"/>
      <c r="P109" s="1347"/>
      <c r="Q109" s="1347"/>
      <c r="R109" s="1347"/>
      <c r="S109" s="1347"/>
      <c r="T109" s="1362"/>
    </row>
    <row r="110" spans="1:20" ht="12" customHeight="1" x14ac:dyDescent="0.2">
      <c r="B110" s="961" t="s">
        <v>388</v>
      </c>
      <c r="C110" s="887">
        <f>C111*C112</f>
        <v>0</v>
      </c>
      <c r="D110" s="887">
        <f>D111*D112</f>
        <v>0</v>
      </c>
      <c r="E110" s="1546">
        <f>E111*E112</f>
        <v>0</v>
      </c>
      <c r="F110" s="1568"/>
      <c r="G110" s="1453">
        <f>D$12</f>
        <v>2024</v>
      </c>
      <c r="H110" s="1453">
        <f>E$12</f>
        <v>2025</v>
      </c>
      <c r="I110" s="1606"/>
      <c r="J110" s="90"/>
      <c r="K110" s="1346"/>
      <c r="L110" s="1347"/>
      <c r="M110" s="1347"/>
      <c r="N110" s="1347"/>
      <c r="O110" s="1347"/>
      <c r="P110" s="1347"/>
      <c r="Q110" s="1347"/>
      <c r="R110" s="1347"/>
      <c r="S110" s="1347"/>
      <c r="T110" s="1362"/>
    </row>
    <row r="111" spans="1:20" ht="12" customHeight="1" x14ac:dyDescent="0.2">
      <c r="A111" s="168"/>
      <c r="B111" s="390" t="s">
        <v>454</v>
      </c>
      <c r="C111" s="1034">
        <v>0</v>
      </c>
      <c r="D111" s="1034">
        <f>C111*(1+G111)</f>
        <v>0</v>
      </c>
      <c r="E111" s="1547">
        <f>D111*(1+H111)</f>
        <v>0</v>
      </c>
      <c r="F111" s="1566" t="s">
        <v>652</v>
      </c>
      <c r="G111" s="1543">
        <v>0.03</v>
      </c>
      <c r="H111" s="1543">
        <f>G111</f>
        <v>0.03</v>
      </c>
      <c r="I111" s="1624"/>
      <c r="K111" s="1346"/>
      <c r="L111" s="1347"/>
      <c r="M111" s="1347"/>
      <c r="N111" s="1347"/>
      <c r="O111" s="1347"/>
      <c r="P111" s="1347"/>
      <c r="Q111" s="1347"/>
      <c r="R111" s="1347"/>
      <c r="S111" s="1347"/>
      <c r="T111" s="1362"/>
    </row>
    <row r="112" spans="1:20" ht="12" customHeight="1" x14ac:dyDescent="0.2">
      <c r="A112" s="2"/>
      <c r="B112" s="1036" t="s">
        <v>455</v>
      </c>
      <c r="C112" s="1035">
        <v>0</v>
      </c>
      <c r="D112" s="1035">
        <f>C112*12/C$13+G112*C112*12/C$13</f>
        <v>0</v>
      </c>
      <c r="E112" s="1548">
        <f>D112*(1+H112)</f>
        <v>0</v>
      </c>
      <c r="F112" s="1566" t="s">
        <v>650</v>
      </c>
      <c r="G112" s="1543">
        <v>0</v>
      </c>
      <c r="H112" s="1543">
        <f>G112</f>
        <v>0</v>
      </c>
      <c r="I112" s="1624"/>
      <c r="K112" s="1346"/>
      <c r="L112" s="1347"/>
      <c r="M112" s="1347"/>
      <c r="N112" s="1347"/>
      <c r="O112" s="1347"/>
      <c r="P112" s="1347"/>
      <c r="Q112" s="1347"/>
      <c r="R112" s="1347"/>
      <c r="S112" s="1347"/>
      <c r="T112" s="1362"/>
    </row>
    <row r="113" spans="1:20" ht="4.1500000000000004" customHeight="1" x14ac:dyDescent="0.2">
      <c r="A113" s="1055"/>
      <c r="B113" s="1056"/>
      <c r="C113" s="1563"/>
      <c r="D113" s="1563"/>
      <c r="E113" s="1563"/>
      <c r="F113" s="1621"/>
      <c r="G113" s="1045"/>
      <c r="H113" s="1544"/>
      <c r="I113" s="1620"/>
      <c r="K113" s="1363"/>
      <c r="L113" s="1364"/>
      <c r="M113" s="1364"/>
      <c r="N113" s="1364"/>
      <c r="O113" s="1364"/>
      <c r="P113" s="1364"/>
      <c r="Q113" s="1364"/>
      <c r="R113" s="1364"/>
      <c r="S113" s="1364"/>
      <c r="T113" s="1365"/>
    </row>
    <row r="114" spans="1:20" ht="12" customHeight="1" x14ac:dyDescent="0.2">
      <c r="B114" s="1032" t="s">
        <v>849</v>
      </c>
      <c r="C114" s="1033">
        <v>0.24</v>
      </c>
      <c r="D114" s="1033">
        <f>C114</f>
        <v>0.24</v>
      </c>
      <c r="E114" s="1549">
        <f>D114</f>
        <v>0.24</v>
      </c>
      <c r="F114" s="1473"/>
      <c r="G114" s="1066"/>
      <c r="H114" s="1066"/>
      <c r="I114" s="1606"/>
      <c r="K114" s="1346"/>
      <c r="L114" s="1347"/>
      <c r="M114" s="1347"/>
      <c r="N114" s="1347"/>
      <c r="O114" s="1347"/>
      <c r="P114" s="1347"/>
      <c r="Q114" s="1347"/>
      <c r="R114" s="1347"/>
      <c r="S114" s="1347"/>
      <c r="T114" s="1362"/>
    </row>
    <row r="115" spans="1:20" ht="12" customHeight="1" x14ac:dyDescent="0.2">
      <c r="A115" s="168"/>
      <c r="B115" s="962" t="s">
        <v>388</v>
      </c>
      <c r="C115" s="887">
        <f>C118*C117</f>
        <v>0</v>
      </c>
      <c r="D115" s="887">
        <f>D118*D117</f>
        <v>0</v>
      </c>
      <c r="E115" s="1546">
        <f>E118*E117</f>
        <v>0</v>
      </c>
      <c r="F115" s="1568"/>
      <c r="G115" s="1453">
        <f>D$12</f>
        <v>2024</v>
      </c>
      <c r="H115" s="1453">
        <f>E$12</f>
        <v>2025</v>
      </c>
      <c r="I115" s="1622"/>
      <c r="K115" s="1363"/>
      <c r="L115" s="1364"/>
      <c r="M115" s="1364"/>
      <c r="N115" s="1364"/>
      <c r="O115" s="1364"/>
      <c r="P115" s="1364"/>
      <c r="Q115" s="1364"/>
      <c r="R115" s="1364"/>
      <c r="S115" s="1364"/>
      <c r="T115" s="1365"/>
    </row>
    <row r="116" spans="1:20" ht="12" customHeight="1" x14ac:dyDescent="0.2">
      <c r="A116" s="2"/>
      <c r="B116" s="390" t="s">
        <v>457</v>
      </c>
      <c r="C116" s="1034">
        <v>0</v>
      </c>
      <c r="D116" s="1034">
        <f t="shared" ref="D116:E118" si="7">C116*(1+G116)</f>
        <v>0</v>
      </c>
      <c r="E116" s="1547">
        <f t="shared" si="7"/>
        <v>0</v>
      </c>
      <c r="F116" s="1569" t="s">
        <v>653</v>
      </c>
      <c r="G116" s="1543">
        <v>0.03</v>
      </c>
      <c r="H116" s="1543">
        <f>G116</f>
        <v>0.03</v>
      </c>
      <c r="I116" s="1620"/>
      <c r="K116" s="1366"/>
      <c r="L116" s="1347"/>
      <c r="M116" s="1347"/>
      <c r="N116" s="1347"/>
      <c r="O116" s="1347"/>
      <c r="P116" s="1347"/>
      <c r="Q116" s="1347"/>
      <c r="R116" s="1347"/>
      <c r="S116" s="1347"/>
      <c r="T116" s="1362"/>
    </row>
    <row r="117" spans="1:20" ht="12" customHeight="1" x14ac:dyDescent="0.2">
      <c r="B117" s="390" t="s">
        <v>458</v>
      </c>
      <c r="C117" s="1035">
        <v>0</v>
      </c>
      <c r="D117" s="1035">
        <f>C117*12/C$13+G117*C117*12/C$13</f>
        <v>0</v>
      </c>
      <c r="E117" s="1548">
        <f t="shared" si="7"/>
        <v>0</v>
      </c>
      <c r="F117" s="1569" t="s">
        <v>477</v>
      </c>
      <c r="G117" s="1543">
        <v>0</v>
      </c>
      <c r="H117" s="1543">
        <f>G117</f>
        <v>0</v>
      </c>
      <c r="I117" s="1620"/>
      <c r="K117" s="1366"/>
      <c r="L117" s="1347"/>
      <c r="M117" s="1347"/>
      <c r="N117" s="1347"/>
      <c r="O117" s="1347"/>
      <c r="P117" s="1347"/>
      <c r="Q117" s="1347"/>
      <c r="R117" s="1347"/>
      <c r="S117" s="1347"/>
      <c r="T117" s="1362"/>
    </row>
    <row r="118" spans="1:20" ht="12" customHeight="1" x14ac:dyDescent="0.2">
      <c r="B118" s="390" t="s">
        <v>459</v>
      </c>
      <c r="C118" s="1034">
        <v>0</v>
      </c>
      <c r="D118" s="1034">
        <f t="shared" si="7"/>
        <v>0</v>
      </c>
      <c r="E118" s="1547">
        <f t="shared" si="7"/>
        <v>0</v>
      </c>
      <c r="F118" s="1570" t="s">
        <v>654</v>
      </c>
      <c r="G118" s="1543">
        <v>0.03</v>
      </c>
      <c r="H118" s="1543">
        <f>G118</f>
        <v>0.03</v>
      </c>
      <c r="I118" s="1620"/>
      <c r="K118" s="1346"/>
      <c r="L118" s="1347"/>
      <c r="M118" s="1347"/>
      <c r="N118" s="1347"/>
      <c r="O118" s="1347"/>
      <c r="P118" s="1347"/>
      <c r="Q118" s="1347"/>
      <c r="R118" s="1347"/>
      <c r="S118" s="1347"/>
      <c r="T118" s="1362"/>
    </row>
    <row r="119" spans="1:20" ht="12" customHeight="1" x14ac:dyDescent="0.2">
      <c r="A119" s="168"/>
      <c r="B119" s="390" t="s">
        <v>460</v>
      </c>
      <c r="C119" s="882">
        <f>IF(C118=0,0,(C118-C116)/C118)</f>
        <v>0</v>
      </c>
      <c r="D119" s="882">
        <f>IF(D118=0,0,(D118-D116)/D118)</f>
        <v>0</v>
      </c>
      <c r="E119" s="1466">
        <f>IF(E118=0,0,(E118-E116)/E118)</f>
        <v>0</v>
      </c>
      <c r="F119" s="1473"/>
      <c r="G119" s="1066"/>
      <c r="H119" s="1066"/>
      <c r="I119" s="1606"/>
      <c r="K119" s="1346"/>
      <c r="L119" s="1347"/>
      <c r="M119" s="1347"/>
      <c r="N119" s="1347"/>
      <c r="O119" s="1347"/>
      <c r="P119" s="1347"/>
      <c r="Q119" s="1347"/>
      <c r="R119" s="1347"/>
      <c r="S119" s="1347"/>
      <c r="T119" s="1362"/>
    </row>
    <row r="120" spans="1:20" ht="4.1500000000000004" customHeight="1" x14ac:dyDescent="0.2">
      <c r="B120" s="1480"/>
      <c r="C120" s="1564"/>
      <c r="D120" s="1564"/>
      <c r="E120" s="1564"/>
      <c r="F120" s="1621"/>
      <c r="G120" s="1045"/>
      <c r="H120" s="1045"/>
      <c r="I120" s="1625"/>
      <c r="K120" s="1363"/>
      <c r="L120" s="1364"/>
      <c r="M120" s="1364"/>
      <c r="N120" s="1364"/>
      <c r="O120" s="1364"/>
      <c r="P120" s="1364"/>
      <c r="Q120" s="1364"/>
      <c r="R120" s="1364"/>
      <c r="S120" s="1364"/>
      <c r="T120" s="1365"/>
    </row>
    <row r="121" spans="1:20" ht="12" customHeight="1" x14ac:dyDescent="0.2">
      <c r="A121" s="168"/>
      <c r="B121" s="1032">
        <v>0</v>
      </c>
      <c r="C121" s="1033">
        <v>0.24</v>
      </c>
      <c r="D121" s="1033">
        <f>C121</f>
        <v>0.24</v>
      </c>
      <c r="E121" s="1549">
        <f>D121</f>
        <v>0.24</v>
      </c>
      <c r="F121" s="1473"/>
      <c r="G121" s="1066"/>
      <c r="H121" s="1066"/>
      <c r="I121" s="1606"/>
      <c r="K121" s="1346"/>
      <c r="L121" s="1347"/>
      <c r="M121" s="1347"/>
      <c r="N121" s="1347"/>
      <c r="O121" s="1347"/>
      <c r="P121" s="1347"/>
      <c r="Q121" s="1347"/>
      <c r="R121" s="1347"/>
      <c r="S121" s="1347"/>
      <c r="T121" s="1362"/>
    </row>
    <row r="122" spans="1:20" ht="12" customHeight="1" x14ac:dyDescent="0.2">
      <c r="A122" s="2"/>
      <c r="B122" s="962" t="s">
        <v>388</v>
      </c>
      <c r="C122" s="887">
        <f>C125*C124</f>
        <v>0</v>
      </c>
      <c r="D122" s="887">
        <f>D125*D124</f>
        <v>0</v>
      </c>
      <c r="E122" s="1546">
        <f>E125*E124</f>
        <v>0</v>
      </c>
      <c r="F122" s="1567"/>
      <c r="G122" s="1453">
        <f>D$12</f>
        <v>2024</v>
      </c>
      <c r="H122" s="1453">
        <f>E$12</f>
        <v>2025</v>
      </c>
      <c r="I122" s="1622"/>
      <c r="K122" s="1363"/>
      <c r="L122" s="1364"/>
      <c r="M122" s="1364"/>
      <c r="N122" s="1364"/>
      <c r="O122" s="1364"/>
      <c r="P122" s="1364"/>
      <c r="Q122" s="1364"/>
      <c r="R122" s="1364"/>
      <c r="S122" s="1364"/>
      <c r="T122" s="1365"/>
    </row>
    <row r="123" spans="1:20" ht="12" customHeight="1" x14ac:dyDescent="0.2">
      <c r="B123" s="390" t="s">
        <v>457</v>
      </c>
      <c r="C123" s="1034">
        <v>0</v>
      </c>
      <c r="D123" s="1034">
        <f t="shared" ref="D123:E125" si="8">C123*(1+G123)</f>
        <v>0</v>
      </c>
      <c r="E123" s="1547">
        <f t="shared" si="8"/>
        <v>0</v>
      </c>
      <c r="F123" s="1569" t="s">
        <v>653</v>
      </c>
      <c r="G123" s="1543">
        <v>0.03</v>
      </c>
      <c r="H123" s="1543">
        <f>G123</f>
        <v>0.03</v>
      </c>
      <c r="I123" s="1620"/>
      <c r="K123" s="1346"/>
      <c r="L123" s="1347"/>
      <c r="M123" s="1347"/>
      <c r="N123" s="1347"/>
      <c r="O123" s="1347"/>
      <c r="P123" s="1347"/>
      <c r="Q123" s="1347"/>
      <c r="R123" s="1347"/>
      <c r="S123" s="1347"/>
      <c r="T123" s="1362"/>
    </row>
    <row r="124" spans="1:20" ht="12" customHeight="1" x14ac:dyDescent="0.2">
      <c r="B124" s="390" t="s">
        <v>458</v>
      </c>
      <c r="C124" s="1035">
        <v>0</v>
      </c>
      <c r="D124" s="1035">
        <f>C124*12/C$13+G124*C124*12/C$13</f>
        <v>0</v>
      </c>
      <c r="E124" s="1548">
        <f t="shared" si="8"/>
        <v>0</v>
      </c>
      <c r="F124" s="1569" t="s">
        <v>477</v>
      </c>
      <c r="G124" s="1543">
        <v>0</v>
      </c>
      <c r="H124" s="1543">
        <f>G124</f>
        <v>0</v>
      </c>
      <c r="I124" s="1620"/>
      <c r="K124" s="746"/>
      <c r="L124" s="1284"/>
      <c r="M124" s="1284"/>
      <c r="N124" s="1284"/>
      <c r="O124" s="1284"/>
      <c r="P124" s="1284"/>
      <c r="Q124" s="1284"/>
      <c r="R124" s="1284"/>
      <c r="S124" s="1284"/>
      <c r="T124" s="1285"/>
    </row>
    <row r="125" spans="1:20" ht="12" customHeight="1" x14ac:dyDescent="0.2">
      <c r="B125" s="390" t="s">
        <v>459</v>
      </c>
      <c r="C125" s="1034">
        <v>0</v>
      </c>
      <c r="D125" s="1034">
        <f t="shared" si="8"/>
        <v>0</v>
      </c>
      <c r="E125" s="1547">
        <f t="shared" si="8"/>
        <v>0</v>
      </c>
      <c r="F125" s="1570" t="s">
        <v>654</v>
      </c>
      <c r="G125" s="1543">
        <v>0.03</v>
      </c>
      <c r="H125" s="1543">
        <f>G125</f>
        <v>0.03</v>
      </c>
      <c r="I125" s="1620"/>
      <c r="K125" s="746"/>
      <c r="L125" s="1284"/>
      <c r="M125" s="1284"/>
      <c r="N125" s="1284"/>
      <c r="O125" s="1284"/>
      <c r="P125" s="1284"/>
      <c r="Q125" s="1284"/>
      <c r="R125" s="1284"/>
      <c r="S125" s="1284"/>
      <c r="T125" s="1285"/>
    </row>
    <row r="126" spans="1:20" ht="12" customHeight="1" x14ac:dyDescent="0.2">
      <c r="B126" s="390" t="s">
        <v>460</v>
      </c>
      <c r="C126" s="882">
        <f>IF(C125=0,0,(C125-C123)/C125)</f>
        <v>0</v>
      </c>
      <c r="D126" s="882">
        <f>IF(D125=0,0,(D125-D123)/D125)</f>
        <v>0</v>
      </c>
      <c r="E126" s="1466">
        <f>IF(E125=0,0,(E125-E123)/E125)</f>
        <v>0</v>
      </c>
      <c r="F126" s="1473"/>
      <c r="G126" s="1066"/>
      <c r="H126" s="1066"/>
      <c r="I126" s="1606"/>
      <c r="K126" s="746"/>
      <c r="L126" s="1284"/>
      <c r="M126" s="1284"/>
      <c r="N126" s="1284"/>
      <c r="O126" s="1284"/>
      <c r="P126" s="1284"/>
      <c r="Q126" s="1284"/>
      <c r="R126" s="1284"/>
      <c r="S126" s="1284"/>
      <c r="T126" s="1285"/>
    </row>
    <row r="127" spans="1:20" ht="4.1500000000000004" customHeight="1" x14ac:dyDescent="0.2">
      <c r="B127" s="1480"/>
      <c r="C127" s="1564"/>
      <c r="D127" s="1564"/>
      <c r="E127" s="1564"/>
      <c r="F127" s="1621"/>
      <c r="G127" s="1045"/>
      <c r="H127" s="1045"/>
      <c r="I127" s="1625"/>
      <c r="K127" s="1363"/>
      <c r="L127" s="1364"/>
      <c r="M127" s="1364"/>
      <c r="N127" s="1364"/>
      <c r="O127" s="1364"/>
      <c r="P127" s="1364"/>
      <c r="Q127" s="1364"/>
      <c r="R127" s="1364"/>
      <c r="S127" s="1364"/>
      <c r="T127" s="1365"/>
    </row>
    <row r="128" spans="1:20" ht="12" customHeight="1" x14ac:dyDescent="0.2">
      <c r="B128" s="1032">
        <v>0</v>
      </c>
      <c r="C128" s="1033">
        <v>0.24</v>
      </c>
      <c r="D128" s="1033">
        <f>C128</f>
        <v>0.24</v>
      </c>
      <c r="E128" s="1549">
        <f>D128</f>
        <v>0.24</v>
      </c>
      <c r="F128" s="1473"/>
      <c r="G128" s="1066"/>
      <c r="H128" s="1066"/>
      <c r="I128" s="1606"/>
      <c r="K128" s="746"/>
      <c r="L128" s="1284"/>
      <c r="M128" s="1284"/>
      <c r="N128" s="1284"/>
      <c r="O128" s="1284"/>
      <c r="P128" s="1284"/>
      <c r="Q128" s="1284"/>
      <c r="R128" s="1284"/>
      <c r="S128" s="1284"/>
      <c r="T128" s="1285"/>
    </row>
    <row r="129" spans="2:20" ht="12" customHeight="1" x14ac:dyDescent="0.2">
      <c r="B129" s="962" t="s">
        <v>388</v>
      </c>
      <c r="C129" s="887">
        <f>C132*C131</f>
        <v>0</v>
      </c>
      <c r="D129" s="887">
        <f>D132*D131</f>
        <v>0</v>
      </c>
      <c r="E129" s="1546">
        <f>E132*E131</f>
        <v>0</v>
      </c>
      <c r="F129" s="1567"/>
      <c r="G129" s="1453">
        <f>D$12</f>
        <v>2024</v>
      </c>
      <c r="H129" s="1453">
        <f>E$12</f>
        <v>2025</v>
      </c>
      <c r="I129" s="1622"/>
      <c r="K129" s="1338"/>
      <c r="L129" s="1287"/>
      <c r="M129" s="1287"/>
      <c r="N129" s="1287"/>
      <c r="O129" s="1287"/>
      <c r="P129" s="1287"/>
      <c r="Q129" s="1287"/>
      <c r="R129" s="1287"/>
      <c r="S129" s="1287"/>
      <c r="T129" s="1292"/>
    </row>
    <row r="130" spans="2:20" ht="12" customHeight="1" x14ac:dyDescent="0.2">
      <c r="B130" s="390" t="s">
        <v>457</v>
      </c>
      <c r="C130" s="1034">
        <v>0</v>
      </c>
      <c r="D130" s="1034">
        <f t="shared" ref="D130:E132" si="9">C130*(1+G130)</f>
        <v>0</v>
      </c>
      <c r="E130" s="1547">
        <f t="shared" si="9"/>
        <v>0</v>
      </c>
      <c r="F130" s="1569" t="s">
        <v>653</v>
      </c>
      <c r="G130" s="1543">
        <v>0.03</v>
      </c>
      <c r="H130" s="1543">
        <f>G130</f>
        <v>0.03</v>
      </c>
      <c r="I130" s="1620"/>
      <c r="K130" s="746"/>
      <c r="L130" s="1284"/>
      <c r="M130" s="1284"/>
      <c r="N130" s="1284"/>
      <c r="O130" s="1284"/>
      <c r="P130" s="1284"/>
      <c r="Q130" s="1284"/>
      <c r="R130" s="1284"/>
      <c r="S130" s="1284"/>
      <c r="T130" s="1285"/>
    </row>
    <row r="131" spans="2:20" ht="12" customHeight="1" x14ac:dyDescent="0.2">
      <c r="B131" s="390" t="s">
        <v>458</v>
      </c>
      <c r="C131" s="1035">
        <v>0</v>
      </c>
      <c r="D131" s="1035">
        <f>C131*12/C$13+G131*C131*12/C$13</f>
        <v>0</v>
      </c>
      <c r="E131" s="1548">
        <f t="shared" si="9"/>
        <v>0</v>
      </c>
      <c r="F131" s="1569" t="s">
        <v>477</v>
      </c>
      <c r="G131" s="1543">
        <v>0</v>
      </c>
      <c r="H131" s="1543">
        <f>G131</f>
        <v>0</v>
      </c>
      <c r="I131" s="1620"/>
      <c r="K131" s="746"/>
      <c r="L131" s="1284"/>
      <c r="M131" s="1284"/>
      <c r="N131" s="1284"/>
      <c r="O131" s="1284"/>
      <c r="P131" s="1284"/>
      <c r="Q131" s="1284"/>
      <c r="R131" s="1284"/>
      <c r="S131" s="1284"/>
      <c r="T131" s="1285"/>
    </row>
    <row r="132" spans="2:20" ht="12" customHeight="1" x14ac:dyDescent="0.2">
      <c r="B132" s="390" t="s">
        <v>459</v>
      </c>
      <c r="C132" s="1034">
        <v>0</v>
      </c>
      <c r="D132" s="1034">
        <f t="shared" si="9"/>
        <v>0</v>
      </c>
      <c r="E132" s="1547">
        <f t="shared" si="9"/>
        <v>0</v>
      </c>
      <c r="F132" s="1570" t="s">
        <v>654</v>
      </c>
      <c r="G132" s="1543">
        <v>0.03</v>
      </c>
      <c r="H132" s="1543">
        <f>G132</f>
        <v>0.03</v>
      </c>
      <c r="I132" s="1620"/>
      <c r="K132" s="746"/>
      <c r="L132" s="1284"/>
      <c r="M132" s="1284"/>
      <c r="N132" s="1284"/>
      <c r="O132" s="1284"/>
      <c r="P132" s="1284"/>
      <c r="Q132" s="1284"/>
      <c r="R132" s="1284"/>
      <c r="S132" s="1284"/>
      <c r="T132" s="1285"/>
    </row>
    <row r="133" spans="2:20" ht="12" customHeight="1" x14ac:dyDescent="0.2">
      <c r="B133" s="390" t="s">
        <v>460</v>
      </c>
      <c r="C133" s="882">
        <f>IF(C132=0,0,(C132-C130)/C132)</f>
        <v>0</v>
      </c>
      <c r="D133" s="882">
        <f>IF(D132=0,0,(D132-D130)/D132)</f>
        <v>0</v>
      </c>
      <c r="E133" s="1466">
        <f>IF(E132=0,0,(E132-E130)/E132)</f>
        <v>0</v>
      </c>
      <c r="F133" s="1473"/>
      <c r="G133" s="1066"/>
      <c r="H133" s="1066"/>
      <c r="I133" s="1606"/>
      <c r="K133" s="1346"/>
      <c r="L133" s="1347"/>
      <c r="M133" s="1347"/>
      <c r="N133" s="1347"/>
      <c r="O133" s="1347"/>
      <c r="P133" s="1284"/>
      <c r="Q133" s="1284"/>
      <c r="R133" s="1284"/>
      <c r="S133" s="1284"/>
      <c r="T133" s="1285"/>
    </row>
    <row r="134" spans="2:20" ht="4.1500000000000004" customHeight="1" x14ac:dyDescent="0.2">
      <c r="B134" s="1480"/>
      <c r="C134" s="1564"/>
      <c r="D134" s="1564"/>
      <c r="E134" s="1564"/>
      <c r="F134" s="1621"/>
      <c r="G134" s="1045"/>
      <c r="H134" s="1045"/>
      <c r="I134" s="1625"/>
      <c r="K134" s="1363"/>
      <c r="L134" s="1364"/>
      <c r="M134" s="1364"/>
      <c r="N134" s="1364"/>
      <c r="O134" s="1364"/>
      <c r="P134" s="1364"/>
      <c r="Q134" s="1364"/>
      <c r="R134" s="1364"/>
      <c r="S134" s="1364"/>
      <c r="T134" s="1365"/>
    </row>
    <row r="135" spans="2:20" ht="12" customHeight="1" x14ac:dyDescent="0.2">
      <c r="B135" s="1032">
        <v>0</v>
      </c>
      <c r="C135" s="1033">
        <v>0.24</v>
      </c>
      <c r="D135" s="1033">
        <f>C135</f>
        <v>0.24</v>
      </c>
      <c r="E135" s="1549">
        <f>D135</f>
        <v>0.24</v>
      </c>
      <c r="F135" s="1473"/>
      <c r="G135" s="1066"/>
      <c r="H135" s="1066"/>
      <c r="I135" s="1606"/>
      <c r="K135" s="1346"/>
      <c r="L135" s="1347"/>
      <c r="M135" s="1347"/>
      <c r="N135" s="1347"/>
      <c r="O135" s="1347"/>
      <c r="P135" s="1284"/>
      <c r="Q135" s="1284"/>
      <c r="R135" s="1284"/>
      <c r="S135" s="1284"/>
      <c r="T135" s="1285"/>
    </row>
    <row r="136" spans="2:20" ht="12" customHeight="1" x14ac:dyDescent="0.2">
      <c r="B136" s="962" t="s">
        <v>388</v>
      </c>
      <c r="C136" s="887">
        <f>C139*C138</f>
        <v>0</v>
      </c>
      <c r="D136" s="887">
        <f>D139*D138</f>
        <v>0</v>
      </c>
      <c r="E136" s="1546">
        <f>E139*E138</f>
        <v>0</v>
      </c>
      <c r="F136" s="1567"/>
      <c r="G136" s="1453">
        <f>D$12</f>
        <v>2024</v>
      </c>
      <c r="H136" s="1453">
        <f>E$12</f>
        <v>2025</v>
      </c>
      <c r="I136" s="1606"/>
      <c r="K136" s="1363"/>
      <c r="L136" s="1364"/>
      <c r="M136" s="1364"/>
      <c r="N136" s="1364"/>
      <c r="O136" s="1364"/>
      <c r="P136" s="1287"/>
      <c r="Q136" s="1287"/>
      <c r="R136" s="1287"/>
      <c r="S136" s="1287"/>
      <c r="T136" s="1292"/>
    </row>
    <row r="137" spans="2:20" ht="12" customHeight="1" x14ac:dyDescent="0.2">
      <c r="B137" s="390" t="s">
        <v>457</v>
      </c>
      <c r="C137" s="1550">
        <v>0</v>
      </c>
      <c r="D137" s="1034">
        <f t="shared" ref="D137:E139" si="10">C137*(1+G137)</f>
        <v>0</v>
      </c>
      <c r="E137" s="1547">
        <f t="shared" si="10"/>
        <v>0</v>
      </c>
      <c r="F137" s="1569" t="s">
        <v>653</v>
      </c>
      <c r="G137" s="1543">
        <v>0.03</v>
      </c>
      <c r="H137" s="1543">
        <f>G137</f>
        <v>0.03</v>
      </c>
      <c r="I137" s="1606"/>
      <c r="K137" s="1346"/>
      <c r="L137" s="1347"/>
      <c r="M137" s="1347"/>
      <c r="N137" s="1347"/>
      <c r="O137" s="1347"/>
      <c r="P137" s="1284"/>
      <c r="Q137" s="1284"/>
      <c r="R137" s="1284"/>
      <c r="S137" s="1284"/>
      <c r="T137" s="1285"/>
    </row>
    <row r="138" spans="2:20" ht="12" customHeight="1" x14ac:dyDescent="0.2">
      <c r="B138" s="390" t="s">
        <v>458</v>
      </c>
      <c r="C138" s="1551">
        <v>0</v>
      </c>
      <c r="D138" s="1035">
        <f>C138*12/C$13+G138*C138*12/C$13</f>
        <v>0</v>
      </c>
      <c r="E138" s="1548">
        <f t="shared" si="10"/>
        <v>0</v>
      </c>
      <c r="F138" s="1569" t="s">
        <v>477</v>
      </c>
      <c r="G138" s="1543">
        <v>0</v>
      </c>
      <c r="H138" s="1543">
        <f>G138</f>
        <v>0</v>
      </c>
      <c r="I138" s="1606"/>
      <c r="K138" s="1346"/>
      <c r="L138" s="1347"/>
      <c r="M138" s="1347"/>
      <c r="N138" s="1347"/>
      <c r="O138" s="1347"/>
      <c r="P138" s="1284"/>
      <c r="Q138" s="1284"/>
      <c r="R138" s="1284"/>
      <c r="S138" s="1284"/>
      <c r="T138" s="1285"/>
    </row>
    <row r="139" spans="2:20" ht="12" customHeight="1" x14ac:dyDescent="0.2">
      <c r="B139" s="390" t="s">
        <v>459</v>
      </c>
      <c r="C139" s="1550">
        <v>0</v>
      </c>
      <c r="D139" s="1034">
        <f t="shared" si="10"/>
        <v>0</v>
      </c>
      <c r="E139" s="1547">
        <f t="shared" si="10"/>
        <v>0</v>
      </c>
      <c r="F139" s="1570" t="s">
        <v>654</v>
      </c>
      <c r="G139" s="1543">
        <v>0.03</v>
      </c>
      <c r="H139" s="1543">
        <f>G139</f>
        <v>0.03</v>
      </c>
      <c r="I139" s="1606"/>
      <c r="K139" s="1346"/>
      <c r="L139" s="1347"/>
      <c r="M139" s="1347"/>
      <c r="N139" s="1347"/>
      <c r="O139" s="1347"/>
      <c r="P139" s="1284"/>
      <c r="Q139" s="1284"/>
      <c r="R139" s="1284"/>
      <c r="S139" s="1284"/>
      <c r="T139" s="1285"/>
    </row>
    <row r="140" spans="2:20" ht="12" customHeight="1" x14ac:dyDescent="0.2">
      <c r="B140" s="390" t="s">
        <v>460</v>
      </c>
      <c r="C140" s="882">
        <f>IF(C139=0,0,(C139-C137)/C139)</f>
        <v>0</v>
      </c>
      <c r="D140" s="882">
        <f>IF(D139=0,0,(D139-D137)/D139)</f>
        <v>0</v>
      </c>
      <c r="E140" s="1466">
        <f>IF(E139=0,0,(E139-E137)/E139)</f>
        <v>0</v>
      </c>
      <c r="F140" s="1473" t="s">
        <v>0</v>
      </c>
      <c r="G140" s="1066"/>
      <c r="H140" s="1066"/>
      <c r="I140" s="1606"/>
      <c r="K140" s="1346"/>
      <c r="L140" s="1347"/>
      <c r="M140" s="1347"/>
      <c r="N140" s="1347"/>
      <c r="O140" s="1347"/>
      <c r="P140" s="1284"/>
      <c r="Q140" s="1284"/>
      <c r="R140" s="1284"/>
      <c r="S140" s="1284"/>
      <c r="T140" s="1285"/>
    </row>
    <row r="141" spans="2:20" ht="4.1500000000000004" customHeight="1" x14ac:dyDescent="0.2">
      <c r="B141" s="1480"/>
      <c r="C141" s="1564"/>
      <c r="D141" s="1564"/>
      <c r="E141" s="1564"/>
      <c r="F141" s="1621"/>
      <c r="G141" s="1045"/>
      <c r="H141" s="1045"/>
      <c r="I141" s="1625"/>
      <c r="K141" s="1363"/>
      <c r="L141" s="1364"/>
      <c r="M141" s="1364"/>
      <c r="N141" s="1364"/>
      <c r="O141" s="1364"/>
      <c r="P141" s="1364"/>
      <c r="Q141" s="1364"/>
      <c r="R141" s="1364"/>
      <c r="S141" s="1364"/>
      <c r="T141" s="1365"/>
    </row>
    <row r="142" spans="2:20" ht="12" customHeight="1" x14ac:dyDescent="0.2">
      <c r="B142" s="1032">
        <v>0</v>
      </c>
      <c r="C142" s="1033">
        <v>0.24</v>
      </c>
      <c r="D142" s="1033">
        <f>C142</f>
        <v>0.24</v>
      </c>
      <c r="E142" s="1549">
        <f>D142</f>
        <v>0.24</v>
      </c>
      <c r="F142" s="1473"/>
      <c r="G142" s="1066"/>
      <c r="H142" s="1066"/>
      <c r="I142" s="1606"/>
      <c r="K142" s="1346"/>
      <c r="L142" s="1347"/>
      <c r="M142" s="1347"/>
      <c r="N142" s="1347"/>
      <c r="O142" s="1347"/>
      <c r="P142" s="1284"/>
      <c r="Q142" s="1284"/>
      <c r="R142" s="1284"/>
      <c r="S142" s="1284"/>
      <c r="T142" s="1285"/>
    </row>
    <row r="143" spans="2:20" ht="12" customHeight="1" x14ac:dyDescent="0.2">
      <c r="B143" s="962" t="s">
        <v>388</v>
      </c>
      <c r="C143" s="887">
        <f>C146*C145</f>
        <v>0</v>
      </c>
      <c r="D143" s="887">
        <f>D146*D145</f>
        <v>0</v>
      </c>
      <c r="E143" s="1546">
        <f>E146*E145</f>
        <v>0</v>
      </c>
      <c r="F143" s="1567"/>
      <c r="G143" s="1453">
        <f>D$12</f>
        <v>2024</v>
      </c>
      <c r="H143" s="1453">
        <f>E$12</f>
        <v>2025</v>
      </c>
      <c r="I143" s="1624"/>
      <c r="K143" s="746"/>
      <c r="L143" s="1284"/>
      <c r="M143" s="1284"/>
      <c r="N143" s="1284"/>
      <c r="O143" s="1284"/>
      <c r="P143" s="1284"/>
      <c r="Q143" s="1284"/>
      <c r="R143" s="1284"/>
      <c r="S143" s="1284"/>
      <c r="T143" s="1285"/>
    </row>
    <row r="144" spans="2:20" ht="12" customHeight="1" x14ac:dyDescent="0.2">
      <c r="B144" s="390" t="s">
        <v>457</v>
      </c>
      <c r="C144" s="1034">
        <v>0</v>
      </c>
      <c r="D144" s="1034">
        <f t="shared" ref="D144:E146" si="11">C144*(1+G144)</f>
        <v>0</v>
      </c>
      <c r="E144" s="1547">
        <f t="shared" si="11"/>
        <v>0</v>
      </c>
      <c r="F144" s="1569" t="s">
        <v>653</v>
      </c>
      <c r="G144" s="1543">
        <v>0.03</v>
      </c>
      <c r="H144" s="1543">
        <f>G144</f>
        <v>0.03</v>
      </c>
      <c r="I144" s="1624"/>
      <c r="K144" s="746"/>
      <c r="L144" s="1284"/>
      <c r="M144" s="1284"/>
      <c r="N144" s="1284"/>
      <c r="O144" s="1284"/>
      <c r="P144" s="1284"/>
      <c r="Q144" s="1284"/>
      <c r="R144" s="1284"/>
      <c r="S144" s="1284"/>
      <c r="T144" s="1285"/>
    </row>
    <row r="145" spans="2:20" ht="12" customHeight="1" x14ac:dyDescent="0.2">
      <c r="B145" s="390" t="s">
        <v>458</v>
      </c>
      <c r="C145" s="1035">
        <v>0</v>
      </c>
      <c r="D145" s="1035">
        <f>C145*12/C$13+G145*C145*12/C$13</f>
        <v>0</v>
      </c>
      <c r="E145" s="1548">
        <f t="shared" si="11"/>
        <v>0</v>
      </c>
      <c r="F145" s="1569" t="s">
        <v>477</v>
      </c>
      <c r="G145" s="1543">
        <v>0</v>
      </c>
      <c r="H145" s="1543">
        <f>G145</f>
        <v>0</v>
      </c>
      <c r="I145" s="1624"/>
      <c r="K145" s="746"/>
      <c r="L145" s="1284"/>
      <c r="M145" s="1284"/>
      <c r="N145" s="1284"/>
      <c r="O145" s="1284"/>
      <c r="P145" s="1284"/>
      <c r="Q145" s="1284"/>
      <c r="R145" s="1284"/>
      <c r="S145" s="1284"/>
      <c r="T145" s="1285"/>
    </row>
    <row r="146" spans="2:20" ht="12" customHeight="1" x14ac:dyDescent="0.2">
      <c r="B146" s="390" t="s">
        <v>459</v>
      </c>
      <c r="C146" s="1034">
        <v>0</v>
      </c>
      <c r="D146" s="1034">
        <f t="shared" si="11"/>
        <v>0</v>
      </c>
      <c r="E146" s="1547">
        <f t="shared" si="11"/>
        <v>0</v>
      </c>
      <c r="F146" s="1570" t="s">
        <v>654</v>
      </c>
      <c r="G146" s="1543">
        <v>0.03</v>
      </c>
      <c r="H146" s="1543">
        <f>G146</f>
        <v>0.03</v>
      </c>
      <c r="I146" s="1624"/>
      <c r="K146" s="746"/>
      <c r="L146" s="1284"/>
      <c r="M146" s="1284"/>
      <c r="N146" s="1284"/>
      <c r="O146" s="1284"/>
      <c r="P146" s="1284"/>
      <c r="Q146" s="1284"/>
      <c r="R146" s="1284"/>
      <c r="S146" s="1284"/>
      <c r="T146" s="1285"/>
    </row>
    <row r="147" spans="2:20" ht="12" customHeight="1" x14ac:dyDescent="0.2">
      <c r="B147" s="390" t="s">
        <v>460</v>
      </c>
      <c r="C147" s="882">
        <f>IF(C146=0,0,(C146-C144)/C146)</f>
        <v>0</v>
      </c>
      <c r="D147" s="882">
        <f>IF(D146=0,0,(D146-D144)/D146)</f>
        <v>0</v>
      </c>
      <c r="E147" s="1466">
        <f>IF(E146=0,0,(E146-E144)/E146)</f>
        <v>0</v>
      </c>
      <c r="F147" s="1473"/>
      <c r="G147" s="1066"/>
      <c r="H147" s="1066"/>
      <c r="I147" s="1606"/>
      <c r="K147" s="1346"/>
      <c r="L147" s="1347"/>
      <c r="M147" s="1347"/>
      <c r="N147" s="1347"/>
      <c r="O147" s="1347"/>
      <c r="P147" s="1284"/>
      <c r="Q147" s="1284"/>
      <c r="R147" s="1284"/>
      <c r="S147" s="1284"/>
      <c r="T147" s="1285"/>
    </row>
    <row r="148" spans="2:20" ht="4.1500000000000004" customHeight="1" x14ac:dyDescent="0.2">
      <c r="B148" s="1480"/>
      <c r="C148" s="1564"/>
      <c r="D148" s="1564"/>
      <c r="E148" s="1564"/>
      <c r="F148" s="1621"/>
      <c r="G148" s="1066"/>
      <c r="H148" s="1066"/>
      <c r="I148" s="1606"/>
      <c r="K148" s="1363"/>
      <c r="L148" s="1364"/>
      <c r="M148" s="1364"/>
      <c r="N148" s="1364"/>
      <c r="O148" s="1364"/>
      <c r="P148" s="1364"/>
      <c r="Q148" s="1364"/>
      <c r="R148" s="1364"/>
      <c r="S148" s="1364"/>
      <c r="T148" s="1365"/>
    </row>
    <row r="149" spans="2:20" x14ac:dyDescent="0.2">
      <c r="B149" s="1032">
        <v>0</v>
      </c>
      <c r="C149" s="1033">
        <v>0.24</v>
      </c>
      <c r="D149" s="1033">
        <f>C149</f>
        <v>0.24</v>
      </c>
      <c r="E149" s="1549">
        <f>D149</f>
        <v>0.24</v>
      </c>
      <c r="F149" s="1473"/>
      <c r="G149" s="1066"/>
      <c r="H149" s="1066"/>
      <c r="I149" s="1606"/>
      <c r="K149" s="1346"/>
      <c r="L149" s="1347"/>
      <c r="M149" s="1347"/>
      <c r="N149" s="1347"/>
      <c r="O149" s="1347"/>
      <c r="P149" s="1284"/>
      <c r="Q149" s="1284"/>
      <c r="R149" s="1284"/>
      <c r="S149" s="1284"/>
      <c r="T149" s="1285"/>
    </row>
    <row r="150" spans="2:20" ht="12" customHeight="1" x14ac:dyDescent="0.2">
      <c r="B150" s="962" t="s">
        <v>388</v>
      </c>
      <c r="C150" s="887">
        <f>C153*C152</f>
        <v>0</v>
      </c>
      <c r="D150" s="887">
        <f>D153*D152</f>
        <v>0</v>
      </c>
      <c r="E150" s="1546">
        <f>E153*E152</f>
        <v>0</v>
      </c>
      <c r="F150" s="1567"/>
      <c r="G150" s="1453">
        <f>D$12</f>
        <v>2024</v>
      </c>
      <c r="H150" s="1453">
        <f>E$12</f>
        <v>2025</v>
      </c>
      <c r="I150" s="1624"/>
      <c r="K150" s="1346"/>
      <c r="L150" s="1347"/>
      <c r="M150" s="1347"/>
      <c r="N150" s="1347"/>
      <c r="O150" s="1347"/>
      <c r="P150" s="1284"/>
      <c r="Q150" s="1284"/>
      <c r="R150" s="1284"/>
      <c r="S150" s="1284"/>
      <c r="T150" s="1285"/>
    </row>
    <row r="151" spans="2:20" ht="12" customHeight="1" x14ac:dyDescent="0.2">
      <c r="B151" s="390" t="s">
        <v>457</v>
      </c>
      <c r="C151" s="1034">
        <v>0</v>
      </c>
      <c r="D151" s="1034">
        <f t="shared" ref="D151:E153" si="12">C151*(1+G151)</f>
        <v>0</v>
      </c>
      <c r="E151" s="1547">
        <f t="shared" si="12"/>
        <v>0</v>
      </c>
      <c r="F151" s="1569" t="s">
        <v>653</v>
      </c>
      <c r="G151" s="1543">
        <v>0.03</v>
      </c>
      <c r="H151" s="1543">
        <f>G151</f>
        <v>0.03</v>
      </c>
      <c r="I151" s="1624"/>
      <c r="K151" s="1346"/>
      <c r="L151" s="1347"/>
      <c r="M151" s="1347"/>
      <c r="N151" s="1347"/>
      <c r="O151" s="1347"/>
      <c r="P151" s="1284"/>
      <c r="Q151" s="1284"/>
      <c r="R151" s="1284"/>
      <c r="S151" s="1284"/>
      <c r="T151" s="1285"/>
    </row>
    <row r="152" spans="2:20" ht="12" customHeight="1" x14ac:dyDescent="0.2">
      <c r="B152" s="390" t="s">
        <v>458</v>
      </c>
      <c r="C152" s="1035">
        <v>0</v>
      </c>
      <c r="D152" s="1035">
        <f>C152*12/C$13+G152*C152*12/C$13</f>
        <v>0</v>
      </c>
      <c r="E152" s="1548">
        <f t="shared" si="12"/>
        <v>0</v>
      </c>
      <c r="F152" s="1569" t="s">
        <v>477</v>
      </c>
      <c r="G152" s="1543">
        <v>0</v>
      </c>
      <c r="H152" s="1543">
        <f>G152</f>
        <v>0</v>
      </c>
      <c r="I152" s="1624"/>
      <c r="K152" s="1346"/>
      <c r="L152" s="1347"/>
      <c r="M152" s="1347"/>
      <c r="N152" s="1347"/>
      <c r="O152" s="1347"/>
      <c r="P152" s="1284"/>
      <c r="Q152" s="1284"/>
      <c r="R152" s="1284"/>
      <c r="S152" s="1284"/>
      <c r="T152" s="1285"/>
    </row>
    <row r="153" spans="2:20" ht="12" customHeight="1" x14ac:dyDescent="0.2">
      <c r="B153" s="390" t="s">
        <v>459</v>
      </c>
      <c r="C153" s="1034">
        <v>0</v>
      </c>
      <c r="D153" s="1034">
        <f t="shared" si="12"/>
        <v>0</v>
      </c>
      <c r="E153" s="1547">
        <f t="shared" si="12"/>
        <v>0</v>
      </c>
      <c r="F153" s="1570" t="s">
        <v>654</v>
      </c>
      <c r="G153" s="1543">
        <v>0.03</v>
      </c>
      <c r="H153" s="1543">
        <f>G153</f>
        <v>0.03</v>
      </c>
      <c r="I153" s="1624"/>
      <c r="K153" s="1346"/>
      <c r="L153" s="1347"/>
      <c r="M153" s="1347"/>
      <c r="N153" s="1347"/>
      <c r="O153" s="1347"/>
      <c r="P153" s="1284"/>
      <c r="Q153" s="1284"/>
      <c r="R153" s="1284"/>
      <c r="S153" s="1284"/>
      <c r="T153" s="1285"/>
    </row>
    <row r="154" spans="2:20" ht="12" customHeight="1" x14ac:dyDescent="0.2">
      <c r="B154" s="390" t="s">
        <v>460</v>
      </c>
      <c r="C154" s="882">
        <f>IF(C153=0,0,(C153-C151)/C153)</f>
        <v>0</v>
      </c>
      <c r="D154" s="882">
        <f>IF(D153=0,0,(D153-D151)/D153)</f>
        <v>0</v>
      </c>
      <c r="E154" s="1466">
        <f>IF(E153=0,0,(E153-E151)/E153)</f>
        <v>0</v>
      </c>
      <c r="F154" s="1612"/>
      <c r="G154" s="1613"/>
      <c r="H154" s="1613"/>
      <c r="I154" s="1614"/>
      <c r="K154" s="1367"/>
      <c r="L154" s="1368"/>
      <c r="M154" s="1368"/>
      <c r="N154" s="1368"/>
      <c r="O154" s="1368"/>
      <c r="P154" s="1272"/>
      <c r="Q154" s="1272"/>
      <c r="R154" s="1272"/>
      <c r="S154" s="1272"/>
      <c r="T154" s="1293"/>
    </row>
    <row r="155" spans="2:20" ht="4.1500000000000004" customHeight="1" x14ac:dyDescent="0.2">
      <c r="B155" s="388"/>
      <c r="C155" s="884"/>
      <c r="D155" s="884"/>
      <c r="E155" s="884"/>
      <c r="F155" s="387"/>
      <c r="G155" s="388"/>
      <c r="H155" s="1542"/>
      <c r="I155" s="391"/>
      <c r="K155" s="1364"/>
      <c r="L155" s="1364"/>
      <c r="M155" s="1364"/>
      <c r="N155" s="1364"/>
      <c r="O155" s="1364"/>
      <c r="P155" s="1364"/>
      <c r="Q155" s="1364"/>
      <c r="R155" s="1364"/>
      <c r="S155" s="1364"/>
      <c r="T155" s="1364"/>
    </row>
    <row r="156" spans="2:20" ht="12.75" customHeight="1" x14ac:dyDescent="0.2">
      <c r="B156" s="1459" t="s">
        <v>463</v>
      </c>
      <c r="C156" s="1460">
        <f>C85*(1+C84)+C90*(1+C89)+C95*(1+C94)+C100*(1+C99)+C105*(1+C104)+C110*(1+C109)+C115*(1+C114)+C122*(1+C121)+C129*(1+C128)+C136*(1+C135)+C143*(1+C142)+C150*(1+C149)+C75</f>
        <v>0</v>
      </c>
      <c r="D156" s="1460">
        <f>D85*(1+D84)+D90*(1+D89)+D95*(1+D94)+D100*(1+D99)+D105*(1+D104)+D110*(1+D109)+D115*(1+D114)+D122*(1+D121)+D129*(1+D128)+D136*(1+D135)+D143*(1+D142)+D150*(1+D149)+D75</f>
        <v>0</v>
      </c>
      <c r="E156" s="1460">
        <f>E85*(1+E84)+E90*(1+E89)+E95*(1+E94)+E100*(1+E99)+E105*(1+E104)+E110*(1+E109)+E115*(1+E114)+E122*(1+E121)+E129*(1+E128)+E136*(1+E135)+E143*(1+E142)+E150*(1+E149)+E75</f>
        <v>0</v>
      </c>
      <c r="F156" s="387"/>
      <c r="G156" s="388"/>
      <c r="H156" s="391"/>
      <c r="I156" s="391"/>
      <c r="K156" s="440"/>
      <c r="L156" s="440"/>
      <c r="M156" s="440"/>
      <c r="N156" s="440"/>
      <c r="O156" s="440"/>
      <c r="P156" s="441"/>
      <c r="Q156" s="441"/>
      <c r="R156" s="441"/>
      <c r="S156" s="441"/>
      <c r="T156" s="441"/>
    </row>
    <row r="157" spans="2:20" x14ac:dyDescent="0.2">
      <c r="B157" s="1461" t="s">
        <v>464</v>
      </c>
      <c r="C157" s="1460">
        <f>C85+C90+C95+C100+C105+C110+C115+C122+C129+C136+C143+C150+C76</f>
        <v>0</v>
      </c>
      <c r="D157" s="1460">
        <f>D85+D90+D95+D100+D105+D110+D115+D122+D129+D136+D143+D150+D76</f>
        <v>0</v>
      </c>
      <c r="E157" s="1460">
        <f>E85+E90+E95+E100+E105+E110+E115+E122+E129+E136+E143+E150+E76</f>
        <v>0</v>
      </c>
      <c r="F157" s="387"/>
      <c r="G157" s="388"/>
      <c r="H157" s="388"/>
      <c r="I157" s="388"/>
      <c r="K157" s="168"/>
      <c r="L157" s="168"/>
      <c r="M157" s="168"/>
      <c r="N157" s="168"/>
      <c r="O157" s="168"/>
      <c r="P157" s="168"/>
      <c r="Q157" s="168"/>
      <c r="R157" s="168"/>
      <c r="S157" s="168"/>
      <c r="T157" s="168"/>
    </row>
    <row r="158" spans="2:20" x14ac:dyDescent="0.2">
      <c r="B158" s="1554" t="s">
        <v>795</v>
      </c>
      <c r="C158" s="1555">
        <f>C115*(1-C119)+C122*(1-C126)+C129*(1-C133)+C136*(1-C140)+C143*(1-C147)+C150*(1-C154)+C77</f>
        <v>0</v>
      </c>
      <c r="D158" s="1555">
        <f>D115*(1-D119)+D122*(1-D126)+D129*(1-D133)+D136*(1-D140)+D143*(1-D147)+D150*(1-D154)+D77</f>
        <v>0</v>
      </c>
      <c r="E158" s="1555">
        <f>E115*(1-E119)+E122*(1-E126)+E129*(1-E133)+E136*(1-E140)+E143*(1-E147)+E150*(1-E154)+E77</f>
        <v>0</v>
      </c>
      <c r="F158" s="387"/>
      <c r="G158" s="388"/>
      <c r="H158" s="388"/>
      <c r="I158" s="388"/>
      <c r="K158" s="168"/>
      <c r="L158" s="168"/>
      <c r="M158" s="168"/>
      <c r="N158" s="168"/>
      <c r="O158" s="168"/>
      <c r="P158" s="168"/>
      <c r="Q158" s="168"/>
      <c r="R158" s="168"/>
      <c r="S158" s="168"/>
      <c r="T158" s="168"/>
    </row>
    <row r="159" spans="2:20" s="984" customFormat="1" x14ac:dyDescent="0.2">
      <c r="B159" s="1461" t="s">
        <v>753</v>
      </c>
      <c r="C159" s="1460">
        <f>C151*C152+C151*C152*C149+C144*C145+C144*C145*C142+C137*C138+C137*C138*C135+C130*C131+C130*C131*C128+C123*C124+C123*C124*C121+C116*C117+C116*C117*C114+C78</f>
        <v>0</v>
      </c>
      <c r="D159" s="1460">
        <f t="shared" ref="D159:E159" si="13">D151*D152+D151*D152*D149+D144*D145+D144*D145*D142+D137*D138+D137*D138*D135+D130*D131+D130*D131*D128+D123*D124+D123*D124*D121+D116*D117+D116*D117*D114+D78</f>
        <v>0</v>
      </c>
      <c r="E159" s="1460">
        <f t="shared" si="13"/>
        <v>0</v>
      </c>
      <c r="F159" s="19"/>
      <c r="G159" s="19"/>
      <c r="H159" s="19"/>
      <c r="I159" s="19"/>
      <c r="J159" s="19"/>
      <c r="K159" s="19"/>
    </row>
    <row r="160" spans="2:20" ht="3.75" customHeight="1" x14ac:dyDescent="0.2">
      <c r="B160" s="959"/>
      <c r="C160" s="101"/>
      <c r="D160" s="101"/>
      <c r="E160" s="101"/>
      <c r="F160" s="392"/>
      <c r="G160" s="168"/>
      <c r="H160" s="168"/>
      <c r="I160" s="168"/>
      <c r="K160" s="168"/>
      <c r="L160" s="168"/>
      <c r="M160" s="168"/>
      <c r="N160" s="168"/>
      <c r="O160" s="168"/>
      <c r="P160" s="168"/>
      <c r="Q160" s="168"/>
      <c r="R160" s="168"/>
      <c r="S160" s="168"/>
      <c r="T160" s="168"/>
    </row>
    <row r="161" spans="1:20" x14ac:dyDescent="0.2">
      <c r="B161" s="1942"/>
      <c r="C161" s="1571" t="s">
        <v>354</v>
      </c>
      <c r="D161" s="1571" t="s">
        <v>355</v>
      </c>
      <c r="E161" s="1571" t="s">
        <v>356</v>
      </c>
      <c r="F161" s="392"/>
      <c r="G161" s="168"/>
      <c r="H161" s="19"/>
      <c r="I161" s="19"/>
      <c r="K161" s="168"/>
      <c r="L161" s="168"/>
      <c r="M161" s="168"/>
      <c r="N161" s="168"/>
      <c r="O161" s="168"/>
      <c r="P161" s="168"/>
      <c r="Q161" s="168"/>
      <c r="R161" s="168"/>
      <c r="S161" s="168"/>
      <c r="T161" s="168"/>
    </row>
    <row r="162" spans="1:20" x14ac:dyDescent="0.2">
      <c r="B162" s="1942"/>
      <c r="C162" s="1572">
        <f>C12</f>
        <v>2023</v>
      </c>
      <c r="D162" s="1572">
        <f>D12</f>
        <v>2024</v>
      </c>
      <c r="E162" s="1572">
        <f>E12</f>
        <v>2025</v>
      </c>
      <c r="F162" s="392"/>
      <c r="G162" s="168"/>
      <c r="H162" s="41"/>
      <c r="I162" s="45"/>
      <c r="K162" s="168"/>
      <c r="L162" s="168"/>
      <c r="M162" s="168"/>
      <c r="N162" s="168"/>
      <c r="O162" s="168"/>
      <c r="P162" s="168"/>
      <c r="Q162" s="168"/>
      <c r="R162" s="168"/>
      <c r="S162" s="168"/>
      <c r="T162" s="168"/>
    </row>
    <row r="163" spans="1:20" x14ac:dyDescent="0.2">
      <c r="B163" s="1574" t="str">
        <f>B82</f>
        <v>Räkenskapsperiodens längd</v>
      </c>
      <c r="C163" s="1573">
        <f>C13</f>
        <v>12</v>
      </c>
      <c r="D163" s="1573">
        <f t="shared" ref="D163:E163" si="14">D13</f>
        <v>12</v>
      </c>
      <c r="E163" s="1573">
        <f t="shared" si="14"/>
        <v>12</v>
      </c>
      <c r="F163"/>
      <c r="K163" s="407"/>
      <c r="L163" s="279"/>
      <c r="M163" s="279"/>
      <c r="N163" s="407"/>
      <c r="O163" s="407"/>
      <c r="P163" s="407"/>
      <c r="Q163" s="407"/>
      <c r="R163" s="407"/>
      <c r="S163" s="407"/>
    </row>
    <row r="164" spans="1:20" ht="4.1500000000000004" customHeight="1" x14ac:dyDescent="0.2">
      <c r="B164" s="960"/>
      <c r="C164" s="950"/>
      <c r="D164" s="950"/>
      <c r="E164" s="950"/>
      <c r="F164" s="392"/>
      <c r="G164" s="168"/>
      <c r="H164" s="100"/>
      <c r="I164" s="154"/>
      <c r="K164" s="168"/>
      <c r="L164" s="168"/>
      <c r="M164" s="168"/>
      <c r="N164" s="168"/>
      <c r="O164" s="168"/>
      <c r="P164" s="168"/>
      <c r="Q164" s="168"/>
      <c r="R164" s="168"/>
      <c r="S164" s="168"/>
      <c r="T164" s="168"/>
    </row>
    <row r="165" spans="1:20" ht="12" customHeight="1" x14ac:dyDescent="0.2">
      <c r="B165" s="1032" t="s">
        <v>465</v>
      </c>
      <c r="C165" s="1033">
        <v>0.24</v>
      </c>
      <c r="D165" s="1033">
        <f>C165</f>
        <v>0.24</v>
      </c>
      <c r="E165" s="1549">
        <f>D165</f>
        <v>0.24</v>
      </c>
      <c r="F165" s="1937">
        <v>0</v>
      </c>
      <c r="G165" s="1938"/>
      <c r="H165" s="1938"/>
      <c r="I165" s="1618"/>
      <c r="K165" s="168"/>
      <c r="L165" s="168"/>
      <c r="M165" s="168"/>
      <c r="N165" s="168"/>
      <c r="O165" s="168"/>
      <c r="P165" s="168"/>
      <c r="Q165" s="168"/>
      <c r="R165" s="168"/>
      <c r="S165" s="168"/>
      <c r="T165" s="168"/>
    </row>
    <row r="166" spans="1:20" ht="12" customHeight="1" x14ac:dyDescent="0.2">
      <c r="A166" s="168"/>
      <c r="B166" s="961" t="s">
        <v>388</v>
      </c>
      <c r="C166" s="887">
        <f>C167*C168</f>
        <v>0</v>
      </c>
      <c r="D166" s="887">
        <f>D167*D168</f>
        <v>0</v>
      </c>
      <c r="E166" s="1546">
        <f>E167*E168</f>
        <v>0</v>
      </c>
      <c r="F166" s="1565"/>
      <c r="G166" s="1453">
        <f>D12</f>
        <v>2024</v>
      </c>
      <c r="H166" s="1453">
        <f>E12</f>
        <v>2025</v>
      </c>
      <c r="I166" s="1619"/>
      <c r="K166" s="1302" t="s">
        <v>351</v>
      </c>
      <c r="L166" s="1369"/>
      <c r="M166" s="1369"/>
      <c r="N166" s="1370"/>
      <c r="O166" s="1370"/>
      <c r="P166" s="1370"/>
      <c r="Q166" s="1370"/>
      <c r="R166" s="1370"/>
      <c r="S166" s="1370"/>
      <c r="T166" s="1371"/>
    </row>
    <row r="167" spans="1:20" ht="12" customHeight="1" x14ac:dyDescent="0.2">
      <c r="B167" s="390" t="s">
        <v>454</v>
      </c>
      <c r="C167" s="1034">
        <v>0</v>
      </c>
      <c r="D167" s="1034">
        <f>C167*(1+G167)</f>
        <v>0</v>
      </c>
      <c r="E167" s="1547">
        <f>D167*(1+H167)</f>
        <v>0</v>
      </c>
      <c r="F167" s="1566" t="s">
        <v>652</v>
      </c>
      <c r="G167" s="1543">
        <v>0.03</v>
      </c>
      <c r="H167" s="1543">
        <f>G167</f>
        <v>0.03</v>
      </c>
      <c r="I167" s="1620"/>
      <c r="K167" s="1346"/>
      <c r="L167" s="1347"/>
      <c r="M167" s="1347"/>
      <c r="N167" s="1347"/>
      <c r="O167" s="1347"/>
      <c r="P167" s="1347"/>
      <c r="Q167" s="1347"/>
      <c r="R167" s="1347"/>
      <c r="S167" s="1347"/>
      <c r="T167" s="1362"/>
    </row>
    <row r="168" spans="1:20" ht="12" customHeight="1" x14ac:dyDescent="0.2">
      <c r="A168" s="168"/>
      <c r="B168" s="1036" t="s">
        <v>455</v>
      </c>
      <c r="C168" s="1035">
        <v>0</v>
      </c>
      <c r="D168" s="1035">
        <f>C168*12/C$13+G168*C168*12/C$13</f>
        <v>0</v>
      </c>
      <c r="E168" s="1548">
        <f>D168*(1+H168)</f>
        <v>0</v>
      </c>
      <c r="F168" s="1566" t="s">
        <v>650</v>
      </c>
      <c r="G168" s="1543">
        <v>0</v>
      </c>
      <c r="H168" s="1543">
        <f>G168</f>
        <v>0</v>
      </c>
      <c r="I168" s="1620"/>
      <c r="K168" s="1346"/>
      <c r="L168" s="1347"/>
      <c r="M168" s="1347"/>
      <c r="N168" s="1347"/>
      <c r="O168" s="1347"/>
      <c r="P168" s="1347"/>
      <c r="Q168" s="1347"/>
      <c r="R168" s="1347"/>
      <c r="S168" s="1347"/>
      <c r="T168" s="1362"/>
    </row>
    <row r="169" spans="1:20" ht="4.1500000000000004" customHeight="1" x14ac:dyDescent="0.2">
      <c r="A169" s="2"/>
      <c r="B169" s="1480"/>
      <c r="C169" s="1563"/>
      <c r="D169" s="1575"/>
      <c r="E169" s="1575"/>
      <c r="F169" s="1621"/>
      <c r="G169" s="1544"/>
      <c r="H169" s="1544"/>
      <c r="I169" s="1620"/>
      <c r="K169" s="1363"/>
      <c r="L169" s="1364"/>
      <c r="M169" s="1364"/>
      <c r="N169" s="1364"/>
      <c r="O169" s="1364"/>
      <c r="P169" s="1364"/>
      <c r="Q169" s="1364"/>
      <c r="R169" s="1364"/>
      <c r="S169" s="1364"/>
      <c r="T169" s="1365"/>
    </row>
    <row r="170" spans="1:20" ht="12" customHeight="1" x14ac:dyDescent="0.2">
      <c r="A170" s="168"/>
      <c r="B170" s="1032" t="s">
        <v>466</v>
      </c>
      <c r="C170" s="1033">
        <v>0.24</v>
      </c>
      <c r="D170" s="1033">
        <f>C170</f>
        <v>0.24</v>
      </c>
      <c r="E170" s="1549">
        <f>D170</f>
        <v>0.24</v>
      </c>
      <c r="F170" s="1473"/>
      <c r="G170" s="1066"/>
      <c r="H170" s="1066"/>
      <c r="I170" s="1606"/>
      <c r="K170" s="1346"/>
      <c r="L170" s="1347"/>
      <c r="M170" s="1347"/>
      <c r="N170" s="1347"/>
      <c r="O170" s="1347"/>
      <c r="P170" s="1347"/>
      <c r="Q170" s="1347"/>
      <c r="R170" s="1347"/>
      <c r="S170" s="1347"/>
      <c r="T170" s="1362"/>
    </row>
    <row r="171" spans="1:20" ht="12" customHeight="1" x14ac:dyDescent="0.2">
      <c r="B171" s="961" t="s">
        <v>388</v>
      </c>
      <c r="C171" s="887">
        <f>C172*C173</f>
        <v>0</v>
      </c>
      <c r="D171" s="887">
        <f>D172*D173</f>
        <v>0</v>
      </c>
      <c r="E171" s="1546">
        <f>E172*E173</f>
        <v>0</v>
      </c>
      <c r="F171" s="1567"/>
      <c r="G171" s="1453">
        <f>D$12</f>
        <v>2024</v>
      </c>
      <c r="H171" s="1453">
        <f>E$12</f>
        <v>2025</v>
      </c>
      <c r="I171" s="1622"/>
      <c r="K171" s="1346"/>
      <c r="L171" s="1347"/>
      <c r="M171" s="1347"/>
      <c r="N171" s="1347"/>
      <c r="O171" s="1347"/>
      <c r="P171" s="1347"/>
      <c r="Q171" s="1347"/>
      <c r="R171" s="1347"/>
      <c r="S171" s="1347"/>
      <c r="T171" s="1362"/>
    </row>
    <row r="172" spans="1:20" ht="12" customHeight="1" x14ac:dyDescent="0.2">
      <c r="A172" s="168"/>
      <c r="B172" s="390" t="s">
        <v>454</v>
      </c>
      <c r="C172" s="1034">
        <v>0</v>
      </c>
      <c r="D172" s="1034">
        <f>C172*(1+G172)</f>
        <v>0</v>
      </c>
      <c r="E172" s="1547">
        <f>D172*(1+H172)</f>
        <v>0</v>
      </c>
      <c r="F172" s="1566" t="s">
        <v>652</v>
      </c>
      <c r="G172" s="1543">
        <v>0.03</v>
      </c>
      <c r="H172" s="1543">
        <f>G172</f>
        <v>0.03</v>
      </c>
      <c r="I172" s="1620"/>
      <c r="K172" s="746"/>
      <c r="L172" s="1284"/>
      <c r="M172" s="1284"/>
      <c r="N172" s="1284"/>
      <c r="O172" s="1284"/>
      <c r="P172" s="1347"/>
      <c r="Q172" s="1347"/>
      <c r="R172" s="1347"/>
      <c r="S172" s="1347"/>
      <c r="T172" s="1362"/>
    </row>
    <row r="173" spans="1:20" ht="12" customHeight="1" x14ac:dyDescent="0.2">
      <c r="B173" s="1036" t="s">
        <v>455</v>
      </c>
      <c r="C173" s="1035">
        <v>0</v>
      </c>
      <c r="D173" s="1035">
        <f>C173*12/C$13+G173*C173*12/C$13</f>
        <v>0</v>
      </c>
      <c r="E173" s="1548">
        <f>D173*(1+H173)</f>
        <v>0</v>
      </c>
      <c r="F173" s="1566" t="s">
        <v>650</v>
      </c>
      <c r="G173" s="1543">
        <v>0</v>
      </c>
      <c r="H173" s="1543">
        <f>G173</f>
        <v>0</v>
      </c>
      <c r="I173" s="1620"/>
      <c r="K173" s="746"/>
      <c r="L173" s="1284"/>
      <c r="M173" s="1284"/>
      <c r="N173" s="1284"/>
      <c r="O173" s="1284"/>
      <c r="P173" s="1347"/>
      <c r="Q173" s="1347"/>
      <c r="R173" s="1347"/>
      <c r="S173" s="1347"/>
      <c r="T173" s="1362"/>
    </row>
    <row r="174" spans="1:20" ht="4.1500000000000004" customHeight="1" x14ac:dyDescent="0.2">
      <c r="A174" s="168"/>
      <c r="B174" s="1480"/>
      <c r="C174" s="1563"/>
      <c r="D174" s="1575"/>
      <c r="E174" s="1575"/>
      <c r="F174" s="1621"/>
      <c r="G174" s="1544"/>
      <c r="H174" s="1544"/>
      <c r="I174" s="1620"/>
      <c r="K174" s="1338"/>
      <c r="L174" s="1287"/>
      <c r="M174" s="1287"/>
      <c r="N174" s="1287"/>
      <c r="O174" s="1287"/>
      <c r="P174" s="1364"/>
      <c r="Q174" s="1364"/>
      <c r="R174" s="1364"/>
      <c r="S174" s="1364"/>
      <c r="T174" s="1365"/>
    </row>
    <row r="175" spans="1:20" ht="12" customHeight="1" x14ac:dyDescent="0.2">
      <c r="A175" s="2"/>
      <c r="B175" s="1032" t="s">
        <v>467</v>
      </c>
      <c r="C175" s="1033">
        <v>0.24</v>
      </c>
      <c r="D175" s="1033">
        <f>C175</f>
        <v>0.24</v>
      </c>
      <c r="E175" s="1549">
        <f>D175</f>
        <v>0.24</v>
      </c>
      <c r="F175" s="1473" t="s">
        <v>0</v>
      </c>
      <c r="G175" s="1066"/>
      <c r="H175" s="1066"/>
      <c r="I175" s="1606"/>
      <c r="K175" s="746"/>
      <c r="L175" s="1284"/>
      <c r="M175" s="1284"/>
      <c r="N175" s="1284"/>
      <c r="O175" s="1284"/>
      <c r="P175" s="1347"/>
      <c r="Q175" s="1347"/>
      <c r="R175" s="1347"/>
      <c r="S175" s="1347"/>
      <c r="T175" s="1362"/>
    </row>
    <row r="176" spans="1:20" ht="12" customHeight="1" x14ac:dyDescent="0.2">
      <c r="B176" s="961" t="s">
        <v>388</v>
      </c>
      <c r="C176" s="887">
        <f>C177*C178</f>
        <v>0</v>
      </c>
      <c r="D176" s="887">
        <f>D177*D178</f>
        <v>0</v>
      </c>
      <c r="E176" s="1546">
        <f>E177*E178</f>
        <v>0</v>
      </c>
      <c r="F176" s="1568"/>
      <c r="G176" s="1453">
        <f>D$12</f>
        <v>2024</v>
      </c>
      <c r="H176" s="1453">
        <f>E$12</f>
        <v>2025</v>
      </c>
      <c r="I176" s="1622"/>
      <c r="K176" s="746"/>
      <c r="L176" s="1284"/>
      <c r="M176" s="1284"/>
      <c r="N176" s="1284"/>
      <c r="O176" s="1284"/>
      <c r="P176" s="1347"/>
      <c r="Q176" s="1347"/>
      <c r="R176" s="1347"/>
      <c r="S176" s="1347"/>
      <c r="T176" s="1362"/>
    </row>
    <row r="177" spans="1:20" ht="12" customHeight="1" x14ac:dyDescent="0.2">
      <c r="B177" s="390" t="s">
        <v>454</v>
      </c>
      <c r="C177" s="1034">
        <v>0</v>
      </c>
      <c r="D177" s="1034">
        <f>C177*(1+G177)</f>
        <v>0</v>
      </c>
      <c r="E177" s="1547">
        <f>D177*(1+H177)</f>
        <v>0</v>
      </c>
      <c r="F177" s="1566" t="s">
        <v>652</v>
      </c>
      <c r="G177" s="1543">
        <v>0.03</v>
      </c>
      <c r="H177" s="1543">
        <f>G177</f>
        <v>0.03</v>
      </c>
      <c r="I177" s="1620"/>
      <c r="K177" s="746"/>
      <c r="L177" s="1284"/>
      <c r="M177" s="1284"/>
      <c r="N177" s="1284"/>
      <c r="O177" s="1284"/>
      <c r="P177" s="1347"/>
      <c r="Q177" s="1347"/>
      <c r="R177" s="1347"/>
      <c r="S177" s="1347"/>
      <c r="T177" s="1362"/>
    </row>
    <row r="178" spans="1:20" ht="12" customHeight="1" x14ac:dyDescent="0.2">
      <c r="B178" s="1036" t="s">
        <v>455</v>
      </c>
      <c r="C178" s="1035">
        <v>0</v>
      </c>
      <c r="D178" s="1035">
        <f>C178*12/C$13+G178*C178*12/C$13</f>
        <v>0</v>
      </c>
      <c r="E178" s="1548">
        <f>D178*(1+H178)</f>
        <v>0</v>
      </c>
      <c r="F178" s="1566" t="s">
        <v>650</v>
      </c>
      <c r="G178" s="1543">
        <v>0</v>
      </c>
      <c r="H178" s="1543">
        <f>G178</f>
        <v>0</v>
      </c>
      <c r="I178" s="1620"/>
      <c r="K178" s="746"/>
      <c r="L178" s="1284"/>
      <c r="M178" s="1284"/>
      <c r="N178" s="1284"/>
      <c r="O178" s="1284"/>
      <c r="P178" s="1347"/>
      <c r="Q178" s="1347"/>
      <c r="R178" s="1347"/>
      <c r="S178" s="1347"/>
      <c r="T178" s="1362"/>
    </row>
    <row r="179" spans="1:20" ht="4.1500000000000004" customHeight="1" x14ac:dyDescent="0.2">
      <c r="B179" s="1480"/>
      <c r="C179" s="1563"/>
      <c r="D179" s="1575"/>
      <c r="E179" s="1575"/>
      <c r="F179" s="1621"/>
      <c r="G179" s="1544"/>
      <c r="H179" s="1544"/>
      <c r="I179" s="1620"/>
      <c r="K179" s="1338"/>
      <c r="L179" s="1287"/>
      <c r="M179" s="1287"/>
      <c r="N179" s="1287"/>
      <c r="O179" s="1287"/>
      <c r="P179" s="1364"/>
      <c r="Q179" s="1364"/>
      <c r="R179" s="1364"/>
      <c r="S179" s="1364"/>
      <c r="T179" s="1365"/>
    </row>
    <row r="180" spans="1:20" ht="12" customHeight="1" x14ac:dyDescent="0.2">
      <c r="A180" s="168"/>
      <c r="B180" s="1032" t="s">
        <v>468</v>
      </c>
      <c r="C180" s="1033">
        <v>0.24</v>
      </c>
      <c r="D180" s="1033">
        <f>C180</f>
        <v>0.24</v>
      </c>
      <c r="E180" s="1549">
        <f>D180</f>
        <v>0.24</v>
      </c>
      <c r="F180" s="1473"/>
      <c r="G180" s="1066"/>
      <c r="H180" s="1066"/>
      <c r="I180" s="1606"/>
      <c r="J180" s="24"/>
      <c r="K180" s="746"/>
      <c r="L180" s="1284"/>
      <c r="M180" s="1284"/>
      <c r="N180" s="1284"/>
      <c r="O180" s="1284"/>
      <c r="P180" s="1347"/>
      <c r="Q180" s="1347"/>
      <c r="R180" s="1347"/>
      <c r="S180" s="1347"/>
      <c r="T180" s="1362"/>
    </row>
    <row r="181" spans="1:20" ht="12" customHeight="1" x14ac:dyDescent="0.2">
      <c r="B181" s="961" t="s">
        <v>388</v>
      </c>
      <c r="C181" s="887">
        <f>C182*C183</f>
        <v>0</v>
      </c>
      <c r="D181" s="887">
        <f>D182*D183</f>
        <v>0</v>
      </c>
      <c r="E181" s="1546">
        <f>E182*E183</f>
        <v>0</v>
      </c>
      <c r="F181" s="1568"/>
      <c r="G181" s="1453">
        <f>D$12</f>
        <v>2024</v>
      </c>
      <c r="H181" s="1453">
        <f>E$12</f>
        <v>2025</v>
      </c>
      <c r="I181" s="1606"/>
      <c r="J181" s="29"/>
      <c r="K181" s="746"/>
      <c r="L181" s="1284"/>
      <c r="M181" s="1284"/>
      <c r="N181" s="1284"/>
      <c r="O181" s="1284"/>
      <c r="P181" s="1347"/>
      <c r="Q181" s="1347"/>
      <c r="R181" s="1347"/>
      <c r="S181" s="1347"/>
      <c r="T181" s="1362"/>
    </row>
    <row r="182" spans="1:20" ht="12" customHeight="1" x14ac:dyDescent="0.2">
      <c r="A182" s="168"/>
      <c r="B182" s="390" t="s">
        <v>454</v>
      </c>
      <c r="C182" s="1034">
        <v>0</v>
      </c>
      <c r="D182" s="1034">
        <f>C182*(1+G182)</f>
        <v>0</v>
      </c>
      <c r="E182" s="1547">
        <f>D182*(1+H182)</f>
        <v>0</v>
      </c>
      <c r="F182" s="1566" t="s">
        <v>652</v>
      </c>
      <c r="G182" s="1543">
        <v>0.03</v>
      </c>
      <c r="H182" s="1543">
        <f>G182</f>
        <v>0.03</v>
      </c>
      <c r="I182" s="1606"/>
      <c r="J182" s="29"/>
      <c r="K182" s="746"/>
      <c r="L182" s="1284"/>
      <c r="M182" s="1284"/>
      <c r="N182" s="1284"/>
      <c r="O182" s="1284"/>
      <c r="P182" s="1347"/>
      <c r="Q182" s="1347"/>
      <c r="R182" s="1347"/>
      <c r="S182" s="1347"/>
      <c r="T182" s="1362"/>
    </row>
    <row r="183" spans="1:20" ht="12" customHeight="1" x14ac:dyDescent="0.2">
      <c r="A183" s="2"/>
      <c r="B183" s="1036" t="s">
        <v>455</v>
      </c>
      <c r="C183" s="1035">
        <v>0</v>
      </c>
      <c r="D183" s="1035">
        <f>C183*12/C$13+G183*C183*12/C$13</f>
        <v>0</v>
      </c>
      <c r="E183" s="1548">
        <f>D183*(1+H183)</f>
        <v>0</v>
      </c>
      <c r="F183" s="1566" t="s">
        <v>650</v>
      </c>
      <c r="G183" s="1543">
        <v>0</v>
      </c>
      <c r="H183" s="1543">
        <f>G183</f>
        <v>0</v>
      </c>
      <c r="I183" s="1624"/>
      <c r="J183" s="29"/>
      <c r="K183" s="746"/>
      <c r="L183" s="1284"/>
      <c r="M183" s="1284"/>
      <c r="N183" s="1284"/>
      <c r="O183" s="1284"/>
      <c r="P183" s="1347"/>
      <c r="Q183" s="1347"/>
      <c r="R183" s="1347"/>
      <c r="S183" s="1347"/>
      <c r="T183" s="1362"/>
    </row>
    <row r="184" spans="1:20" ht="4.1500000000000004" customHeight="1" x14ac:dyDescent="0.2">
      <c r="A184" s="168"/>
      <c r="B184" s="1480"/>
      <c r="C184" s="1563"/>
      <c r="D184" s="1563"/>
      <c r="E184" s="1563"/>
      <c r="F184" s="1621"/>
      <c r="G184" s="1045"/>
      <c r="H184" s="1544"/>
      <c r="I184" s="1620"/>
      <c r="K184" s="1338"/>
      <c r="L184" s="1287"/>
      <c r="M184" s="1287"/>
      <c r="N184" s="1287"/>
      <c r="O184" s="1287"/>
      <c r="P184" s="1364"/>
      <c r="Q184" s="1364"/>
      <c r="R184" s="1364"/>
      <c r="S184" s="1364"/>
      <c r="T184" s="1365"/>
    </row>
    <row r="185" spans="1:20" ht="12" customHeight="1" x14ac:dyDescent="0.2">
      <c r="A185" s="168"/>
      <c r="B185" s="1032" t="s">
        <v>469</v>
      </c>
      <c r="C185" s="1033">
        <v>0.24</v>
      </c>
      <c r="D185" s="1033">
        <f>C185</f>
        <v>0.24</v>
      </c>
      <c r="E185" s="1549">
        <f>D185</f>
        <v>0.24</v>
      </c>
      <c r="F185" s="1473"/>
      <c r="G185" s="1066"/>
      <c r="H185" s="1066"/>
      <c r="I185" s="1606"/>
      <c r="K185" s="746"/>
      <c r="L185" s="1284"/>
      <c r="M185" s="1284"/>
      <c r="N185" s="1284"/>
      <c r="O185" s="1284"/>
      <c r="P185" s="1347"/>
      <c r="Q185" s="1347"/>
      <c r="R185" s="1347"/>
      <c r="S185" s="1347"/>
      <c r="T185" s="1362"/>
    </row>
    <row r="186" spans="1:20" ht="12" customHeight="1" x14ac:dyDescent="0.2">
      <c r="B186" s="961" t="s">
        <v>388</v>
      </c>
      <c r="C186" s="887">
        <f>C187*C188</f>
        <v>0</v>
      </c>
      <c r="D186" s="887">
        <f>D187*D188</f>
        <v>0</v>
      </c>
      <c r="E186" s="1546">
        <f>E187*E188</f>
        <v>0</v>
      </c>
      <c r="F186" s="1568"/>
      <c r="G186" s="1453">
        <f>D$12</f>
        <v>2024</v>
      </c>
      <c r="H186" s="1453">
        <f>E$12</f>
        <v>2025</v>
      </c>
      <c r="I186" s="1606"/>
      <c r="K186" s="746"/>
      <c r="L186" s="1284"/>
      <c r="M186" s="1284"/>
      <c r="N186" s="1284"/>
      <c r="O186" s="1284"/>
      <c r="P186" s="1347"/>
      <c r="Q186" s="1347"/>
      <c r="R186" s="1347"/>
      <c r="S186" s="1347"/>
      <c r="T186" s="1362"/>
    </row>
    <row r="187" spans="1:20" ht="12" customHeight="1" x14ac:dyDescent="0.2">
      <c r="A187" s="168"/>
      <c r="B187" s="390" t="s">
        <v>454</v>
      </c>
      <c r="C187" s="1034">
        <v>0</v>
      </c>
      <c r="D187" s="1034">
        <f>C187*(1+G187)</f>
        <v>0</v>
      </c>
      <c r="E187" s="1547">
        <f>D187*(1+H187)</f>
        <v>0</v>
      </c>
      <c r="F187" s="1566" t="s">
        <v>652</v>
      </c>
      <c r="G187" s="1543">
        <v>0.03</v>
      </c>
      <c r="H187" s="1543">
        <f>G187</f>
        <v>0.03</v>
      </c>
      <c r="I187" s="1624"/>
      <c r="K187" s="746"/>
      <c r="L187" s="1284"/>
      <c r="M187" s="1284"/>
      <c r="N187" s="1284"/>
      <c r="O187" s="1284"/>
      <c r="P187" s="1347"/>
      <c r="Q187" s="1347"/>
      <c r="R187" s="1347"/>
      <c r="S187" s="1347"/>
      <c r="T187" s="1362"/>
    </row>
    <row r="188" spans="1:20" ht="12" customHeight="1" x14ac:dyDescent="0.2">
      <c r="A188" s="2"/>
      <c r="B188" s="1036" t="s">
        <v>455</v>
      </c>
      <c r="C188" s="1035">
        <v>0</v>
      </c>
      <c r="D188" s="1035">
        <f>C188*12/C$13+G188*C188*12/C$13</f>
        <v>0</v>
      </c>
      <c r="E188" s="1548">
        <f>D188*(1+H188)</f>
        <v>0</v>
      </c>
      <c r="F188" s="1566" t="s">
        <v>650</v>
      </c>
      <c r="G188" s="1543">
        <v>0</v>
      </c>
      <c r="H188" s="1543">
        <f>G188</f>
        <v>0</v>
      </c>
      <c r="I188" s="1624"/>
      <c r="K188" s="746"/>
      <c r="L188" s="1284"/>
      <c r="M188" s="1284"/>
      <c r="N188" s="1284"/>
      <c r="O188" s="1284"/>
      <c r="P188" s="1347"/>
      <c r="Q188" s="1347"/>
      <c r="R188" s="1347"/>
      <c r="S188" s="1347"/>
      <c r="T188" s="1362"/>
    </row>
    <row r="189" spans="1:20" ht="4.1500000000000004" customHeight="1" x14ac:dyDescent="0.2">
      <c r="A189" s="2"/>
      <c r="B189" s="1480"/>
      <c r="C189" s="1563"/>
      <c r="D189" s="1563"/>
      <c r="E189" s="1563"/>
      <c r="F189" s="1621"/>
      <c r="G189" s="1045"/>
      <c r="H189" s="1544"/>
      <c r="I189" s="1620"/>
      <c r="K189" s="1338"/>
      <c r="L189" s="1287"/>
      <c r="M189" s="1287"/>
      <c r="N189" s="1287"/>
      <c r="O189" s="1287"/>
      <c r="P189" s="1364"/>
      <c r="Q189" s="1364"/>
      <c r="R189" s="1364"/>
      <c r="S189" s="1364"/>
      <c r="T189" s="1365"/>
    </row>
    <row r="190" spans="1:20" ht="12" customHeight="1" x14ac:dyDescent="0.2">
      <c r="A190" s="168"/>
      <c r="B190" s="1032" t="s">
        <v>470</v>
      </c>
      <c r="C190" s="1033">
        <v>0.24</v>
      </c>
      <c r="D190" s="1033">
        <f>C190</f>
        <v>0.24</v>
      </c>
      <c r="E190" s="1549">
        <f>D190</f>
        <v>0.24</v>
      </c>
      <c r="F190" s="1473"/>
      <c r="G190" s="1066"/>
      <c r="H190" s="1066"/>
      <c r="I190" s="1606"/>
      <c r="K190" s="746"/>
      <c r="L190" s="1284"/>
      <c r="M190" s="1284"/>
      <c r="N190" s="1284"/>
      <c r="O190" s="1284"/>
      <c r="P190" s="1347"/>
      <c r="Q190" s="1347"/>
      <c r="R190" s="1347"/>
      <c r="S190" s="1347"/>
      <c r="T190" s="1362"/>
    </row>
    <row r="191" spans="1:20" ht="12" customHeight="1" x14ac:dyDescent="0.2">
      <c r="B191" s="961" t="s">
        <v>388</v>
      </c>
      <c r="C191" s="887">
        <f>C192*C193</f>
        <v>0</v>
      </c>
      <c r="D191" s="887">
        <f>D192*D193</f>
        <v>0</v>
      </c>
      <c r="E191" s="1546">
        <f>E192*E193</f>
        <v>0</v>
      </c>
      <c r="F191" s="1568"/>
      <c r="G191" s="1453">
        <f>D$12</f>
        <v>2024</v>
      </c>
      <c r="H191" s="1453">
        <f>E$12</f>
        <v>2025</v>
      </c>
      <c r="I191" s="1606"/>
      <c r="K191" s="1346"/>
      <c r="L191" s="1347"/>
      <c r="M191" s="1347"/>
      <c r="N191" s="1347"/>
      <c r="O191" s="1347"/>
      <c r="P191" s="1347"/>
      <c r="Q191" s="1347"/>
      <c r="R191" s="1347"/>
      <c r="S191" s="1347"/>
      <c r="T191" s="1362"/>
    </row>
    <row r="192" spans="1:20" ht="12" customHeight="1" x14ac:dyDescent="0.2">
      <c r="A192" s="168"/>
      <c r="B192" s="390" t="s">
        <v>454</v>
      </c>
      <c r="C192" s="1034">
        <v>0</v>
      </c>
      <c r="D192" s="1034">
        <f>C192*(1+G192)</f>
        <v>0</v>
      </c>
      <c r="E192" s="1547">
        <f>D192*(1+H192)</f>
        <v>0</v>
      </c>
      <c r="F192" s="1566" t="s">
        <v>652</v>
      </c>
      <c r="G192" s="1543">
        <v>0.03</v>
      </c>
      <c r="H192" s="1543">
        <f>G192</f>
        <v>0.03</v>
      </c>
      <c r="I192" s="1624"/>
      <c r="K192" s="1346"/>
      <c r="L192" s="1347"/>
      <c r="M192" s="1347"/>
      <c r="N192" s="1347"/>
      <c r="O192" s="1347"/>
      <c r="P192" s="1347"/>
      <c r="Q192" s="1347"/>
      <c r="R192" s="1347"/>
      <c r="S192" s="1347"/>
      <c r="T192" s="1362"/>
    </row>
    <row r="193" spans="1:20" ht="12" customHeight="1" x14ac:dyDescent="0.2">
      <c r="A193" s="2"/>
      <c r="B193" s="1036" t="s">
        <v>455</v>
      </c>
      <c r="C193" s="1035">
        <v>0</v>
      </c>
      <c r="D193" s="1035">
        <f>C193*12/C$13+G193*C193*12/C$13</f>
        <v>0</v>
      </c>
      <c r="E193" s="1548">
        <f>D193*(1+H193)</f>
        <v>0</v>
      </c>
      <c r="F193" s="1566" t="s">
        <v>650</v>
      </c>
      <c r="G193" s="1543">
        <v>0</v>
      </c>
      <c r="H193" s="1543">
        <f>G193</f>
        <v>0</v>
      </c>
      <c r="I193" s="1624"/>
      <c r="K193" s="1346"/>
      <c r="L193" s="1347"/>
      <c r="M193" s="1347"/>
      <c r="N193" s="1347"/>
      <c r="O193" s="1347"/>
      <c r="P193" s="1347"/>
      <c r="Q193" s="1347"/>
      <c r="R193" s="1347"/>
      <c r="S193" s="1347"/>
      <c r="T193" s="1362"/>
    </row>
    <row r="194" spans="1:20" ht="4.1500000000000004" customHeight="1" x14ac:dyDescent="0.2">
      <c r="B194" s="1480"/>
      <c r="C194" s="1563"/>
      <c r="D194" s="1563"/>
      <c r="E194" s="1563"/>
      <c r="F194" s="1621"/>
      <c r="G194" s="1045"/>
      <c r="H194" s="1544"/>
      <c r="I194" s="1620"/>
      <c r="K194" s="1363"/>
      <c r="L194" s="1364"/>
      <c r="M194" s="1364"/>
      <c r="N194" s="1364"/>
      <c r="O194" s="1364"/>
      <c r="P194" s="1364"/>
      <c r="Q194" s="1364"/>
      <c r="R194" s="1364"/>
      <c r="S194" s="1364"/>
      <c r="T194" s="1365"/>
    </row>
    <row r="195" spans="1:20" ht="12" customHeight="1" x14ac:dyDescent="0.2">
      <c r="A195" s="168"/>
      <c r="B195" s="1032" t="s">
        <v>471</v>
      </c>
      <c r="C195" s="1033">
        <v>0.24</v>
      </c>
      <c r="D195" s="1033">
        <f>C195</f>
        <v>0.24</v>
      </c>
      <c r="E195" s="1549">
        <f>D195</f>
        <v>0.24</v>
      </c>
      <c r="F195" s="1473"/>
      <c r="G195" s="1066"/>
      <c r="H195" s="1066"/>
      <c r="I195" s="1606"/>
      <c r="K195" s="1346"/>
      <c r="L195" s="1347"/>
      <c r="M195" s="1347"/>
      <c r="N195" s="1347"/>
      <c r="O195" s="1347"/>
      <c r="P195" s="1347"/>
      <c r="Q195" s="1347"/>
      <c r="R195" s="1347"/>
      <c r="S195" s="1347"/>
      <c r="T195" s="1362"/>
    </row>
    <row r="196" spans="1:20" ht="12" customHeight="1" x14ac:dyDescent="0.2">
      <c r="B196" s="962" t="s">
        <v>388</v>
      </c>
      <c r="C196" s="887">
        <f>C199*C198</f>
        <v>0</v>
      </c>
      <c r="D196" s="887">
        <f>D199*D198</f>
        <v>0</v>
      </c>
      <c r="E196" s="1546">
        <f>E199*E198</f>
        <v>0</v>
      </c>
      <c r="F196" s="1568"/>
      <c r="G196" s="1453">
        <f>D$12</f>
        <v>2024</v>
      </c>
      <c r="H196" s="1453">
        <f>E$12</f>
        <v>2025</v>
      </c>
      <c r="I196" s="1622"/>
      <c r="K196" s="1363"/>
      <c r="L196" s="1364"/>
      <c r="M196" s="1364"/>
      <c r="N196" s="1364"/>
      <c r="O196" s="1364"/>
      <c r="P196" s="1364"/>
      <c r="Q196" s="1364"/>
      <c r="R196" s="1364"/>
      <c r="S196" s="1364"/>
      <c r="T196" s="1365"/>
    </row>
    <row r="197" spans="1:20" ht="12" customHeight="1" x14ac:dyDescent="0.2">
      <c r="A197" s="168"/>
      <c r="B197" s="390" t="s">
        <v>457</v>
      </c>
      <c r="C197" s="1034">
        <v>0</v>
      </c>
      <c r="D197" s="1034">
        <f t="shared" ref="D197:E199" si="15">C197*(1+G197)</f>
        <v>0</v>
      </c>
      <c r="E197" s="1547">
        <f t="shared" si="15"/>
        <v>0</v>
      </c>
      <c r="F197" s="1569" t="s">
        <v>653</v>
      </c>
      <c r="G197" s="1543">
        <v>0.03</v>
      </c>
      <c r="H197" s="1543">
        <f>G197</f>
        <v>0.03</v>
      </c>
      <c r="I197" s="1620"/>
      <c r="K197" s="1366"/>
      <c r="L197" s="1347"/>
      <c r="M197" s="1347"/>
      <c r="N197" s="1347"/>
      <c r="O197" s="1347"/>
      <c r="P197" s="1347"/>
      <c r="Q197" s="1347"/>
      <c r="R197" s="1347"/>
      <c r="S197" s="1347"/>
      <c r="T197" s="1362"/>
    </row>
    <row r="198" spans="1:20" ht="12" customHeight="1" x14ac:dyDescent="0.2">
      <c r="A198" s="2"/>
      <c r="B198" s="390" t="s">
        <v>458</v>
      </c>
      <c r="C198" s="1035">
        <v>0</v>
      </c>
      <c r="D198" s="1035">
        <f>C198*12/C$13+G198*C198*12/C$13</f>
        <v>0</v>
      </c>
      <c r="E198" s="1548">
        <f t="shared" si="15"/>
        <v>0</v>
      </c>
      <c r="F198" s="1569" t="s">
        <v>477</v>
      </c>
      <c r="G198" s="1543">
        <v>0</v>
      </c>
      <c r="H198" s="1543">
        <f>G198</f>
        <v>0</v>
      </c>
      <c r="I198" s="1620"/>
      <c r="K198" s="1366"/>
      <c r="L198" s="1347"/>
      <c r="M198" s="1347"/>
      <c r="N198" s="1347"/>
      <c r="O198" s="1347"/>
      <c r="P198" s="1347"/>
      <c r="Q198" s="1347"/>
      <c r="R198" s="1347"/>
      <c r="S198" s="1347"/>
      <c r="T198" s="1362"/>
    </row>
    <row r="199" spans="1:20" ht="12" customHeight="1" x14ac:dyDescent="0.2">
      <c r="A199" s="2"/>
      <c r="B199" s="390" t="s">
        <v>459</v>
      </c>
      <c r="C199" s="1034">
        <v>0</v>
      </c>
      <c r="D199" s="1034">
        <f t="shared" si="15"/>
        <v>0</v>
      </c>
      <c r="E199" s="1547">
        <f t="shared" si="15"/>
        <v>0</v>
      </c>
      <c r="F199" s="1570" t="s">
        <v>654</v>
      </c>
      <c r="G199" s="1543">
        <v>0.03</v>
      </c>
      <c r="H199" s="1543">
        <f>G199</f>
        <v>0.03</v>
      </c>
      <c r="I199" s="1620"/>
      <c r="K199" s="1346"/>
      <c r="L199" s="1347"/>
      <c r="M199" s="1347"/>
      <c r="N199" s="1347"/>
      <c r="O199" s="1347"/>
      <c r="P199" s="1347"/>
      <c r="Q199" s="1347"/>
      <c r="R199" s="1347"/>
      <c r="S199" s="1347"/>
      <c r="T199" s="1362"/>
    </row>
    <row r="200" spans="1:20" ht="12" customHeight="1" x14ac:dyDescent="0.2">
      <c r="A200" s="168"/>
      <c r="B200" s="390" t="s">
        <v>460</v>
      </c>
      <c r="C200" s="882">
        <f>IF(C199=0,0,(C199-C197)/C199)</f>
        <v>0</v>
      </c>
      <c r="D200" s="882">
        <f>IF(D199=0,0,(D199-D197)/D199)</f>
        <v>0</v>
      </c>
      <c r="E200" s="1466">
        <f>IF(E199=0,0,(E199-E197)/E199)</f>
        <v>0</v>
      </c>
      <c r="F200" s="1473"/>
      <c r="G200" s="1066"/>
      <c r="H200" s="1066"/>
      <c r="I200" s="1606"/>
      <c r="J200" s="90"/>
      <c r="K200" s="1346"/>
      <c r="L200" s="1347"/>
      <c r="M200" s="1347"/>
      <c r="N200" s="1347"/>
      <c r="O200" s="1347"/>
      <c r="P200" s="1347"/>
      <c r="Q200" s="1347"/>
      <c r="R200" s="1347"/>
      <c r="S200" s="1347"/>
      <c r="T200" s="1362"/>
    </row>
    <row r="201" spans="1:20" ht="4.1500000000000004" customHeight="1" x14ac:dyDescent="0.2">
      <c r="B201" s="1480"/>
      <c r="C201" s="1564"/>
      <c r="D201" s="1564"/>
      <c r="E201" s="1564"/>
      <c r="F201" s="1621"/>
      <c r="G201" s="1045"/>
      <c r="H201" s="1045"/>
      <c r="I201" s="1625"/>
      <c r="K201" s="1363"/>
      <c r="L201" s="1364"/>
      <c r="M201" s="1364"/>
      <c r="N201" s="1364"/>
      <c r="O201" s="1364"/>
      <c r="P201" s="1364"/>
      <c r="Q201" s="1364"/>
      <c r="R201" s="1364"/>
      <c r="S201" s="1364"/>
      <c r="T201" s="1365"/>
    </row>
    <row r="202" spans="1:20" ht="12" customHeight="1" x14ac:dyDescent="0.2">
      <c r="A202" s="168"/>
      <c r="B202" s="1032" t="s">
        <v>478</v>
      </c>
      <c r="C202" s="1033">
        <v>0.24</v>
      </c>
      <c r="D202" s="1033">
        <f>C202</f>
        <v>0.24</v>
      </c>
      <c r="E202" s="1549">
        <f>D202</f>
        <v>0.24</v>
      </c>
      <c r="F202" s="1473"/>
      <c r="G202" s="1066"/>
      <c r="H202" s="1066"/>
      <c r="I202" s="1606"/>
      <c r="K202" s="1346"/>
      <c r="L202" s="1347"/>
      <c r="M202" s="1347"/>
      <c r="N202" s="1347"/>
      <c r="O202" s="1347"/>
      <c r="P202" s="1347"/>
      <c r="Q202" s="1347"/>
      <c r="R202" s="1347"/>
      <c r="S202" s="1347"/>
      <c r="T202" s="1362"/>
    </row>
    <row r="203" spans="1:20" ht="12" customHeight="1" x14ac:dyDescent="0.2">
      <c r="A203" s="2"/>
      <c r="B203" s="962" t="s">
        <v>388</v>
      </c>
      <c r="C203" s="887">
        <f>C206*C205</f>
        <v>0</v>
      </c>
      <c r="D203" s="887">
        <f>D206*D205</f>
        <v>0</v>
      </c>
      <c r="E203" s="1546">
        <f>E206*E205</f>
        <v>0</v>
      </c>
      <c r="F203" s="1567"/>
      <c r="G203" s="1453">
        <f>D$12</f>
        <v>2024</v>
      </c>
      <c r="H203" s="1453">
        <f>E$12</f>
        <v>2025</v>
      </c>
      <c r="I203" s="1622"/>
      <c r="K203" s="1363"/>
      <c r="L203" s="1364"/>
      <c r="M203" s="1364"/>
      <c r="N203" s="1364"/>
      <c r="O203" s="1364"/>
      <c r="P203" s="1364"/>
      <c r="Q203" s="1364"/>
      <c r="R203" s="1364"/>
      <c r="S203" s="1364"/>
      <c r="T203" s="1365"/>
    </row>
    <row r="204" spans="1:20" ht="12" customHeight="1" x14ac:dyDescent="0.2">
      <c r="B204" s="390" t="s">
        <v>457</v>
      </c>
      <c r="C204" s="1034">
        <v>0</v>
      </c>
      <c r="D204" s="1034">
        <f t="shared" ref="D204:E206" si="16">C204*(1+G204)</f>
        <v>0</v>
      </c>
      <c r="E204" s="1547">
        <f t="shared" si="16"/>
        <v>0</v>
      </c>
      <c r="F204" s="1569" t="s">
        <v>653</v>
      </c>
      <c r="G204" s="1543">
        <v>0.03</v>
      </c>
      <c r="H204" s="1543">
        <f>G204</f>
        <v>0.03</v>
      </c>
      <c r="I204" s="1620"/>
      <c r="K204" s="1346"/>
      <c r="L204" s="1347"/>
      <c r="M204" s="1347"/>
      <c r="N204" s="1347"/>
      <c r="O204" s="1347"/>
      <c r="P204" s="1347"/>
      <c r="Q204" s="1347"/>
      <c r="R204" s="1347"/>
      <c r="S204" s="1347"/>
      <c r="T204" s="1362"/>
    </row>
    <row r="205" spans="1:20" ht="12" customHeight="1" x14ac:dyDescent="0.2">
      <c r="A205" s="168"/>
      <c r="B205" s="390" t="s">
        <v>458</v>
      </c>
      <c r="C205" s="1035">
        <v>0</v>
      </c>
      <c r="D205" s="1035">
        <f>C205*12/C$13+G205*C205*12/C$13</f>
        <v>0</v>
      </c>
      <c r="E205" s="1548">
        <f t="shared" si="16"/>
        <v>0</v>
      </c>
      <c r="F205" s="1569" t="s">
        <v>477</v>
      </c>
      <c r="G205" s="1543">
        <v>0</v>
      </c>
      <c r="H205" s="1543">
        <f>G205</f>
        <v>0</v>
      </c>
      <c r="I205" s="1620"/>
      <c r="K205" s="746"/>
      <c r="L205" s="1284"/>
      <c r="M205" s="1284"/>
      <c r="N205" s="1284"/>
      <c r="O205" s="1284"/>
      <c r="P205" s="1284"/>
      <c r="Q205" s="1284"/>
      <c r="R205" s="1284"/>
      <c r="S205" s="1284"/>
      <c r="T205" s="1285"/>
    </row>
    <row r="206" spans="1:20" ht="12" customHeight="1" x14ac:dyDescent="0.2">
      <c r="A206" s="168"/>
      <c r="B206" s="390" t="s">
        <v>459</v>
      </c>
      <c r="C206" s="1034">
        <v>0</v>
      </c>
      <c r="D206" s="1034">
        <f t="shared" si="16"/>
        <v>0</v>
      </c>
      <c r="E206" s="1547">
        <f t="shared" si="16"/>
        <v>0</v>
      </c>
      <c r="F206" s="1570" t="s">
        <v>654</v>
      </c>
      <c r="G206" s="1543">
        <v>0.03</v>
      </c>
      <c r="H206" s="1543">
        <f>G206</f>
        <v>0.03</v>
      </c>
      <c r="I206" s="1620"/>
      <c r="K206" s="746"/>
      <c r="L206" s="1284"/>
      <c r="M206" s="1284"/>
      <c r="N206" s="1284"/>
      <c r="O206" s="1284"/>
      <c r="P206" s="1284"/>
      <c r="Q206" s="1284"/>
      <c r="R206" s="1284"/>
      <c r="S206" s="1284"/>
      <c r="T206" s="1285"/>
    </row>
    <row r="207" spans="1:20" ht="12" customHeight="1" x14ac:dyDescent="0.2">
      <c r="B207" s="390" t="s">
        <v>460</v>
      </c>
      <c r="C207" s="882">
        <f>IF(C206=0,0,(C206-C204)/C206)</f>
        <v>0</v>
      </c>
      <c r="D207" s="882">
        <f>IF(D206=0,0,(D206-D204)/D206)</f>
        <v>0</v>
      </c>
      <c r="E207" s="1466">
        <f>IF(E206=0,0,(E206-E204)/E206)</f>
        <v>0</v>
      </c>
      <c r="F207" s="1473"/>
      <c r="G207" s="1066"/>
      <c r="H207" s="1066"/>
      <c r="I207" s="1606"/>
      <c r="K207" s="746"/>
      <c r="L207" s="1284"/>
      <c r="M207" s="1284"/>
      <c r="N207" s="1284"/>
      <c r="O207" s="1284"/>
      <c r="P207" s="1284"/>
      <c r="Q207" s="1284"/>
      <c r="R207" s="1284"/>
      <c r="S207" s="1284"/>
      <c r="T207" s="1285"/>
    </row>
    <row r="208" spans="1:20" ht="4.1500000000000004" customHeight="1" x14ac:dyDescent="0.2">
      <c r="A208" s="168"/>
      <c r="B208" s="1480"/>
      <c r="C208" s="1564"/>
      <c r="D208" s="1564"/>
      <c r="E208" s="1564"/>
      <c r="F208" s="1621"/>
      <c r="G208" s="1045"/>
      <c r="H208" s="1045"/>
      <c r="I208" s="1625"/>
      <c r="K208" s="1363"/>
      <c r="L208" s="1364"/>
      <c r="M208" s="1364"/>
      <c r="N208" s="1364"/>
      <c r="O208" s="1364"/>
      <c r="P208" s="1364"/>
      <c r="Q208" s="1364"/>
      <c r="R208" s="1364"/>
      <c r="S208" s="1364"/>
      <c r="T208" s="1365"/>
    </row>
    <row r="209" spans="1:20" ht="12" customHeight="1" x14ac:dyDescent="0.2">
      <c r="A209" s="2"/>
      <c r="B209" s="1032" t="s">
        <v>479</v>
      </c>
      <c r="C209" s="1033">
        <v>0.24</v>
      </c>
      <c r="D209" s="1033">
        <f>C209</f>
        <v>0.24</v>
      </c>
      <c r="E209" s="1549">
        <f>D209</f>
        <v>0.24</v>
      </c>
      <c r="F209" s="1473"/>
      <c r="G209" s="1066"/>
      <c r="H209" s="1066"/>
      <c r="I209" s="1606"/>
      <c r="K209" s="746"/>
      <c r="L209" s="1284"/>
      <c r="M209" s="1284"/>
      <c r="N209" s="1284"/>
      <c r="O209" s="1284"/>
      <c r="P209" s="1284"/>
      <c r="Q209" s="1284"/>
      <c r="R209" s="1284"/>
      <c r="S209" s="1284"/>
      <c r="T209" s="1285"/>
    </row>
    <row r="210" spans="1:20" ht="12" customHeight="1" x14ac:dyDescent="0.2">
      <c r="B210" s="962" t="s">
        <v>388</v>
      </c>
      <c r="C210" s="887">
        <f>C213*C212</f>
        <v>0</v>
      </c>
      <c r="D210" s="887">
        <f>D213*D212</f>
        <v>0</v>
      </c>
      <c r="E210" s="1546">
        <f>E213*E212</f>
        <v>0</v>
      </c>
      <c r="F210" s="1567"/>
      <c r="G210" s="1453">
        <f>D$12</f>
        <v>2024</v>
      </c>
      <c r="H210" s="1453">
        <f>E$12</f>
        <v>2025</v>
      </c>
      <c r="I210" s="1622"/>
      <c r="K210" s="1338"/>
      <c r="L210" s="1287"/>
      <c r="M210" s="1287"/>
      <c r="N210" s="1287"/>
      <c r="O210" s="1287"/>
      <c r="P210" s="1287"/>
      <c r="Q210" s="1287"/>
      <c r="R210" s="1287"/>
      <c r="S210" s="1287"/>
      <c r="T210" s="1292"/>
    </row>
    <row r="211" spans="1:20" ht="12" customHeight="1" x14ac:dyDescent="0.2">
      <c r="B211" s="390" t="s">
        <v>457</v>
      </c>
      <c r="C211" s="1034">
        <v>0</v>
      </c>
      <c r="D211" s="1034">
        <f t="shared" ref="D211:E213" si="17">C211*(1+G211)</f>
        <v>0</v>
      </c>
      <c r="E211" s="1547">
        <f t="shared" si="17"/>
        <v>0</v>
      </c>
      <c r="F211" s="1569" t="s">
        <v>653</v>
      </c>
      <c r="G211" s="1543">
        <v>0.03</v>
      </c>
      <c r="H211" s="1543">
        <f>G211</f>
        <v>0.03</v>
      </c>
      <c r="I211" s="1620"/>
      <c r="K211" s="746"/>
      <c r="L211" s="1284"/>
      <c r="M211" s="1284"/>
      <c r="N211" s="1284"/>
      <c r="O211" s="1284"/>
      <c r="P211" s="1284"/>
      <c r="Q211" s="1284"/>
      <c r="R211" s="1284"/>
      <c r="S211" s="1284"/>
      <c r="T211" s="1285"/>
    </row>
    <row r="212" spans="1:20" ht="12" customHeight="1" x14ac:dyDescent="0.2">
      <c r="B212" s="390" t="s">
        <v>458</v>
      </c>
      <c r="C212" s="1035">
        <v>0</v>
      </c>
      <c r="D212" s="1035">
        <f>C212*12/C$13+G212*C212*12/C$13</f>
        <v>0</v>
      </c>
      <c r="E212" s="1548">
        <f t="shared" si="17"/>
        <v>0</v>
      </c>
      <c r="F212" s="1569" t="s">
        <v>477</v>
      </c>
      <c r="G212" s="1543">
        <v>0</v>
      </c>
      <c r="H212" s="1543">
        <f>G212</f>
        <v>0</v>
      </c>
      <c r="I212" s="1620"/>
      <c r="K212" s="746"/>
      <c r="L212" s="1284"/>
      <c r="M212" s="1284"/>
      <c r="N212" s="1284"/>
      <c r="O212" s="1284"/>
      <c r="P212" s="1284"/>
      <c r="Q212" s="1284"/>
      <c r="R212" s="1284"/>
      <c r="S212" s="1284"/>
      <c r="T212" s="1285"/>
    </row>
    <row r="213" spans="1:20" ht="12" customHeight="1" x14ac:dyDescent="0.2">
      <c r="B213" s="390" t="s">
        <v>459</v>
      </c>
      <c r="C213" s="1034">
        <v>0</v>
      </c>
      <c r="D213" s="1034">
        <f t="shared" si="17"/>
        <v>0</v>
      </c>
      <c r="E213" s="1547">
        <f t="shared" si="17"/>
        <v>0</v>
      </c>
      <c r="F213" s="1570" t="s">
        <v>654</v>
      </c>
      <c r="G213" s="1543">
        <v>0.03</v>
      </c>
      <c r="H213" s="1543">
        <f>G213</f>
        <v>0.03</v>
      </c>
      <c r="I213" s="1620"/>
      <c r="K213" s="746"/>
      <c r="L213" s="1284"/>
      <c r="M213" s="1284"/>
      <c r="N213" s="1284"/>
      <c r="O213" s="1284"/>
      <c r="P213" s="1284"/>
      <c r="Q213" s="1284"/>
      <c r="R213" s="1284"/>
      <c r="S213" s="1284"/>
      <c r="T213" s="1285"/>
    </row>
    <row r="214" spans="1:20" ht="12" customHeight="1" x14ac:dyDescent="0.2">
      <c r="B214" s="390" t="s">
        <v>460</v>
      </c>
      <c r="C214" s="882">
        <f>IF(C213=0,0,(C213-C211)/C213)</f>
        <v>0</v>
      </c>
      <c r="D214" s="882">
        <f>IF(D213=0,0,(D213-D211)/D213)</f>
        <v>0</v>
      </c>
      <c r="E214" s="1466">
        <f>IF(E213=0,0,(E213-E211)/E213)</f>
        <v>0</v>
      </c>
      <c r="F214" s="1473"/>
      <c r="G214" s="1066"/>
      <c r="H214" s="1066"/>
      <c r="I214" s="1606"/>
      <c r="K214" s="1346"/>
      <c r="L214" s="1347"/>
      <c r="M214" s="1347"/>
      <c r="N214" s="1347"/>
      <c r="O214" s="1347"/>
      <c r="P214" s="1284"/>
      <c r="Q214" s="1284"/>
      <c r="R214" s="1284"/>
      <c r="S214" s="1284"/>
      <c r="T214" s="1285"/>
    </row>
    <row r="215" spans="1:20" ht="4.1500000000000004" customHeight="1" x14ac:dyDescent="0.2">
      <c r="B215" s="1480"/>
      <c r="C215" s="1564"/>
      <c r="D215" s="1564"/>
      <c r="E215" s="1564"/>
      <c r="F215" s="1621"/>
      <c r="G215" s="1045"/>
      <c r="H215" s="1045"/>
      <c r="I215" s="1625"/>
      <c r="K215" s="1363"/>
      <c r="L215" s="1364"/>
      <c r="M215" s="1364"/>
      <c r="N215" s="1364"/>
      <c r="O215" s="1364"/>
      <c r="P215" s="1364"/>
      <c r="Q215" s="1364"/>
      <c r="R215" s="1364"/>
      <c r="S215" s="1364"/>
      <c r="T215" s="1365"/>
    </row>
    <row r="216" spans="1:20" ht="12" customHeight="1" x14ac:dyDescent="0.2">
      <c r="B216" s="1032" t="s">
        <v>472</v>
      </c>
      <c r="C216" s="1033">
        <v>0.24</v>
      </c>
      <c r="D216" s="1033">
        <f>C216</f>
        <v>0.24</v>
      </c>
      <c r="E216" s="1549">
        <f>D216</f>
        <v>0.24</v>
      </c>
      <c r="F216" s="1473"/>
      <c r="G216" s="1066"/>
      <c r="H216" s="1066"/>
      <c r="I216" s="1606"/>
      <c r="K216" s="1346"/>
      <c r="L216" s="1347"/>
      <c r="M216" s="1347"/>
      <c r="N216" s="1347"/>
      <c r="O216" s="1347"/>
      <c r="P216" s="1284"/>
      <c r="Q216" s="1284"/>
      <c r="R216" s="1284"/>
      <c r="S216" s="1284"/>
      <c r="T216" s="1285"/>
    </row>
    <row r="217" spans="1:20" ht="12" customHeight="1" x14ac:dyDescent="0.2">
      <c r="B217" s="962" t="s">
        <v>388</v>
      </c>
      <c r="C217" s="887">
        <f>C220*C219</f>
        <v>0</v>
      </c>
      <c r="D217" s="887">
        <f>D220*D219</f>
        <v>0</v>
      </c>
      <c r="E217" s="1546">
        <f>E220*E219</f>
        <v>0</v>
      </c>
      <c r="F217" s="1567"/>
      <c r="G217" s="1453">
        <f>D$12</f>
        <v>2024</v>
      </c>
      <c r="H217" s="1453">
        <f>E$12</f>
        <v>2025</v>
      </c>
      <c r="I217" s="1606"/>
      <c r="K217" s="1363"/>
      <c r="L217" s="1364"/>
      <c r="M217" s="1364"/>
      <c r="N217" s="1364"/>
      <c r="O217" s="1364"/>
      <c r="P217" s="1287"/>
      <c r="Q217" s="1287"/>
      <c r="R217" s="1287"/>
      <c r="S217" s="1287"/>
      <c r="T217" s="1292"/>
    </row>
    <row r="218" spans="1:20" ht="12" customHeight="1" x14ac:dyDescent="0.2">
      <c r="B218" s="390" t="s">
        <v>457</v>
      </c>
      <c r="C218" s="1034">
        <v>0</v>
      </c>
      <c r="D218" s="1034">
        <f t="shared" ref="D218:E220" si="18">C218*(1+G218)</f>
        <v>0</v>
      </c>
      <c r="E218" s="1547">
        <f t="shared" si="18"/>
        <v>0</v>
      </c>
      <c r="F218" s="1569" t="s">
        <v>653</v>
      </c>
      <c r="G218" s="1543">
        <v>0.03</v>
      </c>
      <c r="H218" s="1543">
        <f>G218</f>
        <v>0.03</v>
      </c>
      <c r="I218" s="1606"/>
      <c r="K218" s="1346"/>
      <c r="L218" s="1347"/>
      <c r="M218" s="1347"/>
      <c r="N218" s="1347"/>
      <c r="O218" s="1347"/>
      <c r="P218" s="1284"/>
      <c r="Q218" s="1284"/>
      <c r="R218" s="1284"/>
      <c r="S218" s="1284"/>
      <c r="T218" s="1285"/>
    </row>
    <row r="219" spans="1:20" ht="12" customHeight="1" x14ac:dyDescent="0.2">
      <c r="B219" s="390" t="s">
        <v>458</v>
      </c>
      <c r="C219" s="1035">
        <v>0</v>
      </c>
      <c r="D219" s="1035">
        <f>C219*12/C$13+G219*C219*12/C$13</f>
        <v>0</v>
      </c>
      <c r="E219" s="1548">
        <f t="shared" si="18"/>
        <v>0</v>
      </c>
      <c r="F219" s="1569" t="s">
        <v>477</v>
      </c>
      <c r="G219" s="1543">
        <v>0</v>
      </c>
      <c r="H219" s="1543">
        <f>G219</f>
        <v>0</v>
      </c>
      <c r="I219" s="1606"/>
      <c r="K219" s="1346"/>
      <c r="L219" s="1347"/>
      <c r="M219" s="1347"/>
      <c r="N219" s="1347"/>
      <c r="O219" s="1347"/>
      <c r="P219" s="1284"/>
      <c r="Q219" s="1284"/>
      <c r="R219" s="1284"/>
      <c r="S219" s="1284"/>
      <c r="T219" s="1285"/>
    </row>
    <row r="220" spans="1:20" ht="12" customHeight="1" x14ac:dyDescent="0.2">
      <c r="B220" s="390" t="s">
        <v>459</v>
      </c>
      <c r="C220" s="1034">
        <v>0</v>
      </c>
      <c r="D220" s="1034">
        <f t="shared" si="18"/>
        <v>0</v>
      </c>
      <c r="E220" s="1547">
        <f t="shared" si="18"/>
        <v>0</v>
      </c>
      <c r="F220" s="1570" t="s">
        <v>654</v>
      </c>
      <c r="G220" s="1543">
        <v>0.03</v>
      </c>
      <c r="H220" s="1543">
        <f>G220</f>
        <v>0.03</v>
      </c>
      <c r="I220" s="1606"/>
      <c r="K220" s="1346"/>
      <c r="L220" s="1347"/>
      <c r="M220" s="1347"/>
      <c r="N220" s="1347"/>
      <c r="O220" s="1347"/>
      <c r="P220" s="1284"/>
      <c r="Q220" s="1284"/>
      <c r="R220" s="1284"/>
      <c r="S220" s="1284"/>
      <c r="T220" s="1285"/>
    </row>
    <row r="221" spans="1:20" ht="12" customHeight="1" x14ac:dyDescent="0.2">
      <c r="B221" s="390" t="s">
        <v>460</v>
      </c>
      <c r="C221" s="882">
        <f>IF(C220=0,0,(C220-C218)/C220)</f>
        <v>0</v>
      </c>
      <c r="D221" s="882">
        <f>IF(D220=0,0,(D220-D218)/D220)</f>
        <v>0</v>
      </c>
      <c r="E221" s="1466">
        <f>IF(E220=0,0,(E220-E218)/E220)</f>
        <v>0</v>
      </c>
      <c r="F221" s="1473" t="s">
        <v>0</v>
      </c>
      <c r="G221" s="1066"/>
      <c r="H221" s="1066"/>
      <c r="I221" s="1606"/>
      <c r="K221" s="1346"/>
      <c r="L221" s="1347"/>
      <c r="M221" s="1347"/>
      <c r="N221" s="1347"/>
      <c r="O221" s="1347"/>
      <c r="P221" s="1284"/>
      <c r="Q221" s="1284"/>
      <c r="R221" s="1284"/>
      <c r="S221" s="1284"/>
      <c r="T221" s="1285"/>
    </row>
    <row r="222" spans="1:20" ht="4.1500000000000004" customHeight="1" x14ac:dyDescent="0.2">
      <c r="B222" s="1480"/>
      <c r="C222" s="1564"/>
      <c r="D222" s="1564"/>
      <c r="E222" s="1564"/>
      <c r="F222" s="1621"/>
      <c r="G222" s="1045"/>
      <c r="H222" s="1045"/>
      <c r="I222" s="1625"/>
      <c r="K222" s="1363"/>
      <c r="L222" s="1364"/>
      <c r="M222" s="1364"/>
      <c r="N222" s="1364"/>
      <c r="O222" s="1364"/>
      <c r="P222" s="1364"/>
      <c r="Q222" s="1364"/>
      <c r="R222" s="1364"/>
      <c r="S222" s="1364"/>
      <c r="T222" s="1365"/>
    </row>
    <row r="223" spans="1:20" ht="12" customHeight="1" x14ac:dyDescent="0.2">
      <c r="B223" s="1032" t="s">
        <v>473</v>
      </c>
      <c r="C223" s="1033">
        <v>0.24</v>
      </c>
      <c r="D223" s="1033">
        <f>C223</f>
        <v>0.24</v>
      </c>
      <c r="E223" s="1549">
        <f>D223</f>
        <v>0.24</v>
      </c>
      <c r="F223" s="1473"/>
      <c r="G223" s="1066"/>
      <c r="H223" s="1066"/>
      <c r="I223" s="1606"/>
      <c r="K223" s="1346"/>
      <c r="L223" s="1347"/>
      <c r="M223" s="1347"/>
      <c r="N223" s="1347"/>
      <c r="O223" s="1347"/>
      <c r="P223" s="1284"/>
      <c r="Q223" s="1284"/>
      <c r="R223" s="1284"/>
      <c r="S223" s="1284"/>
      <c r="T223" s="1285"/>
    </row>
    <row r="224" spans="1:20" ht="12" customHeight="1" x14ac:dyDescent="0.2">
      <c r="B224" s="962" t="s">
        <v>388</v>
      </c>
      <c r="C224" s="887">
        <f>C227*C226</f>
        <v>0</v>
      </c>
      <c r="D224" s="887">
        <f>D227*D226</f>
        <v>0</v>
      </c>
      <c r="E224" s="1546">
        <f>E227*E226</f>
        <v>0</v>
      </c>
      <c r="F224" s="1567"/>
      <c r="G224" s="1453">
        <f>D$12</f>
        <v>2024</v>
      </c>
      <c r="H224" s="1453">
        <f>E$12</f>
        <v>2025</v>
      </c>
      <c r="I224" s="1624"/>
      <c r="K224" s="134"/>
      <c r="L224" s="754"/>
      <c r="M224" s="754"/>
      <c r="N224" s="754"/>
      <c r="O224" s="754"/>
      <c r="P224" s="754"/>
      <c r="Q224" s="754"/>
      <c r="R224" s="754"/>
      <c r="S224" s="754"/>
      <c r="T224" s="136"/>
    </row>
    <row r="225" spans="2:20" ht="12" customHeight="1" x14ac:dyDescent="0.2">
      <c r="B225" s="390" t="s">
        <v>457</v>
      </c>
      <c r="C225" s="1034">
        <v>0</v>
      </c>
      <c r="D225" s="1034">
        <f t="shared" ref="D225:E227" si="19">C225*(1+G225)</f>
        <v>0</v>
      </c>
      <c r="E225" s="1547">
        <f t="shared" si="19"/>
        <v>0</v>
      </c>
      <c r="F225" s="1569" t="s">
        <v>653</v>
      </c>
      <c r="G225" s="1543">
        <v>0.03</v>
      </c>
      <c r="H225" s="1543">
        <f>G225</f>
        <v>0.03</v>
      </c>
      <c r="I225" s="1624"/>
      <c r="K225" s="134"/>
      <c r="L225" s="754"/>
      <c r="M225" s="754"/>
      <c r="N225" s="754"/>
      <c r="O225" s="754"/>
      <c r="P225" s="754"/>
      <c r="Q225" s="754"/>
      <c r="R225" s="754"/>
      <c r="S225" s="754"/>
      <c r="T225" s="136"/>
    </row>
    <row r="226" spans="2:20" ht="12" customHeight="1" x14ac:dyDescent="0.2">
      <c r="B226" s="390" t="s">
        <v>458</v>
      </c>
      <c r="C226" s="1035">
        <v>0</v>
      </c>
      <c r="D226" s="1035">
        <f>C226*12/C$13+G226*C226*12/C$13</f>
        <v>0</v>
      </c>
      <c r="E226" s="1548">
        <f t="shared" si="19"/>
        <v>0</v>
      </c>
      <c r="F226" s="1569" t="s">
        <v>477</v>
      </c>
      <c r="G226" s="1543">
        <v>0</v>
      </c>
      <c r="H226" s="1543">
        <f>G226</f>
        <v>0</v>
      </c>
      <c r="I226" s="1624"/>
      <c r="K226" s="134"/>
      <c r="L226" s="754"/>
      <c r="M226" s="754"/>
      <c r="N226" s="754"/>
      <c r="O226" s="754"/>
      <c r="P226" s="754"/>
      <c r="Q226" s="754"/>
      <c r="R226" s="754"/>
      <c r="S226" s="754"/>
      <c r="T226" s="136"/>
    </row>
    <row r="227" spans="2:20" ht="12" customHeight="1" x14ac:dyDescent="0.2">
      <c r="B227" s="390" t="s">
        <v>459</v>
      </c>
      <c r="C227" s="1034">
        <v>0</v>
      </c>
      <c r="D227" s="1034">
        <f t="shared" si="19"/>
        <v>0</v>
      </c>
      <c r="E227" s="1547">
        <f t="shared" si="19"/>
        <v>0</v>
      </c>
      <c r="F227" s="1570" t="s">
        <v>654</v>
      </c>
      <c r="G227" s="1543">
        <v>0.03</v>
      </c>
      <c r="H227" s="1543">
        <f>G227</f>
        <v>0.03</v>
      </c>
      <c r="I227" s="1624"/>
      <c r="K227" s="134"/>
      <c r="L227" s="754"/>
      <c r="M227" s="754"/>
      <c r="N227" s="754"/>
      <c r="O227" s="754"/>
      <c r="P227" s="754"/>
      <c r="Q227" s="754"/>
      <c r="R227" s="754"/>
      <c r="S227" s="754"/>
      <c r="T227" s="136"/>
    </row>
    <row r="228" spans="2:20" ht="12" customHeight="1" x14ac:dyDescent="0.2">
      <c r="B228" s="390" t="s">
        <v>460</v>
      </c>
      <c r="C228" s="882">
        <f>IF(C227=0,0,(C227-C225)/C227)</f>
        <v>0</v>
      </c>
      <c r="D228" s="882">
        <f>IF(D227=0,0,(D227-D225)/D227)</f>
        <v>0</v>
      </c>
      <c r="E228" s="1466">
        <f>IF(E227=0,0,(E227-E225)/E227)</f>
        <v>0</v>
      </c>
      <c r="F228" s="1473"/>
      <c r="G228" s="1066"/>
      <c r="H228" s="1066"/>
      <c r="I228" s="1606"/>
      <c r="K228" s="134"/>
      <c r="L228" s="754"/>
      <c r="M228" s="754"/>
      <c r="N228" s="754"/>
      <c r="O228" s="754"/>
      <c r="P228" s="754"/>
      <c r="Q228" s="754"/>
      <c r="R228" s="754"/>
      <c r="S228" s="754"/>
      <c r="T228" s="136"/>
    </row>
    <row r="229" spans="2:20" ht="4.1500000000000004" customHeight="1" x14ac:dyDescent="0.2">
      <c r="B229" s="1480"/>
      <c r="C229" s="1564"/>
      <c r="D229" s="1564"/>
      <c r="E229" s="1564"/>
      <c r="F229" s="1621"/>
      <c r="G229" s="1045"/>
      <c r="H229" s="1045"/>
      <c r="I229" s="1625"/>
      <c r="K229" s="134"/>
      <c r="L229" s="754"/>
      <c r="M229" s="754"/>
      <c r="N229" s="754"/>
      <c r="O229" s="754"/>
      <c r="P229" s="754"/>
      <c r="Q229" s="754"/>
      <c r="R229" s="754"/>
      <c r="S229" s="754"/>
      <c r="T229" s="136"/>
    </row>
    <row r="230" spans="2:20" ht="12" customHeight="1" x14ac:dyDescent="0.2">
      <c r="B230" s="1032" t="s">
        <v>474</v>
      </c>
      <c r="C230" s="1033">
        <v>0.24</v>
      </c>
      <c r="D230" s="1033">
        <f>C230</f>
        <v>0.24</v>
      </c>
      <c r="E230" s="1549">
        <f>D230</f>
        <v>0.24</v>
      </c>
      <c r="F230" s="1473"/>
      <c r="G230" s="1066"/>
      <c r="H230" s="1066"/>
      <c r="I230" s="1606"/>
      <c r="K230" s="134"/>
      <c r="L230" s="754"/>
      <c r="M230" s="754"/>
      <c r="N230" s="754"/>
      <c r="O230" s="754"/>
      <c r="P230" s="754"/>
      <c r="Q230" s="754"/>
      <c r="R230" s="754"/>
      <c r="S230" s="754"/>
      <c r="T230" s="136"/>
    </row>
    <row r="231" spans="2:20" ht="12" customHeight="1" x14ac:dyDescent="0.2">
      <c r="B231" s="962" t="s">
        <v>388</v>
      </c>
      <c r="C231" s="887">
        <f>C234*C233</f>
        <v>0</v>
      </c>
      <c r="D231" s="887">
        <f>D234*D233</f>
        <v>0</v>
      </c>
      <c r="E231" s="1546">
        <f>E234*E233</f>
        <v>0</v>
      </c>
      <c r="F231" s="1567"/>
      <c r="G231" s="1453">
        <f>D$12</f>
        <v>2024</v>
      </c>
      <c r="H231" s="1453">
        <f>E$12</f>
        <v>2025</v>
      </c>
      <c r="I231" s="1624"/>
      <c r="K231" s="134"/>
      <c r="L231" s="1276"/>
      <c r="M231" s="1276"/>
      <c r="N231" s="1276"/>
      <c r="O231" s="1276"/>
      <c r="P231" s="1276"/>
      <c r="Q231" s="1276"/>
      <c r="R231" s="1276"/>
      <c r="S231" s="1276"/>
      <c r="T231" s="136"/>
    </row>
    <row r="232" spans="2:20" ht="12" customHeight="1" x14ac:dyDescent="0.2">
      <c r="B232" s="390" t="s">
        <v>457</v>
      </c>
      <c r="C232" s="1550">
        <v>0</v>
      </c>
      <c r="D232" s="1034">
        <f t="shared" ref="D232:E234" si="20">C232*(1+G232)</f>
        <v>0</v>
      </c>
      <c r="E232" s="1547">
        <f t="shared" si="20"/>
        <v>0</v>
      </c>
      <c r="F232" s="1569" t="s">
        <v>653</v>
      </c>
      <c r="G232" s="1543">
        <v>0.03</v>
      </c>
      <c r="H232" s="1543">
        <f>G232</f>
        <v>0.03</v>
      </c>
      <c r="I232" s="1624"/>
      <c r="K232" s="134"/>
      <c r="L232" s="1276"/>
      <c r="M232" s="1276"/>
      <c r="N232" s="1276"/>
      <c r="O232" s="1276"/>
      <c r="P232" s="1276"/>
      <c r="Q232" s="1276"/>
      <c r="R232" s="1276"/>
      <c r="S232" s="1276"/>
      <c r="T232" s="136"/>
    </row>
    <row r="233" spans="2:20" ht="12" customHeight="1" x14ac:dyDescent="0.2">
      <c r="B233" s="390" t="s">
        <v>458</v>
      </c>
      <c r="C233" s="1551">
        <v>0</v>
      </c>
      <c r="D233" s="1035">
        <f>C233*12/C$13+G233*C233*12/C$13</f>
        <v>0</v>
      </c>
      <c r="E233" s="1548">
        <f t="shared" si="20"/>
        <v>0</v>
      </c>
      <c r="F233" s="1569" t="s">
        <v>477</v>
      </c>
      <c r="G233" s="1543">
        <v>0</v>
      </c>
      <c r="H233" s="1543">
        <f>G233</f>
        <v>0</v>
      </c>
      <c r="I233" s="1624"/>
      <c r="K233" s="134"/>
      <c r="L233" s="1276"/>
      <c r="M233" s="1276"/>
      <c r="N233" s="1276"/>
      <c r="O233" s="1276"/>
      <c r="P233" s="1276"/>
      <c r="Q233" s="1276"/>
      <c r="R233" s="1276"/>
      <c r="S233" s="1276"/>
      <c r="T233" s="136"/>
    </row>
    <row r="234" spans="2:20" ht="12" customHeight="1" x14ac:dyDescent="0.2">
      <c r="B234" s="390" t="s">
        <v>459</v>
      </c>
      <c r="C234" s="1550">
        <v>0</v>
      </c>
      <c r="D234" s="1034">
        <f t="shared" si="20"/>
        <v>0</v>
      </c>
      <c r="E234" s="1547">
        <f t="shared" si="20"/>
        <v>0</v>
      </c>
      <c r="F234" s="1570" t="s">
        <v>654</v>
      </c>
      <c r="G234" s="1543">
        <v>0.03</v>
      </c>
      <c r="H234" s="1543">
        <f>G234</f>
        <v>0.03</v>
      </c>
      <c r="I234" s="1624"/>
      <c r="K234" s="134"/>
      <c r="L234" s="1276"/>
      <c r="M234" s="1276"/>
      <c r="N234" s="1276"/>
      <c r="O234" s="1276"/>
      <c r="P234" s="1276"/>
      <c r="Q234" s="1276"/>
      <c r="R234" s="1276"/>
      <c r="S234" s="1276"/>
      <c r="T234" s="136"/>
    </row>
    <row r="235" spans="2:20" ht="12" customHeight="1" x14ac:dyDescent="0.2">
      <c r="B235" s="390" t="s">
        <v>460</v>
      </c>
      <c r="C235" s="882">
        <f>IF(C234=0,0,(C234-C232)/C234)</f>
        <v>0</v>
      </c>
      <c r="D235" s="882">
        <f>IF(D234=0,0,(D234-D232)/D234)</f>
        <v>0</v>
      </c>
      <c r="E235" s="1466">
        <f>IF(E234=0,0,(E234-E232)/E234)</f>
        <v>0</v>
      </c>
      <c r="F235" s="1612"/>
      <c r="G235" s="1613"/>
      <c r="H235" s="1613"/>
      <c r="I235" s="1614"/>
      <c r="K235" s="139"/>
      <c r="L235" s="614"/>
      <c r="M235" s="614"/>
      <c r="N235" s="614"/>
      <c r="O235" s="614"/>
      <c r="P235" s="614"/>
      <c r="Q235" s="614"/>
      <c r="R235" s="614"/>
      <c r="S235" s="614"/>
      <c r="T235" s="141"/>
    </row>
    <row r="236" spans="2:20" ht="4.1500000000000004" customHeight="1" x14ac:dyDescent="0.2">
      <c r="B236" s="388"/>
      <c r="C236" s="884"/>
      <c r="D236" s="884"/>
      <c r="E236" s="884"/>
      <c r="F236" s="387"/>
      <c r="G236" s="388"/>
      <c r="H236" s="1542"/>
      <c r="I236" s="391"/>
      <c r="J236" s="1270"/>
      <c r="L236" s="19"/>
      <c r="M236" s="19"/>
      <c r="N236" s="19"/>
      <c r="O236" s="19"/>
      <c r="P236" s="19"/>
      <c r="Q236" s="19"/>
      <c r="R236" s="19"/>
      <c r="S236" s="19"/>
    </row>
    <row r="237" spans="2:20" ht="12.75" customHeight="1" x14ac:dyDescent="0.2">
      <c r="B237" s="1459" t="s">
        <v>475</v>
      </c>
      <c r="C237" s="1460">
        <f>C166*(1+C165)+C171*(1+C170)+C176*(1+C175)+C181*(1+C180)+C186*(1+C185)+C191*(1+C190)+C196*(1+C195)+C203*(1+C202)+C210*(1+C209)+C217*(1+C216)+C224*(1+C223)+C231*(1+C230)+C156</f>
        <v>0</v>
      </c>
      <c r="D237" s="1460">
        <f>D166*(1+D165)+D171*(1+D170)+D176*(1+D175)+D181*(1+D180)+D186*(1+D185)+D191*(1+D190)+D196*(1+D195)+D203*(1+D202)+D210*(1+D209)+D217*(1+D216)+D224*(1+D223)+D231*(1+D230)+D156</f>
        <v>0</v>
      </c>
      <c r="E237" s="1460">
        <f>E166*(1+E165)+E171*(1+E170)+E176*(1+E175)+E181*(1+E180)+E186*(1+E185)+E191*(1+E190)+E196*(1+E195)+E203*(1+E202)+E210*(1+E209)+E217*(1+E216)+E224*(1+E223)+E231*(1+E230)+E156</f>
        <v>0</v>
      </c>
      <c r="F237"/>
      <c r="I237" s="19"/>
      <c r="J237" s="19"/>
      <c r="K237" s="19"/>
      <c r="L237" s="19"/>
      <c r="M237" s="19"/>
      <c r="N237" s="19"/>
      <c r="O237" s="19"/>
      <c r="P237" s="19"/>
      <c r="Q237" s="19"/>
      <c r="R237" s="19"/>
      <c r="S237" s="19"/>
    </row>
    <row r="238" spans="2:20" x14ac:dyDescent="0.2">
      <c r="B238" s="1461" t="s">
        <v>476</v>
      </c>
      <c r="C238" s="1460">
        <f>C166+C171+C176+C181+C186+C191+C196+C203+C210+C217+C224+C231+C157</f>
        <v>0</v>
      </c>
      <c r="D238" s="1460">
        <f>D166+D171+D176+D181+D186+D191+D196+D203+D210+D217+D224+D231+D157</f>
        <v>0</v>
      </c>
      <c r="E238" s="1460">
        <f>E166+E171+E176+E181+E186+E191+E196+E203+E210+E217+E224+E231+E157</f>
        <v>0</v>
      </c>
      <c r="F238" s="19"/>
      <c r="G238" s="19"/>
      <c r="H238" s="19"/>
      <c r="I238" s="19"/>
      <c r="J238" s="19"/>
      <c r="K238" s="19"/>
      <c r="L238" s="19"/>
      <c r="M238" s="19"/>
      <c r="N238" s="19"/>
      <c r="O238" s="19"/>
      <c r="P238" s="19"/>
      <c r="Q238" s="19"/>
      <c r="R238" s="19"/>
      <c r="S238" s="19"/>
    </row>
    <row r="239" spans="2:20" x14ac:dyDescent="0.2">
      <c r="B239" s="1461" t="s">
        <v>716</v>
      </c>
      <c r="C239" s="1460">
        <f>C196*(1-C200)+C203*(1-C207)+C210*(1-C214)+C217*(1-C221)+C224*(1-C228)+C231*(1-C235)+C158</f>
        <v>0</v>
      </c>
      <c r="D239" s="1460">
        <f>D196*(1-D200)+D203*(1-D207)+D210*(1-D214)+D217*(1-D221)+D224*(1-D228)+D231*(1-D235)+D158</f>
        <v>0</v>
      </c>
      <c r="E239" s="1460">
        <f>E196*(1-E200)+E203*(1-E207)+E210*(1-E214)+E217*(1-E221)+E224*(1-E228)+E231*(1-E235)+E158</f>
        <v>0</v>
      </c>
      <c r="F239" s="19"/>
      <c r="G239" s="19"/>
      <c r="H239" s="19"/>
      <c r="I239" s="19"/>
      <c r="J239" s="19"/>
      <c r="K239" s="19"/>
    </row>
    <row r="240" spans="2:20" x14ac:dyDescent="0.2">
      <c r="F240" s="19"/>
      <c r="G240" s="19"/>
      <c r="H240" s="19"/>
      <c r="I240" s="19"/>
      <c r="J240" s="19"/>
      <c r="K240" s="19"/>
    </row>
    <row r="241" spans="2:11" x14ac:dyDescent="0.2">
      <c r="F241" s="19"/>
      <c r="G241" s="19"/>
      <c r="H241" s="19"/>
      <c r="I241" s="19"/>
      <c r="J241" s="19"/>
      <c r="K241" s="19"/>
    </row>
    <row r="242" spans="2:11" x14ac:dyDescent="0.2">
      <c r="B242" s="379" t="s">
        <v>346</v>
      </c>
    </row>
    <row r="243" spans="2:11" x14ac:dyDescent="0.2">
      <c r="B243" s="108" t="s">
        <v>347</v>
      </c>
    </row>
    <row r="244" spans="2:11" x14ac:dyDescent="0.2">
      <c r="B244" s="108" t="s">
        <v>348</v>
      </c>
    </row>
  </sheetData>
  <sheetProtection algorithmName="SHA-512" hashValue="Vr8S20kN0z4jaGerneZYoTLmCu28DuG/CR+088zlXvB+I1ZdWBgGErcFnWkqwtSczr+BRBw8rQIYeam+IUT44g==" saltValue="4zus1GlsJk8KmK3jV5z4ww==" spinCount="100000" sheet="1" objects="1" scenarios="1"/>
  <mergeCells count="15">
    <mergeCell ref="B2:I2"/>
    <mergeCell ref="F84:H84"/>
    <mergeCell ref="F165:H165"/>
    <mergeCell ref="B1:H1"/>
    <mergeCell ref="F15:H15"/>
    <mergeCell ref="C8:E8"/>
    <mergeCell ref="C9:E9"/>
    <mergeCell ref="B11:B12"/>
    <mergeCell ref="B80:B81"/>
    <mergeCell ref="B161:B162"/>
    <mergeCell ref="N3:P3"/>
    <mergeCell ref="K3:L3"/>
    <mergeCell ref="B6:E6"/>
    <mergeCell ref="F9:I9"/>
    <mergeCell ref="B4:I4"/>
  </mergeCells>
  <phoneticPr fontId="8" type="noConversion"/>
  <printOptions horizontalCentered="1"/>
  <pageMargins left="0.25" right="0.25" top="0.75" bottom="0.75" header="0.3" footer="0.3"/>
  <pageSetup paperSize="9" scale="85" orientation="portrait" r:id="rId1"/>
  <headerFooter alignWithMargins="0">
    <oddFooter xml:space="preserve">&amp;C&amp;8FT5 Nyföretagets ekonomiplan </oddFooter>
  </headerFooter>
  <rowBreaks count="2" manualBreakCount="2">
    <brk id="79" min="1" max="19" man="1"/>
    <brk id="160" min="1" max="19" man="1"/>
  </rowBreaks>
  <colBreaks count="1" manualBreakCount="1">
    <brk id="9" min="3" max="239"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4" tint="0.59999389629810485"/>
  </sheetPr>
  <dimension ref="A2:X137"/>
  <sheetViews>
    <sheetView showGridLines="0" showZeros="0" defaultGridColor="0" colorId="55" zoomScaleNormal="100" workbookViewId="0">
      <selection activeCell="F9" sqref="F9:J9"/>
    </sheetView>
  </sheetViews>
  <sheetFormatPr defaultRowHeight="12.75" x14ac:dyDescent="0.2"/>
  <cols>
    <col min="1" max="1" width="5.7109375" customWidth="1"/>
    <col min="2" max="2" width="3.28515625" customWidth="1"/>
    <col min="3" max="3" width="25.140625" customWidth="1"/>
    <col min="4" max="4" width="8.7109375" customWidth="1"/>
    <col min="5" max="5" width="10" customWidth="1"/>
    <col min="6" max="6" width="10.85546875" customWidth="1"/>
    <col min="7" max="7" width="5.140625" customWidth="1"/>
    <col min="8" max="8" width="6.7109375" customWidth="1"/>
    <col min="9" max="9" width="4.85546875" customWidth="1"/>
    <col min="10" max="10" width="5.140625" customWidth="1"/>
    <col min="11" max="11" width="10.5703125" customWidth="1"/>
    <col min="12" max="12" width="5.140625" customWidth="1"/>
    <col min="13" max="13" width="3.7109375" customWidth="1"/>
    <col min="14" max="16" width="10" customWidth="1"/>
    <col min="24" max="24" width="9.140625" customWidth="1"/>
  </cols>
  <sheetData>
    <row r="2" spans="2:24" ht="15" customHeight="1" x14ac:dyDescent="0.2">
      <c r="B2" s="1924" t="s">
        <v>449</v>
      </c>
      <c r="C2" s="1924"/>
      <c r="D2" s="1924"/>
      <c r="E2" s="1924"/>
      <c r="F2" s="1924"/>
      <c r="G2" s="1924"/>
      <c r="H2" s="1924"/>
      <c r="I2" s="1924"/>
      <c r="J2" s="1924"/>
      <c r="K2" s="1924"/>
      <c r="L2" s="1924"/>
    </row>
    <row r="3" spans="2:24" ht="15" customHeight="1" x14ac:dyDescent="0.2">
      <c r="N3" s="1963" t="s">
        <v>247</v>
      </c>
      <c r="O3" s="1963"/>
      <c r="Q3" s="1963" t="s">
        <v>248</v>
      </c>
      <c r="R3" s="1963"/>
      <c r="S3" s="1963"/>
    </row>
    <row r="4" spans="2:24" ht="15" customHeight="1" x14ac:dyDescent="0.2">
      <c r="B4" s="1926" t="s">
        <v>481</v>
      </c>
      <c r="C4" s="1926"/>
      <c r="D4" s="1926"/>
      <c r="E4" s="1926"/>
      <c r="F4" s="1926"/>
      <c r="G4" s="1926"/>
      <c r="H4" s="1926"/>
      <c r="I4" s="1926"/>
      <c r="J4" s="1926"/>
      <c r="K4" s="1926"/>
      <c r="L4" s="1926"/>
      <c r="N4" s="428"/>
      <c r="O4" s="428"/>
      <c r="Q4" s="1350"/>
      <c r="R4" s="1350"/>
      <c r="S4" s="1351"/>
      <c r="T4" s="1351"/>
      <c r="U4" s="1351"/>
      <c r="V4" s="1351"/>
      <c r="W4" s="1351"/>
      <c r="X4" s="1351"/>
    </row>
    <row r="5" spans="2:24" ht="15" customHeight="1" x14ac:dyDescent="0.2">
      <c r="B5" s="517" t="str">
        <f>'FS2 Försäljning '!B5</f>
        <v>Tjänsten erbjuds av:</v>
      </c>
      <c r="Q5" s="1351"/>
      <c r="R5" s="1351"/>
      <c r="S5" s="1351"/>
      <c r="T5" s="1351"/>
      <c r="U5" s="1351"/>
      <c r="V5" s="1351"/>
      <c r="W5" s="1351"/>
      <c r="X5" s="1351"/>
    </row>
    <row r="6" spans="2:24" ht="12" customHeight="1" x14ac:dyDescent="0.2">
      <c r="B6" s="370" t="str">
        <f>Startsidan!G35</f>
        <v xml:space="preserve">Karlebynejdens Utveckling Ab
</v>
      </c>
      <c r="C6" s="78"/>
      <c r="D6" s="53"/>
      <c r="E6" s="53"/>
      <c r="F6" s="78"/>
      <c r="G6" s="52"/>
      <c r="H6" s="52"/>
      <c r="I6" s="520"/>
      <c r="J6" s="1988"/>
      <c r="K6" s="1988"/>
      <c r="L6" s="1988"/>
      <c r="Q6" s="1351"/>
      <c r="R6" s="1351"/>
      <c r="S6" s="1351"/>
      <c r="T6" s="1351"/>
      <c r="U6" s="1351"/>
      <c r="V6" s="1351"/>
      <c r="W6" s="1351"/>
      <c r="X6" s="1351"/>
    </row>
    <row r="7" spans="2:24" ht="12" customHeight="1" x14ac:dyDescent="0.2">
      <c r="B7" s="509"/>
      <c r="C7" s="78"/>
      <c r="D7" s="53"/>
      <c r="E7" s="53"/>
      <c r="F7" s="78"/>
      <c r="G7" s="52"/>
      <c r="H7" s="52"/>
      <c r="I7" s="520"/>
      <c r="J7" s="521"/>
      <c r="K7" s="521"/>
      <c r="L7" s="521"/>
      <c r="Q7" s="1351"/>
      <c r="R7" s="1351"/>
      <c r="S7" s="1351"/>
      <c r="T7" s="1351"/>
      <c r="U7" s="1351"/>
      <c r="V7" s="1351"/>
      <c r="W7" s="1351"/>
      <c r="X7" s="1351"/>
    </row>
    <row r="8" spans="2:24" ht="12" customHeight="1" x14ac:dyDescent="0.2">
      <c r="B8" s="963" t="s">
        <v>246</v>
      </c>
      <c r="C8" s="305"/>
      <c r="D8" s="437"/>
      <c r="E8" s="53"/>
      <c r="F8" s="78" t="s">
        <v>366</v>
      </c>
      <c r="G8" s="304"/>
      <c r="H8" s="305"/>
      <c r="I8" s="305"/>
      <c r="J8" s="305"/>
      <c r="K8" s="78" t="s">
        <v>367</v>
      </c>
      <c r="L8" s="156"/>
      <c r="Q8" s="1351"/>
      <c r="R8" s="1351"/>
      <c r="S8" s="1351"/>
      <c r="T8" s="1351"/>
      <c r="U8" s="1351"/>
      <c r="V8" s="1351"/>
      <c r="W8" s="1351"/>
      <c r="X8" s="1351"/>
    </row>
    <row r="9" spans="2:24" x14ac:dyDescent="0.2">
      <c r="B9" s="1727">
        <f>'FS1 Kostnader '!C9</f>
        <v>0</v>
      </c>
      <c r="C9" s="1727"/>
      <c r="D9" s="1727"/>
      <c r="E9" s="1727"/>
      <c r="F9" s="1964"/>
      <c r="G9" s="1965"/>
      <c r="H9" s="1965"/>
      <c r="I9" s="1965"/>
      <c r="J9" s="1966"/>
      <c r="K9" s="1974">
        <v>0</v>
      </c>
      <c r="L9" s="1975"/>
      <c r="Q9" s="1351"/>
      <c r="R9" s="1351"/>
      <c r="S9" s="1351"/>
      <c r="T9" s="1351"/>
      <c r="U9" s="1351"/>
      <c r="V9" s="1351"/>
      <c r="W9" s="1351"/>
      <c r="X9" s="1351"/>
    </row>
    <row r="10" spans="2:24" ht="6" customHeight="1" x14ac:dyDescent="0.2">
      <c r="B10" s="52"/>
      <c r="D10" s="53"/>
      <c r="E10" s="53"/>
      <c r="F10" s="52"/>
      <c r="G10" s="36"/>
      <c r="H10" s="36"/>
      <c r="I10" s="36"/>
      <c r="J10" s="36"/>
      <c r="Q10" s="1351"/>
      <c r="R10" s="1351"/>
      <c r="S10" s="1351"/>
      <c r="T10" s="1351"/>
      <c r="U10" s="1351"/>
      <c r="V10" s="1351"/>
      <c r="W10" s="1351"/>
      <c r="X10" s="1351"/>
    </row>
    <row r="11" spans="2:24" ht="13.5" customHeight="1" x14ac:dyDescent="0.2">
      <c r="B11" s="52"/>
      <c r="C11" s="1945"/>
      <c r="D11" s="1946"/>
      <c r="E11" s="1946"/>
      <c r="I11" s="504"/>
      <c r="J11" s="504"/>
      <c r="K11" s="504"/>
      <c r="L11" s="504" t="s">
        <v>431</v>
      </c>
      <c r="M11" s="504"/>
      <c r="N11" s="77"/>
      <c r="Q11" s="1351"/>
      <c r="R11" s="1351"/>
      <c r="S11" s="1351"/>
      <c r="T11" s="1351"/>
      <c r="U11" s="1351"/>
      <c r="V11" s="1351"/>
      <c r="W11" s="1351"/>
      <c r="X11" s="1351"/>
    </row>
    <row r="12" spans="2:24" ht="6" customHeight="1" x14ac:dyDescent="0.2">
      <c r="B12" s="52"/>
      <c r="C12" s="6"/>
      <c r="D12" s="6"/>
      <c r="E12" s="6"/>
      <c r="G12" s="54"/>
      <c r="H12" s="54"/>
      <c r="I12" s="30"/>
      <c r="J12" s="30"/>
      <c r="O12" s="407"/>
      <c r="P12" s="407"/>
      <c r="Q12" s="1351"/>
      <c r="R12" s="1351"/>
      <c r="S12" s="1351"/>
      <c r="T12" s="1351"/>
      <c r="U12" s="1351"/>
      <c r="V12" s="1351"/>
      <c r="W12" s="1351"/>
      <c r="X12" s="1351"/>
    </row>
    <row r="13" spans="2:24" ht="12.75" customHeight="1" x14ac:dyDescent="0.2">
      <c r="B13" s="1584"/>
      <c r="C13" s="1984" t="s">
        <v>369</v>
      </c>
      <c r="D13" s="1984"/>
      <c r="E13" s="1984"/>
      <c r="F13" s="1984"/>
      <c r="G13" s="1585"/>
      <c r="H13" s="1585"/>
      <c r="I13" s="1585"/>
      <c r="J13" s="1585"/>
      <c r="K13" s="1586"/>
      <c r="L13" s="1586"/>
      <c r="N13" s="1003">
        <f>B9</f>
        <v>0</v>
      </c>
      <c r="O13" s="1003"/>
      <c r="P13" s="1003"/>
      <c r="Q13" s="1352"/>
      <c r="R13" s="1353"/>
      <c r="S13" s="1351"/>
      <c r="T13" s="1351"/>
      <c r="U13" s="1351"/>
      <c r="V13" s="1351"/>
      <c r="W13" s="1351"/>
      <c r="X13" s="1351"/>
    </row>
    <row r="14" spans="2:24" ht="10.5" customHeight="1" x14ac:dyDescent="0.2">
      <c r="B14" s="1586"/>
      <c r="C14" s="1984"/>
      <c r="D14" s="1984"/>
      <c r="E14" s="1984"/>
      <c r="F14" s="1984"/>
      <c r="G14" s="1587"/>
      <c r="H14" s="1587"/>
      <c r="I14" s="1587"/>
      <c r="J14" s="1587"/>
      <c r="K14" s="1586"/>
      <c r="L14" s="1586"/>
      <c r="M14" s="754"/>
      <c r="N14" s="1348"/>
      <c r="O14" s="1348"/>
      <c r="P14" s="1348"/>
      <c r="Q14" s="1348"/>
      <c r="R14" s="1348"/>
      <c r="S14" s="1348"/>
      <c r="T14" s="1348"/>
      <c r="U14" s="1348"/>
      <c r="V14" s="1348"/>
      <c r="W14" s="1348"/>
      <c r="X14" s="1348"/>
    </row>
    <row r="15" spans="2:24" ht="16.5" customHeight="1" x14ac:dyDescent="0.2">
      <c r="B15" s="1578" t="s">
        <v>830</v>
      </c>
      <c r="C15" s="1579"/>
      <c r="D15" s="1580"/>
      <c r="E15" s="1581" t="s">
        <v>371</v>
      </c>
      <c r="F15" s="1582" t="s">
        <v>814</v>
      </c>
      <c r="G15" s="1583"/>
      <c r="H15" s="1583"/>
      <c r="I15" s="1583"/>
      <c r="J15" s="1583"/>
      <c r="K15" s="1951" t="s">
        <v>371</v>
      </c>
      <c r="L15" s="1952"/>
      <c r="N15" s="1302" t="s">
        <v>351</v>
      </c>
      <c r="O15" s="1277"/>
      <c r="P15" s="1277"/>
      <c r="Q15" s="1277"/>
      <c r="R15" s="1277"/>
      <c r="S15" s="1277"/>
      <c r="T15" s="1277"/>
      <c r="U15" s="1277"/>
      <c r="V15" s="1277"/>
      <c r="W15" s="1277"/>
      <c r="X15" s="1343"/>
    </row>
    <row r="16" spans="2:24" x14ac:dyDescent="0.2">
      <c r="B16" s="1753" t="s">
        <v>372</v>
      </c>
      <c r="C16" s="1754"/>
      <c r="D16" s="93" t="s">
        <v>373</v>
      </c>
      <c r="E16" s="613">
        <f>E17+E18+E19</f>
        <v>0</v>
      </c>
      <c r="F16" s="637" t="s">
        <v>641</v>
      </c>
      <c r="G16" s="63"/>
      <c r="H16" s="160"/>
      <c r="I16" s="162"/>
      <c r="J16" s="161"/>
      <c r="K16" s="1755">
        <f>SUM(K18:K20)</f>
        <v>0</v>
      </c>
      <c r="L16" s="1756"/>
      <c r="N16" s="746"/>
      <c r="O16" s="1284"/>
      <c r="P16" s="1284"/>
      <c r="Q16" s="1284"/>
      <c r="R16" s="1284"/>
      <c r="S16" s="1284"/>
      <c r="T16" s="1284"/>
      <c r="U16" s="1284"/>
      <c r="V16" s="1284"/>
      <c r="W16" s="1284"/>
      <c r="X16" s="1285"/>
    </row>
    <row r="17" spans="1:24" x14ac:dyDescent="0.2">
      <c r="A17" s="168"/>
      <c r="B17" s="1712" t="s">
        <v>615</v>
      </c>
      <c r="C17" s="1713"/>
      <c r="D17" s="1215">
        <v>0</v>
      </c>
      <c r="E17" s="1027">
        <v>0</v>
      </c>
      <c r="F17" s="1742" t="s">
        <v>378</v>
      </c>
      <c r="G17" s="1743"/>
      <c r="H17" s="638" t="s">
        <v>379</v>
      </c>
      <c r="I17" s="1734" t="s">
        <v>380</v>
      </c>
      <c r="J17" s="1735"/>
      <c r="K17" s="1737" t="s">
        <v>381</v>
      </c>
      <c r="L17" s="1738"/>
      <c r="N17" s="746"/>
      <c r="O17" s="1284"/>
      <c r="P17" s="1284"/>
      <c r="Q17" s="1284"/>
      <c r="R17" s="1284"/>
      <c r="S17" s="1284"/>
      <c r="T17" s="1284"/>
      <c r="U17" s="1284"/>
      <c r="V17" s="1284"/>
      <c r="W17" s="1284"/>
      <c r="X17" s="1285"/>
    </row>
    <row r="18" spans="1:24" x14ac:dyDescent="0.2">
      <c r="B18" s="1712" t="s">
        <v>612</v>
      </c>
      <c r="C18" s="1713"/>
      <c r="D18" s="1215">
        <v>0</v>
      </c>
      <c r="E18" s="1027">
        <v>0</v>
      </c>
      <c r="F18" s="1674" t="s">
        <v>618</v>
      </c>
      <c r="G18" s="1713"/>
      <c r="H18" s="1215">
        <v>0</v>
      </c>
      <c r="I18" s="1029">
        <v>0</v>
      </c>
      <c r="J18" s="1029">
        <v>0</v>
      </c>
      <c r="K18" s="1947">
        <v>0</v>
      </c>
      <c r="L18" s="1948"/>
      <c r="N18" s="746"/>
      <c r="O18" s="1284"/>
      <c r="P18" s="1284"/>
      <c r="Q18" s="1284"/>
      <c r="R18" s="1284"/>
      <c r="S18" s="1284"/>
      <c r="T18" s="1284"/>
      <c r="U18" s="1284"/>
      <c r="V18" s="1284"/>
      <c r="W18" s="1284"/>
      <c r="X18" s="1285"/>
    </row>
    <row r="19" spans="1:24" x14ac:dyDescent="0.2">
      <c r="A19" s="168"/>
      <c r="B19" s="1712" t="s">
        <v>613</v>
      </c>
      <c r="C19" s="1713"/>
      <c r="D19" s="1215">
        <v>0</v>
      </c>
      <c r="E19" s="1027">
        <v>0</v>
      </c>
      <c r="F19" s="1953" t="s">
        <v>619</v>
      </c>
      <c r="G19" s="1954"/>
      <c r="H19" s="1215">
        <v>0</v>
      </c>
      <c r="I19" s="1029">
        <v>0</v>
      </c>
      <c r="J19" s="1029">
        <v>0</v>
      </c>
      <c r="K19" s="1947">
        <v>0</v>
      </c>
      <c r="L19" s="1948"/>
      <c r="N19" s="746"/>
      <c r="O19" s="1284"/>
      <c r="P19" s="1284"/>
      <c r="Q19" s="1284"/>
      <c r="R19" s="1284"/>
      <c r="S19" s="1284"/>
      <c r="T19" s="1284"/>
      <c r="U19" s="1284"/>
      <c r="V19" s="1284"/>
      <c r="W19" s="1284"/>
      <c r="X19" s="1285"/>
    </row>
    <row r="20" spans="1:24" x14ac:dyDescent="0.2">
      <c r="A20" s="2"/>
      <c r="B20" s="1753" t="s">
        <v>482</v>
      </c>
      <c r="C20" s="1754"/>
      <c r="D20" s="93" t="s">
        <v>373</v>
      </c>
      <c r="E20" s="1380">
        <f>SUM(E21:E26)</f>
        <v>0</v>
      </c>
      <c r="F20" s="1953">
        <v>0</v>
      </c>
      <c r="G20" s="1954"/>
      <c r="H20" s="1215">
        <v>0</v>
      </c>
      <c r="I20" s="1029">
        <v>0</v>
      </c>
      <c r="J20" s="1029">
        <v>0</v>
      </c>
      <c r="K20" s="1947">
        <v>0</v>
      </c>
      <c r="L20" s="1948"/>
      <c r="N20" s="746"/>
      <c r="O20" s="1284"/>
      <c r="P20" s="1284"/>
      <c r="Q20" s="1284"/>
      <c r="R20" s="1284"/>
      <c r="S20" s="1284"/>
      <c r="T20" s="1284"/>
      <c r="U20" s="1284"/>
      <c r="V20" s="1284"/>
      <c r="W20" s="1284"/>
      <c r="X20" s="1285"/>
    </row>
    <row r="21" spans="1:24" x14ac:dyDescent="0.2">
      <c r="A21" s="168"/>
      <c r="B21" s="1956">
        <v>0</v>
      </c>
      <c r="C21" s="1954"/>
      <c r="D21" s="1215">
        <v>0</v>
      </c>
      <c r="E21" s="1027">
        <v>0</v>
      </c>
      <c r="F21" s="1717" t="s">
        <v>642</v>
      </c>
      <c r="G21" s="1719"/>
      <c r="H21" s="1215">
        <v>0</v>
      </c>
      <c r="I21" s="1947">
        <v>0</v>
      </c>
      <c r="J21" s="1948"/>
      <c r="K21" s="1947">
        <v>0</v>
      </c>
      <c r="L21" s="1948"/>
      <c r="N21" s="746"/>
      <c r="O21" s="1284"/>
      <c r="P21" s="1284"/>
      <c r="Q21" s="1284"/>
      <c r="R21" s="1284"/>
      <c r="S21" s="1284"/>
      <c r="T21" s="1284"/>
      <c r="U21" s="1284"/>
      <c r="V21" s="1284"/>
      <c r="W21" s="1284"/>
      <c r="X21" s="1285"/>
    </row>
    <row r="22" spans="1:24" x14ac:dyDescent="0.2">
      <c r="A22" s="168"/>
      <c r="B22" s="1956">
        <v>0</v>
      </c>
      <c r="C22" s="1954"/>
      <c r="D22" s="1215">
        <v>0</v>
      </c>
      <c r="E22" s="1027">
        <v>0</v>
      </c>
      <c r="F22" s="1781" t="s">
        <v>643</v>
      </c>
      <c r="G22" s="1782"/>
      <c r="H22" s="1215">
        <v>0</v>
      </c>
      <c r="I22" s="1947">
        <v>0</v>
      </c>
      <c r="J22" s="1948"/>
      <c r="K22" s="1947">
        <v>0</v>
      </c>
      <c r="L22" s="1948"/>
      <c r="N22" s="746"/>
      <c r="O22" s="1284"/>
      <c r="P22" s="1284"/>
      <c r="Q22" s="1284"/>
      <c r="R22" s="1284"/>
      <c r="S22" s="1284"/>
      <c r="T22" s="1284"/>
      <c r="U22" s="1284"/>
      <c r="V22" s="1284"/>
      <c r="W22" s="1284"/>
      <c r="X22" s="1285"/>
    </row>
    <row r="23" spans="1:24" x14ac:dyDescent="0.2">
      <c r="B23" s="1956"/>
      <c r="C23" s="1954"/>
      <c r="D23" s="1215">
        <v>0</v>
      </c>
      <c r="E23" s="1027">
        <v>0</v>
      </c>
      <c r="F23" s="1717" t="s">
        <v>644</v>
      </c>
      <c r="G23" s="1718"/>
      <c r="H23" s="1718"/>
      <c r="I23" s="1718"/>
      <c r="J23" s="1719"/>
      <c r="K23" s="1755">
        <f>IF(E33=0,0,SUM(K24:K26))</f>
        <v>0</v>
      </c>
      <c r="L23" s="1756"/>
      <c r="N23" s="746"/>
      <c r="O23" s="1284"/>
      <c r="P23" s="1284"/>
      <c r="Q23" s="1284"/>
      <c r="R23" s="1284"/>
      <c r="S23" s="1284"/>
      <c r="T23" s="1284"/>
      <c r="U23" s="1284"/>
      <c r="V23" s="1284"/>
      <c r="W23" s="1284"/>
      <c r="X23" s="1285"/>
    </row>
    <row r="24" spans="1:24" x14ac:dyDescent="0.2">
      <c r="A24" s="168"/>
      <c r="B24" s="1221" t="s">
        <v>374</v>
      </c>
      <c r="C24" s="748"/>
      <c r="D24" s="500"/>
      <c r="E24" s="1027">
        <v>0</v>
      </c>
      <c r="F24" s="1956" t="s">
        <v>635</v>
      </c>
      <c r="G24" s="1953"/>
      <c r="H24" s="1953"/>
      <c r="I24" s="1953"/>
      <c r="J24" s="1954"/>
      <c r="K24" s="1757">
        <f>IF('YP Lainat ja avustukset'!E$53&lt;0,0,'YP Lainat ja avustukset'!E$53)</f>
        <v>0</v>
      </c>
      <c r="L24" s="1758"/>
      <c r="N24" s="746"/>
      <c r="O24" s="1284"/>
      <c r="P24" s="1284"/>
      <c r="Q24" s="1284"/>
      <c r="R24" s="1284"/>
      <c r="S24" s="1284"/>
      <c r="T24" s="1284"/>
      <c r="U24" s="1284"/>
      <c r="V24" s="1284"/>
      <c r="W24" s="1284"/>
      <c r="X24" s="1285"/>
    </row>
    <row r="25" spans="1:24" x14ac:dyDescent="0.2">
      <c r="A25" s="2"/>
      <c r="B25" s="1712" t="s">
        <v>375</v>
      </c>
      <c r="C25" s="1713"/>
      <c r="D25" s="500"/>
      <c r="E25" s="1027">
        <v>0</v>
      </c>
      <c r="F25" s="1955" t="s">
        <v>622</v>
      </c>
      <c r="G25" s="1949"/>
      <c r="H25" s="1949"/>
      <c r="I25" s="1949"/>
      <c r="J25" s="1950"/>
      <c r="K25" s="1947">
        <v>0</v>
      </c>
      <c r="L25" s="1948"/>
      <c r="N25" s="746"/>
      <c r="O25" s="1989"/>
      <c r="P25" s="1989"/>
      <c r="Q25" s="1284"/>
      <c r="R25" s="1284"/>
      <c r="S25" s="1284"/>
      <c r="T25" s="1284"/>
      <c r="U25" s="1284"/>
      <c r="V25" s="1284"/>
      <c r="W25" s="1284"/>
      <c r="X25" s="1285"/>
    </row>
    <row r="26" spans="1:24" x14ac:dyDescent="0.2">
      <c r="A26" s="2"/>
      <c r="B26" s="1712" t="s">
        <v>404</v>
      </c>
      <c r="C26" s="1713"/>
      <c r="D26" s="1215">
        <v>0</v>
      </c>
      <c r="E26" s="1027">
        <v>0</v>
      </c>
      <c r="F26" s="1949" t="s">
        <v>637</v>
      </c>
      <c r="G26" s="1949"/>
      <c r="H26" s="1949"/>
      <c r="I26" s="1949"/>
      <c r="J26" s="1950"/>
      <c r="K26" s="1947">
        <v>0</v>
      </c>
      <c r="L26" s="1948"/>
      <c r="N26" s="746"/>
      <c r="O26" s="1284"/>
      <c r="P26" s="1284"/>
      <c r="Q26" s="1284"/>
      <c r="R26" s="1284"/>
      <c r="S26" s="1284"/>
      <c r="T26" s="1284"/>
      <c r="U26" s="1284"/>
      <c r="V26" s="1284"/>
      <c r="W26" s="1284"/>
      <c r="X26" s="1285"/>
    </row>
    <row r="27" spans="1:24" x14ac:dyDescent="0.2">
      <c r="A27" s="168"/>
      <c r="B27" s="1717" t="s">
        <v>614</v>
      </c>
      <c r="C27" s="1908"/>
      <c r="D27" s="1918"/>
      <c r="E27" s="1204">
        <f>E28+E29</f>
        <v>0</v>
      </c>
      <c r="F27" s="1971" t="s">
        <v>645</v>
      </c>
      <c r="G27" s="1971"/>
      <c r="H27" s="1971"/>
      <c r="I27" s="1971"/>
      <c r="J27" s="1972"/>
      <c r="K27" s="1755">
        <f>IF((E19+E20+E27-E26-K21-E24)*0.19355&lt;0,0,(E19+E20+E27-E26-K21-E24)*0.19355)</f>
        <v>0</v>
      </c>
      <c r="L27" s="1756"/>
      <c r="N27" s="746"/>
      <c r="O27" s="1284"/>
      <c r="P27" s="1284"/>
      <c r="Q27" s="1284"/>
      <c r="R27" s="1284"/>
      <c r="S27" s="1284"/>
      <c r="T27" s="1284"/>
      <c r="U27" s="1284"/>
      <c r="V27" s="1284"/>
      <c r="W27" s="1284"/>
      <c r="X27" s="1285"/>
    </row>
    <row r="28" spans="1:24" x14ac:dyDescent="0.2">
      <c r="B28" s="1956"/>
      <c r="C28" s="1953"/>
      <c r="D28" s="1954"/>
      <c r="E28" s="1027">
        <v>0</v>
      </c>
      <c r="F28" s="1971" t="s">
        <v>646</v>
      </c>
      <c r="G28" s="1971"/>
      <c r="H28" s="1971"/>
      <c r="I28" s="1971"/>
      <c r="J28" s="1972"/>
      <c r="K28" s="1755">
        <f>SUM(K29:K32)</f>
        <v>0</v>
      </c>
      <c r="L28" s="1756"/>
      <c r="N28" s="746"/>
      <c r="O28" s="1284"/>
      <c r="P28" s="1284"/>
      <c r="Q28" s="1284"/>
      <c r="R28" s="1284"/>
      <c r="S28" s="1284"/>
      <c r="T28" s="1284"/>
      <c r="U28" s="1284"/>
      <c r="V28" s="1284"/>
      <c r="W28" s="1284"/>
      <c r="X28" s="1285"/>
    </row>
    <row r="29" spans="1:24" x14ac:dyDescent="0.2">
      <c r="A29" s="168"/>
      <c r="B29" s="1956"/>
      <c r="C29" s="1953"/>
      <c r="D29" s="1954"/>
      <c r="E29" s="1027">
        <v>0</v>
      </c>
      <c r="F29" s="1792" t="s">
        <v>382</v>
      </c>
      <c r="G29" s="1792"/>
      <c r="H29" s="1792"/>
      <c r="I29" s="1792"/>
      <c r="J29" s="1793"/>
      <c r="K29" s="1947">
        <v>0</v>
      </c>
      <c r="L29" s="1948"/>
      <c r="N29" s="746"/>
      <c r="O29" s="1284"/>
      <c r="P29" s="1284"/>
      <c r="Q29" s="1284"/>
      <c r="R29" s="1284"/>
      <c r="S29" s="1284"/>
      <c r="T29" s="1284"/>
      <c r="U29" s="1284"/>
      <c r="V29" s="1284"/>
      <c r="W29" s="1284"/>
      <c r="X29" s="1285"/>
    </row>
    <row r="30" spans="1:24" x14ac:dyDescent="0.2">
      <c r="A30" s="2"/>
      <c r="B30" s="1717" t="s">
        <v>638</v>
      </c>
      <c r="C30" s="1718"/>
      <c r="D30" s="1719"/>
      <c r="E30" s="1028">
        <v>0</v>
      </c>
      <c r="F30" s="1949" t="s">
        <v>484</v>
      </c>
      <c r="G30" s="1949"/>
      <c r="H30" s="1949"/>
      <c r="I30" s="1949"/>
      <c r="J30" s="1950"/>
      <c r="K30" s="1947">
        <v>0</v>
      </c>
      <c r="L30" s="1948"/>
      <c r="N30" s="746"/>
      <c r="O30" s="1284"/>
      <c r="P30" s="1284"/>
      <c r="Q30" s="1284"/>
      <c r="R30" s="1284"/>
      <c r="S30" s="1284"/>
      <c r="T30" s="1284"/>
      <c r="U30" s="1284"/>
      <c r="V30" s="1284"/>
      <c r="W30" s="1284"/>
      <c r="X30" s="1285"/>
    </row>
    <row r="31" spans="1:24" x14ac:dyDescent="0.2">
      <c r="B31" s="637" t="s">
        <v>639</v>
      </c>
      <c r="C31" s="747"/>
      <c r="D31" s="1207"/>
      <c r="E31" s="1028">
        <v>0</v>
      </c>
      <c r="F31" s="1949"/>
      <c r="G31" s="1949"/>
      <c r="H31" s="1949"/>
      <c r="I31" s="1949"/>
      <c r="J31" s="1950"/>
      <c r="K31" s="1947">
        <v>0</v>
      </c>
      <c r="L31" s="1948"/>
      <c r="N31" s="746"/>
      <c r="O31" s="1284"/>
      <c r="P31" s="1284"/>
      <c r="Q31" s="1284"/>
      <c r="R31" s="1284"/>
      <c r="S31" s="1284"/>
      <c r="T31" s="1284"/>
      <c r="U31" s="1284"/>
      <c r="V31" s="1284"/>
      <c r="W31" s="1284"/>
      <c r="X31" s="1285"/>
    </row>
    <row r="32" spans="1:24" x14ac:dyDescent="0.2">
      <c r="A32" s="168"/>
      <c r="B32" s="1717" t="s">
        <v>640</v>
      </c>
      <c r="C32" s="1718"/>
      <c r="D32" s="1719"/>
      <c r="E32" s="1028">
        <v>0</v>
      </c>
      <c r="F32" s="1949"/>
      <c r="G32" s="1949"/>
      <c r="H32" s="1949"/>
      <c r="I32" s="1949"/>
      <c r="J32" s="1950"/>
      <c r="K32" s="1947">
        <v>0</v>
      </c>
      <c r="L32" s="1948"/>
      <c r="N32" s="746"/>
      <c r="O32" s="1284"/>
      <c r="P32" s="1284"/>
      <c r="Q32" s="1284"/>
      <c r="R32" s="1284"/>
      <c r="S32" s="1284"/>
      <c r="T32" s="1284"/>
      <c r="U32" s="1284"/>
      <c r="V32" s="1284"/>
      <c r="W32" s="1284"/>
      <c r="X32" s="1285"/>
    </row>
    <row r="33" spans="1:24" x14ac:dyDescent="0.2">
      <c r="C33" s="1979" t="s">
        <v>376</v>
      </c>
      <c r="D33" s="1980"/>
      <c r="E33" s="954">
        <f>E16+E20+E27+E31+E32+E30</f>
        <v>0</v>
      </c>
      <c r="F33" s="1798"/>
      <c r="G33" s="1799"/>
      <c r="H33" s="1799" t="s">
        <v>376</v>
      </c>
      <c r="I33" s="1799"/>
      <c r="J33" s="1976"/>
      <c r="K33" s="1967">
        <f>K16+K21+K23+K27+K28+K22</f>
        <v>0</v>
      </c>
      <c r="L33" s="1968"/>
      <c r="N33" s="746"/>
      <c r="O33" s="1284"/>
      <c r="P33" s="1284"/>
      <c r="Q33" s="1284"/>
      <c r="R33" s="1284"/>
      <c r="S33" s="1284"/>
      <c r="T33" s="1284"/>
      <c r="U33" s="1284"/>
      <c r="V33" s="1284"/>
      <c r="W33" s="1284"/>
      <c r="X33" s="1285"/>
    </row>
    <row r="34" spans="1:24" ht="5.25" customHeight="1" x14ac:dyDescent="0.2">
      <c r="A34" s="168"/>
      <c r="C34" s="306"/>
      <c r="D34" s="306"/>
      <c r="E34" s="955"/>
      <c r="F34" s="306"/>
      <c r="G34" s="306"/>
      <c r="H34" s="306"/>
      <c r="I34" s="306"/>
      <c r="J34" s="64"/>
      <c r="K34" s="955"/>
      <c r="L34" s="101"/>
      <c r="N34" s="1344"/>
      <c r="O34" s="1291"/>
      <c r="P34" s="1291"/>
      <c r="Q34" s="1291"/>
      <c r="R34" s="1291"/>
      <c r="S34" s="1291"/>
      <c r="T34" s="1291"/>
      <c r="U34" s="1291"/>
      <c r="V34" s="1291"/>
      <c r="W34" s="1291"/>
      <c r="X34" s="1345"/>
    </row>
    <row r="35" spans="1:24" ht="12.75" customHeight="1" x14ac:dyDescent="0.2">
      <c r="A35" s="2"/>
      <c r="B35" s="1790" t="s">
        <v>377</v>
      </c>
      <c r="C35" s="1790"/>
      <c r="D35" s="1828"/>
      <c r="E35" s="956">
        <f>ROUND(E33-K33,0)</f>
        <v>0</v>
      </c>
      <c r="F35" s="1790" t="s">
        <v>483</v>
      </c>
      <c r="G35" s="1790"/>
      <c r="H35" s="1790"/>
      <c r="I35" s="1790"/>
      <c r="J35" s="1790"/>
      <c r="K35" s="1969">
        <f>K23+K27</f>
        <v>0</v>
      </c>
      <c r="L35" s="1970"/>
      <c r="N35" s="1340"/>
      <c r="O35" s="1286"/>
      <c r="P35" s="1286"/>
      <c r="Q35" s="1286"/>
      <c r="R35" s="1286"/>
      <c r="S35" s="1286"/>
      <c r="T35" s="1286"/>
      <c r="U35" s="1286"/>
      <c r="V35" s="1286"/>
      <c r="W35" s="1286"/>
      <c r="X35" s="1349"/>
    </row>
    <row r="36" spans="1:24" ht="12.75" customHeight="1" x14ac:dyDescent="0.2">
      <c r="C36" s="1383" t="str">
        <f>IF( E35&lt;&gt;0,"FÖRSÄKRA, att FINANSIERINGSBEHOV-FINANSIERING = 0!","")</f>
        <v/>
      </c>
      <c r="D36" s="1382"/>
      <c r="E36" s="2"/>
      <c r="F36" s="1379"/>
      <c r="G36" s="248"/>
      <c r="H36" s="248"/>
      <c r="I36" s="248"/>
      <c r="J36" s="445"/>
      <c r="N36" s="1344"/>
      <c r="O36" s="1291"/>
      <c r="P36" s="1291"/>
      <c r="Q36" s="1291"/>
      <c r="R36" s="1291"/>
      <c r="S36" s="1291"/>
      <c r="T36" s="1291"/>
      <c r="U36" s="1291"/>
      <c r="V36" s="1291"/>
      <c r="W36" s="1291"/>
      <c r="X36" s="1345"/>
    </row>
    <row r="37" spans="1:24" ht="13.5" customHeight="1" x14ac:dyDescent="0.2">
      <c r="B37" s="1421" t="s">
        <v>0</v>
      </c>
      <c r="C37" s="2004" t="s">
        <v>383</v>
      </c>
      <c r="D37" s="1422"/>
      <c r="E37" s="1422"/>
      <c r="F37" s="1961" t="s">
        <v>354</v>
      </c>
      <c r="G37" s="1961"/>
      <c r="H37" s="1961" t="s">
        <v>355</v>
      </c>
      <c r="I37" s="1961"/>
      <c r="J37" s="1961"/>
      <c r="K37" s="1961" t="s">
        <v>356</v>
      </c>
      <c r="L37" s="1961"/>
      <c r="N37" s="746"/>
      <c r="O37" s="1284"/>
      <c r="P37" s="1284"/>
      <c r="Q37" s="1284"/>
      <c r="R37" s="1284"/>
      <c r="S37" s="1284"/>
      <c r="T37" s="1284"/>
      <c r="U37" s="1284"/>
      <c r="V37" s="1284"/>
      <c r="W37" s="1284"/>
      <c r="X37" s="1285"/>
    </row>
    <row r="38" spans="1:24" ht="13.5" customHeight="1" x14ac:dyDescent="0.2">
      <c r="A38" s="168"/>
      <c r="B38" s="1421" t="s">
        <v>0</v>
      </c>
      <c r="C38" s="2005"/>
      <c r="D38" s="1422"/>
      <c r="E38" s="1422"/>
      <c r="F38" s="1990">
        <f>'FS1 Kostnader '!F12</f>
        <v>2023</v>
      </c>
      <c r="G38" s="1990"/>
      <c r="H38" s="1978">
        <f>F38+1</f>
        <v>2024</v>
      </c>
      <c r="I38" s="1978"/>
      <c r="J38" s="1978"/>
      <c r="K38" s="1978">
        <f>H38+1</f>
        <v>2025</v>
      </c>
      <c r="L38" s="1978"/>
      <c r="N38" s="746"/>
      <c r="O38" s="1284"/>
      <c r="P38" s="1284"/>
      <c r="Q38" s="1284"/>
      <c r="R38" s="1284"/>
      <c r="S38" s="1284"/>
      <c r="T38" s="1284"/>
      <c r="U38" s="1284"/>
      <c r="V38" s="1284"/>
      <c r="W38" s="1284"/>
      <c r="X38" s="1285"/>
    </row>
    <row r="39" spans="1:24" ht="13.5" customHeight="1" x14ac:dyDescent="0.2">
      <c r="A39" s="168"/>
      <c r="B39" s="1228"/>
      <c r="C39" s="1403" t="s">
        <v>384</v>
      </c>
      <c r="D39" s="1420"/>
      <c r="E39" s="1420"/>
      <c r="F39" s="1991">
        <f>'FS1 Kostnader '!F13</f>
        <v>12</v>
      </c>
      <c r="G39" s="1992"/>
      <c r="H39" s="1958">
        <f>'FS1 Kostnader '!G13</f>
        <v>12</v>
      </c>
      <c r="I39" s="1959"/>
      <c r="J39" s="1960"/>
      <c r="K39" s="1958">
        <f>'FS1 Kostnader '!H13</f>
        <v>12</v>
      </c>
      <c r="L39" s="1960"/>
      <c r="N39" s="746"/>
      <c r="O39" s="1284"/>
      <c r="P39" s="1284"/>
      <c r="Q39" s="1284"/>
      <c r="R39" s="1284"/>
      <c r="S39" s="1284"/>
      <c r="T39" s="1284"/>
      <c r="U39" s="1284"/>
      <c r="V39" s="1284"/>
      <c r="W39" s="1284"/>
      <c r="X39" s="1285"/>
    </row>
    <row r="40" spans="1:24" ht="13.5" thickBot="1" x14ac:dyDescent="0.25">
      <c r="B40" s="1262"/>
      <c r="C40" s="1197" t="s">
        <v>385</v>
      </c>
      <c r="D40" s="92"/>
      <c r="E40" s="92"/>
      <c r="F40" s="1212">
        <f>Lönekostnader!C11+'FS1 Kostnader '!F19</f>
        <v>3.0833333333333335</v>
      </c>
      <c r="G40" s="1263" t="s">
        <v>78</v>
      </c>
      <c r="H40" s="2006">
        <f>Lönekostnader!D11+'FS1 Kostnader '!G19</f>
        <v>3.0833333333333335</v>
      </c>
      <c r="I40" s="2006"/>
      <c r="J40" s="1263" t="s">
        <v>78</v>
      </c>
      <c r="K40" s="1212">
        <f>Lönekostnader!E11+'FS1 Kostnader '!H19</f>
        <v>3.0833333333333335</v>
      </c>
      <c r="L40" s="1263" t="s">
        <v>78</v>
      </c>
      <c r="N40" s="746"/>
      <c r="O40" s="1284"/>
      <c r="P40" s="1284"/>
      <c r="Q40" s="1284"/>
      <c r="R40" s="1284"/>
      <c r="S40" s="1284"/>
      <c r="T40" s="1284"/>
      <c r="U40" s="1284"/>
      <c r="V40" s="1284"/>
      <c r="W40" s="1284"/>
      <c r="X40" s="1285"/>
    </row>
    <row r="41" spans="1:24" ht="12" customHeight="1" x14ac:dyDescent="0.2">
      <c r="A41" s="168"/>
      <c r="B41" s="1264">
        <v>1</v>
      </c>
      <c r="C41" s="277" t="s">
        <v>386</v>
      </c>
      <c r="D41" s="278"/>
      <c r="E41" s="278"/>
      <c r="F41" s="1214">
        <f>'FS2 Försäljning '!C237</f>
        <v>0</v>
      </c>
      <c r="G41" s="1265"/>
      <c r="H41" s="1957">
        <f>'FS2 Försäljning '!D237</f>
        <v>0</v>
      </c>
      <c r="I41" s="1957"/>
      <c r="J41" s="1265"/>
      <c r="K41" s="1214">
        <f>'FS2 Försäljning '!E237</f>
        <v>0</v>
      </c>
      <c r="L41" s="1265"/>
      <c r="N41" s="746"/>
      <c r="O41" s="1284"/>
      <c r="P41" s="1284"/>
      <c r="Q41" s="1284"/>
      <c r="R41" s="1284"/>
      <c r="S41" s="1284"/>
      <c r="T41" s="1284"/>
      <c r="U41" s="1284"/>
      <c r="V41" s="1284"/>
      <c r="W41" s="1284"/>
      <c r="X41" s="1285"/>
    </row>
    <row r="42" spans="1:24" ht="12" customHeight="1" x14ac:dyDescent="0.2">
      <c r="A42" s="2"/>
      <c r="B42" s="970"/>
      <c r="C42" s="270" t="s">
        <v>387</v>
      </c>
      <c r="D42" s="271"/>
      <c r="E42" s="271"/>
      <c r="F42" s="1210">
        <f>-(F41-F43)</f>
        <v>0</v>
      </c>
      <c r="G42" s="881"/>
      <c r="H42" s="1973">
        <f>-(H41-H43)</f>
        <v>0</v>
      </c>
      <c r="I42" s="1973"/>
      <c r="J42" s="881"/>
      <c r="K42" s="1210">
        <f>-(K41-K43)</f>
        <v>0</v>
      </c>
      <c r="L42" s="881"/>
      <c r="N42" s="746"/>
      <c r="O42" s="1284"/>
      <c r="P42" s="1284"/>
      <c r="Q42" s="1284"/>
      <c r="R42" s="1284"/>
      <c r="S42" s="1284"/>
      <c r="T42" s="1284"/>
      <c r="U42" s="1284"/>
      <c r="V42" s="1284"/>
      <c r="W42" s="1284"/>
      <c r="X42" s="1285"/>
    </row>
    <row r="43" spans="1:24" ht="12" customHeight="1" x14ac:dyDescent="0.2">
      <c r="B43" s="1266">
        <v>2</v>
      </c>
      <c r="C43" s="272" t="s">
        <v>388</v>
      </c>
      <c r="D43" s="273"/>
      <c r="E43" s="273"/>
      <c r="F43" s="1213">
        <f>'FS2 Försäljning '!C238</f>
        <v>0</v>
      </c>
      <c r="G43" s="1267">
        <v>100</v>
      </c>
      <c r="H43" s="1944">
        <f>'FS2 Försäljning '!D238</f>
        <v>0</v>
      </c>
      <c r="I43" s="1944"/>
      <c r="J43" s="1267">
        <v>100</v>
      </c>
      <c r="K43" s="1213">
        <f>'FS2 Försäljning '!E238</f>
        <v>0</v>
      </c>
      <c r="L43" s="1267">
        <v>100</v>
      </c>
      <c r="N43" s="746"/>
      <c r="O43" s="1284"/>
      <c r="P43" s="1284"/>
      <c r="Q43" s="1284"/>
      <c r="R43" s="1284"/>
      <c r="S43" s="1284"/>
      <c r="T43" s="1284"/>
      <c r="U43" s="1284"/>
      <c r="V43" s="1284"/>
      <c r="W43" s="1284"/>
      <c r="X43" s="1285"/>
    </row>
    <row r="44" spans="1:24" ht="12" customHeight="1" x14ac:dyDescent="0.2">
      <c r="A44" s="168"/>
      <c r="B44" s="970">
        <v>3</v>
      </c>
      <c r="C44" s="270" t="s">
        <v>389</v>
      </c>
      <c r="D44" s="271"/>
      <c r="E44" s="271"/>
      <c r="F44" s="1210">
        <f>-('FS2 Försäljning '!C239+'FS1 Kostnader '!F62*'FS1 Kostnader '!F63*'FS1 Kostnader '!F64+'FS1 Kostnader '!F65+'FS1 Kostnader '!F67)</f>
        <v>0</v>
      </c>
      <c r="G44" s="1268">
        <f>IF(F$43=0,0,F44/F$43)*-100</f>
        <v>0</v>
      </c>
      <c r="H44" s="1973">
        <f>-('FS2 Försäljning '!D239+'FS1 Kostnader '!G62*'FS1 Kostnader '!G63*'FS1 Kostnader '!G64+'FS1 Kostnader '!G65+'FS1 Kostnader '!G67)</f>
        <v>0</v>
      </c>
      <c r="I44" s="1973">
        <f>-('FS2 Försäljning '!F239+'FS1 Kostnader '!I62*'FS1 Kostnader '!I63*'FS1 Kostnader '!I64+'FS1 Kostnader '!I65+'FS1 Kostnader '!I67)</f>
        <v>0</v>
      </c>
      <c r="J44" s="1268">
        <f>IF(H$43=0,0,H44/H$43)*-100</f>
        <v>0</v>
      </c>
      <c r="K44" s="1210">
        <f>-('FS2 Försäljning '!E239+'FS1 Kostnader '!H62*'FS1 Kostnader '!H63*'FS1 Kostnader '!H64+'FS1 Kostnader '!H65+'FS1 Kostnader '!H67)</f>
        <v>0</v>
      </c>
      <c r="L44" s="1268">
        <f>IF(K$43=0,0,K44/K$43)*-100</f>
        <v>0</v>
      </c>
      <c r="N44" s="746"/>
      <c r="O44" s="1284"/>
      <c r="P44" s="1284"/>
      <c r="Q44" s="1284"/>
      <c r="R44" s="1284"/>
      <c r="S44" s="1284"/>
      <c r="T44" s="1284"/>
      <c r="U44" s="1284"/>
      <c r="V44" s="1284"/>
      <c r="W44" s="1284"/>
      <c r="X44" s="1285"/>
    </row>
    <row r="45" spans="1:24" ht="12" customHeight="1" x14ac:dyDescent="0.2">
      <c r="B45" s="970">
        <v>4</v>
      </c>
      <c r="C45" s="270" t="s">
        <v>390</v>
      </c>
      <c r="D45" s="271"/>
      <c r="E45" s="271"/>
      <c r="F45" s="1210">
        <f>-('FS1 Kostnader '!F14+'FS1 Kostnader '!F28+'FS1 Kostnader '!F29+'FS1 Kostnader '!F36+'AT1 Palkat, alv'!H15+'AT1 Palkat, alv'!H31)</f>
        <v>-57015.535999999993</v>
      </c>
      <c r="G45" s="1268">
        <f t="shared" ref="G45:G54" si="0">IF(F$43=0,0,F45/F$43)*-100</f>
        <v>0</v>
      </c>
      <c r="H45" s="1973">
        <f>-('FS1 Kostnader '!G14+'FS1 Kostnader '!G28+'FS1 Kostnader '!G29+'FS1 Kostnader '!G36+'AT1 Palkat, alv'!S15+'AT1 Palkat, alv'!S31)</f>
        <v>-53459.148192000001</v>
      </c>
      <c r="I45" s="1973">
        <f>-('FS1 Kostnader '!F14+'FS1 Kostnader '!F28+'FS1 Kostnader '!F29+'FS1 Kostnader '!F36+'AT1 Palkat, alv'!S16+'AT1 Palkat, alv'!S31)</f>
        <v>-50499.200191999989</v>
      </c>
      <c r="J45" s="1268">
        <f t="shared" ref="J45:J54" si="1">IF(H$43=0,0,H45/H$43)*-100</f>
        <v>0</v>
      </c>
      <c r="K45" s="1210">
        <f>-('FS1 Kostnader '!H14+'FS1 Kostnader '!H28+'FS1 Kostnader '!H29+'FS1 Kostnader '!H36+'AT1 Palkat, alv'!U15+'AT1 Palkat, alv'!U31)</f>
        <v>-54528.331155840002</v>
      </c>
      <c r="L45" s="1268">
        <f t="shared" ref="L45:L54" si="2">IF(K$43=0,0,K45/K$43)*-100</f>
        <v>0</v>
      </c>
      <c r="M45" s="82"/>
      <c r="N45" s="1346"/>
      <c r="O45" s="1347"/>
      <c r="P45" s="1284"/>
      <c r="Q45" s="1284"/>
      <c r="R45" s="1284"/>
      <c r="S45" s="1284"/>
      <c r="T45" s="1284"/>
      <c r="U45" s="1284"/>
      <c r="V45" s="1284"/>
      <c r="W45" s="1284"/>
      <c r="X45" s="1285"/>
    </row>
    <row r="46" spans="1:24" ht="12" customHeight="1" x14ac:dyDescent="0.2">
      <c r="A46" s="168"/>
      <c r="B46" s="970">
        <v>5</v>
      </c>
      <c r="C46" s="270" t="s">
        <v>391</v>
      </c>
      <c r="D46" s="271"/>
      <c r="E46" s="271"/>
      <c r="F46" s="1210">
        <f>-('FS1 Kostnader '!F48+'FS1 Kostnader '!F59)</f>
        <v>0</v>
      </c>
      <c r="G46" s="1268">
        <f t="shared" si="0"/>
        <v>0</v>
      </c>
      <c r="H46" s="1973">
        <f>-('FS1 Kostnader '!G48+'FS1 Kostnader '!G59)</f>
        <v>0</v>
      </c>
      <c r="I46" s="1973">
        <f>-('FS1 Kostnader '!I48+'FS1 Kostnader '!I59)</f>
        <v>0</v>
      </c>
      <c r="J46" s="1268">
        <f t="shared" si="1"/>
        <v>0</v>
      </c>
      <c r="K46" s="1210">
        <f>-('FS1 Kostnader '!H48+'FS1 Kostnader '!H59)</f>
        <v>0</v>
      </c>
      <c r="L46" s="1268">
        <f t="shared" si="2"/>
        <v>0</v>
      </c>
      <c r="M46" s="84"/>
      <c r="N46" s="1346"/>
      <c r="O46" s="1347"/>
      <c r="P46" s="1284"/>
      <c r="Q46" s="1284"/>
      <c r="R46" s="1284"/>
      <c r="S46" s="1284"/>
      <c r="T46" s="1284"/>
      <c r="U46" s="1284"/>
      <c r="V46" s="1284"/>
      <c r="W46" s="1284"/>
      <c r="X46" s="1285"/>
    </row>
    <row r="47" spans="1:24" ht="12" customHeight="1" x14ac:dyDescent="0.2">
      <c r="A47" s="2"/>
      <c r="B47" s="970">
        <v>6</v>
      </c>
      <c r="C47" s="270" t="s">
        <v>392</v>
      </c>
      <c r="D47" s="271"/>
      <c r="E47" s="271"/>
      <c r="F47" s="1210">
        <f>-'FS1 Kostnader '!F88</f>
        <v>0</v>
      </c>
      <c r="G47" s="1268">
        <f t="shared" si="0"/>
        <v>0</v>
      </c>
      <c r="H47" s="1973">
        <f>-'FS1 Kostnader '!G88</f>
        <v>0</v>
      </c>
      <c r="I47" s="1973">
        <f>'FS1 Kostnader '!I88</f>
        <v>0</v>
      </c>
      <c r="J47" s="1268">
        <f t="shared" si="1"/>
        <v>0</v>
      </c>
      <c r="K47" s="1210">
        <f>-'FS1 Kostnader '!H88</f>
        <v>0</v>
      </c>
      <c r="L47" s="1268">
        <f t="shared" si="2"/>
        <v>0</v>
      </c>
      <c r="M47" s="84"/>
      <c r="N47" s="1346"/>
      <c r="O47" s="1347"/>
      <c r="P47" s="1284"/>
      <c r="Q47" s="1284"/>
      <c r="R47" s="1284"/>
      <c r="S47" s="1284"/>
      <c r="T47" s="1284"/>
      <c r="U47" s="1284"/>
      <c r="V47" s="1284"/>
      <c r="W47" s="1284"/>
      <c r="X47" s="1285"/>
    </row>
    <row r="48" spans="1:24" ht="12" customHeight="1" x14ac:dyDescent="0.2">
      <c r="B48" s="970">
        <v>7</v>
      </c>
      <c r="C48" s="270" t="s">
        <v>393</v>
      </c>
      <c r="D48" s="271"/>
      <c r="E48" s="271"/>
      <c r="F48" s="1210">
        <f>-('FS1 Kostnader '!F115+'FS1 Kostnader '!F114+'FS1 Kostnader '!F113+'FS1 Kostnader '!F110+'FS1 Kostnader '!F105+'FS1 Kostnader '!F101+'FS1 Kostnader '!F97+'FS1 Kostnader '!F94+'FS1 Kostnader '!F87+'FS1 Kostnader '!F82+'FS1 Kostnader '!F78+'FS1 Kostnader '!F73+'FS1 Kostnader '!F68+'FS1 Kostnader '!F66+'FS1 Kostnader '!F47-'FS1 Kostnader '!F48+'FS1 Kostnader '!F41+'FS1 Kostnader '!F116+'FS1 Kostnader '!F117)</f>
        <v>0</v>
      </c>
      <c r="G48" s="1268">
        <f>IF(F$43=0,0,F48/F$43)*-100</f>
        <v>0</v>
      </c>
      <c r="H48" s="1973">
        <f>-('FS1 Kostnader '!G115+'FS1 Kostnader '!G114+'FS1 Kostnader '!G113+'FS1 Kostnader '!G110+'FS1 Kostnader '!G105+'FS1 Kostnader '!G101+'FS1 Kostnader '!G97+'FS1 Kostnader '!G94+'FS1 Kostnader '!G87+'FS1 Kostnader '!G82+'FS1 Kostnader '!G78+'FS1 Kostnader '!G73+'FS1 Kostnader '!G68+'FS1 Kostnader '!G66+'FS1 Kostnader '!G47-'FS1 Kostnader '!G48+'FS1 Kostnader '!G41+'FS1 Kostnader '!G116+'FS1 Kostnader '!G117)</f>
        <v>0</v>
      </c>
      <c r="I48" s="1973" t="e">
        <f>-('FS1 Kostnader '!#REF!+'FS1 Kostnader '!I115+'FS1 Kostnader '!I114+'FS1 Kostnader '!I113+'FS1 Kostnader '!I110+'FS1 Kostnader '!I105+'FS1 Kostnader '!I101+'FS1 Kostnader '!I97+'FS1 Kostnader '!I94+'FS1 Kostnader '!I87+'FS1 Kostnader '!I82+'FS1 Kostnader '!I78+'FS1 Kostnader '!I73+'FS1 Kostnader '!I68+'FS1 Kostnader '!I61+'FS1 Kostnader '!I47-'FS1 Kostnader '!I48+'FS1 Kostnader '!I41)</f>
        <v>#REF!</v>
      </c>
      <c r="J48" s="1268">
        <f t="shared" si="1"/>
        <v>0</v>
      </c>
      <c r="K48" s="1210">
        <f>-('FS1 Kostnader '!H115+'FS1 Kostnader '!H114+'FS1 Kostnader '!H113+'FS1 Kostnader '!H110+'FS1 Kostnader '!H105+'FS1 Kostnader '!H101+'FS1 Kostnader '!H97+'FS1 Kostnader '!H94+'FS1 Kostnader '!H87+'FS1 Kostnader '!H82+'FS1 Kostnader '!H78+'FS1 Kostnader '!H73+'FS1 Kostnader '!H68+'FS1 Kostnader '!H66+'FS1 Kostnader '!H47-'FS1 Kostnader '!H48+'FS1 Kostnader '!H41+'FS1 Kostnader '!H116+'FS1 Kostnader '!H117)</f>
        <v>0</v>
      </c>
      <c r="L48" s="1268">
        <f t="shared" si="2"/>
        <v>0</v>
      </c>
      <c r="M48" s="84"/>
      <c r="N48" s="1346"/>
      <c r="O48" s="1347"/>
      <c r="P48" s="1284"/>
      <c r="Q48" s="1284"/>
      <c r="R48" s="1284"/>
      <c r="S48" s="1284"/>
      <c r="T48" s="1284"/>
      <c r="U48" s="1284"/>
      <c r="V48" s="1284"/>
      <c r="W48" s="1284"/>
      <c r="X48" s="1285"/>
    </row>
    <row r="49" spans="1:24" ht="12" customHeight="1" x14ac:dyDescent="0.2">
      <c r="A49" s="168"/>
      <c r="B49" s="1266">
        <v>8</v>
      </c>
      <c r="C49" s="272" t="s">
        <v>394</v>
      </c>
      <c r="D49" s="273"/>
      <c r="E49" s="273"/>
      <c r="F49" s="1213">
        <f>F43+F44+F45+F46+F47+F48</f>
        <v>-57015.535999999993</v>
      </c>
      <c r="G49" s="1269">
        <f>-(IF(F$43=0,0,F49/F$43)*-100)</f>
        <v>0</v>
      </c>
      <c r="H49" s="1944">
        <f>H43+H44+H45+H46+H47+H48</f>
        <v>-53459.148192000001</v>
      </c>
      <c r="I49" s="1944"/>
      <c r="J49" s="1269">
        <f>-(IF(H$43=0,0,H49/H$43)*-100)</f>
        <v>0</v>
      </c>
      <c r="K49" s="1213">
        <f>K43+K44+K45+K46+K47+K48</f>
        <v>-54528.331155840002</v>
      </c>
      <c r="L49" s="1269">
        <f>-(IF(K$43=0,0,K49/K$43)*-100)</f>
        <v>0</v>
      </c>
      <c r="M49" s="84"/>
      <c r="N49" s="1346"/>
      <c r="O49" s="1347"/>
      <c r="P49" s="1284"/>
      <c r="Q49" s="1284"/>
      <c r="R49" s="1284"/>
      <c r="S49" s="1284"/>
      <c r="T49" s="1284"/>
      <c r="U49" s="1284"/>
      <c r="V49" s="1284"/>
      <c r="W49" s="1284"/>
      <c r="X49" s="1285"/>
    </row>
    <row r="50" spans="1:24" ht="12" customHeight="1" x14ac:dyDescent="0.2">
      <c r="B50" s="970">
        <v>9</v>
      </c>
      <c r="C50" s="270" t="s">
        <v>395</v>
      </c>
      <c r="D50" s="271"/>
      <c r="E50" s="271"/>
      <c r="F50" s="1210">
        <f>-IF($F39=6,'YP Lainat ja avustukset'!B188,IF($F39=7,'YP Lainat ja avustukset'!C189,IF($F39=8,'YP Lainat ja avustukset'!D190,IF($F39=9,'YP Lainat ja avustukset'!E191,IF($F39=10,'YP Lainat ja avustukset'!F192,IF($F39=11,'YP Lainat ja avustukset'!G193,IF($F39=12,'YP Lainat ja avustukset'!H194,IF($F39=13,'YP Lainat ja avustukset'!I195,IF($F39=14,'YP Lainat ja avustukset'!J196,IF($F39=15,'YP Lainat ja avustukset'!K197,IF($F39=16,'YP Lainat ja avustukset'!L198,IF($F39=17,'YP Lainat ja avustukset'!M199,'YP Lainat ja avustukset'!N200))))))))))))</f>
        <v>0</v>
      </c>
      <c r="G50" s="1268">
        <f t="shared" si="0"/>
        <v>0</v>
      </c>
      <c r="H50" s="1757">
        <f>-IF($F39=6,'YP Lainat ja avustukset'!N188,IF($F39=7,'YP Lainat ja avustukset'!O189,IF($F39=8,'YP Lainat ja avustukset'!P190,IF($F39=9,'YP Lainat ja avustukset'!Q191,IF($F39=10,'YP Lainat ja avustukset'!R192,IF($F39=11,'YP Lainat ja avustukset'!S193,IF($F39=12,'YP Lainat ja avustukset'!T194,IF($F39=13,'YP Lainat ja avustukset'!U195,IF($F39=14,'YP Lainat ja avustukset'!V196,IF($F39=15,'YP Lainat ja avustukset'!W197,IF($F39=16,'YP Lainat ja avustukset'!X198,IF($F39=17,'YP Lainat ja avustukset'!Y199,'YP Lainat ja avustukset'!Z200))))))))))))</f>
        <v>0</v>
      </c>
      <c r="I50" s="1768">
        <f>-IF($F39=6,'Kauppa AT lainat ja avustukset'!E188,IF($F39=7,'Kauppa AT lainat ja avustukset'!F189,IF($F39=8,'Kauppa AT lainat ja avustukset'!G190,IF($F39=9,'Kauppa AT lainat ja avustukset'!H191,IF($F39=10,'Kauppa AT lainat ja avustukset'!I192,IF($F39=11,'Kauppa AT lainat ja avustukset'!J193,IF($F39=12,'Kauppa AT lainat ja avustukset'!K194,IF($F39=13,'Kauppa AT lainat ja avustukset'!L195,IF($F39=14,'Kauppa AT lainat ja avustukset'!M196,IF($F39=15,'Kauppa AT lainat ja avustukset'!N197,IF($F39=16,'Kauppa AT lainat ja avustukset'!O198,IF($F39=17,'Kauppa AT lainat ja avustukset'!P199,'Kauppa AT lainat ja avustukset'!Q200))))))))))))</f>
        <v>0</v>
      </c>
      <c r="J50" s="1268">
        <f t="shared" si="1"/>
        <v>0</v>
      </c>
      <c r="K50" s="1209">
        <f>-IF($F39=6,'YP Lainat ja avustukset'!Z188,IF($F39=7,'YP Lainat ja avustukset'!AA189,IF($F39=8,'YP Lainat ja avustukset'!AB190,IF($F39=9,'YP Lainat ja avustukset'!AC191,IF($F39=10,'YP Lainat ja avustukset'!AD192,IF($F39=11,'YP Lainat ja avustukset'!AE193,IF($F39=12,'YP Lainat ja avustukset'!AF194,IF($F39=13,'YP Lainat ja avustukset'!AG195,IF($F39=14,'YP Lainat ja avustukset'!AH196,IF($F39=15,'YP Lainat ja avustukset'!AI197,IF($F39=16,'YP Lainat ja avustukset'!AJ198,IF($F39=17,'YP Lainat ja avustukset'!AK199,'YP Lainat ja avustukset'!AL200))))))))))))</f>
        <v>0</v>
      </c>
      <c r="L50" s="1268">
        <f t="shared" si="2"/>
        <v>0</v>
      </c>
      <c r="M50" s="84"/>
      <c r="N50" s="1346"/>
      <c r="O50" s="1347"/>
      <c r="P50" s="1284"/>
      <c r="Q50" s="1284"/>
      <c r="R50" s="1284"/>
      <c r="S50" s="1284"/>
      <c r="T50" s="1284"/>
      <c r="U50" s="1284"/>
      <c r="V50" s="1284"/>
      <c r="W50" s="1284"/>
      <c r="X50" s="1285"/>
    </row>
    <row r="51" spans="1:24" ht="12" customHeight="1" x14ac:dyDescent="0.2">
      <c r="A51" s="168"/>
      <c r="B51" s="970">
        <v>10</v>
      </c>
      <c r="C51" s="270" t="s">
        <v>396</v>
      </c>
      <c r="D51" s="271"/>
      <c r="E51" s="271"/>
      <c r="F51" s="1210">
        <f>-IF(F52*(F49+F50+F54+0.5*'FS1 Kostnader '!F87)&lt;0,0,F52*(F49+F50+0.5*'FS1 Kostnader '!F87))</f>
        <v>0</v>
      </c>
      <c r="G51" s="1268">
        <f t="shared" si="0"/>
        <v>0</v>
      </c>
      <c r="H51" s="1757">
        <f>-IF(H52*(H49+H50+H54+0.5*'FS1 Kostnader '!G87)&lt;0,0,H52*(H49+H50+H54+0.5*'FS1 Kostnader '!G87))</f>
        <v>0</v>
      </c>
      <c r="I51" s="1758"/>
      <c r="J51" s="1268">
        <f t="shared" si="1"/>
        <v>0</v>
      </c>
      <c r="K51" s="1210">
        <f>-IF(K52*(K49+K50+K54+0.5*'FS1 Kostnader '!H87)&lt;0,0,K52*(K49+K50+K54+0.5*'FS1 Kostnader '!H87))</f>
        <v>0</v>
      </c>
      <c r="L51" s="1268">
        <f t="shared" si="2"/>
        <v>0</v>
      </c>
      <c r="N51" s="746"/>
      <c r="O51" s="1284"/>
      <c r="P51" s="1284"/>
      <c r="Q51" s="1284"/>
      <c r="R51" s="1284"/>
      <c r="S51" s="1284"/>
      <c r="T51" s="1284"/>
      <c r="U51" s="1284"/>
      <c r="V51" s="1284"/>
      <c r="W51" s="1284"/>
      <c r="X51" s="1285"/>
    </row>
    <row r="52" spans="1:24" ht="12" customHeight="1" x14ac:dyDescent="0.2">
      <c r="A52" s="168"/>
      <c r="B52" s="970"/>
      <c r="C52" s="1195" t="s">
        <v>397</v>
      </c>
      <c r="D52" s="271"/>
      <c r="E52" s="271"/>
      <c r="F52" s="1245">
        <v>0.2</v>
      </c>
      <c r="G52" s="1246"/>
      <c r="H52" s="1852">
        <v>0.2</v>
      </c>
      <c r="I52" s="1853"/>
      <c r="J52" s="1246"/>
      <c r="K52" s="1245">
        <v>0.2</v>
      </c>
      <c r="L52" s="1235"/>
      <c r="N52" s="746"/>
      <c r="O52" s="1284"/>
      <c r="P52" s="1284"/>
      <c r="Q52" s="1284"/>
      <c r="R52" s="1284"/>
      <c r="S52" s="1284"/>
      <c r="T52" s="1284"/>
      <c r="U52" s="1284"/>
      <c r="V52" s="1284"/>
      <c r="W52" s="1284"/>
      <c r="X52" s="1285"/>
    </row>
    <row r="53" spans="1:24" ht="12" customHeight="1" x14ac:dyDescent="0.2">
      <c r="A53" s="2"/>
      <c r="B53" s="1266">
        <v>11</v>
      </c>
      <c r="C53" s="272" t="s">
        <v>398</v>
      </c>
      <c r="D53" s="273"/>
      <c r="E53" s="273"/>
      <c r="F53" s="1213">
        <f>SUM(F49:F51)</f>
        <v>-57015.535999999993</v>
      </c>
      <c r="G53" s="1269">
        <f>-(IF(F$43=0,0,F53/F$43)*-100)</f>
        <v>0</v>
      </c>
      <c r="H53" s="1944">
        <f>SUM(H49:I51)</f>
        <v>-53459.148192000001</v>
      </c>
      <c r="I53" s="1944"/>
      <c r="J53" s="1269">
        <f>-(IF(H$43=0,0,H53/H$43)*-100)</f>
        <v>0</v>
      </c>
      <c r="K53" s="1213">
        <f>SUM(K49:K51)</f>
        <v>-54528.331155840002</v>
      </c>
      <c r="L53" s="1269">
        <f>-(IF(K$43=0,0,K53/K$43)*-100)</f>
        <v>0</v>
      </c>
      <c r="N53" s="746"/>
      <c r="O53" s="1284"/>
      <c r="P53" s="1284"/>
      <c r="Q53" s="1284"/>
      <c r="R53" s="1284"/>
      <c r="S53" s="1284"/>
      <c r="T53" s="1284"/>
      <c r="U53" s="1284"/>
      <c r="V53" s="1284"/>
      <c r="W53" s="1284"/>
      <c r="X53" s="1285"/>
    </row>
    <row r="54" spans="1:24" ht="12" customHeight="1" x14ac:dyDescent="0.2">
      <c r="B54" s="970">
        <v>12</v>
      </c>
      <c r="C54" s="270" t="s">
        <v>399</v>
      </c>
      <c r="D54" s="274"/>
      <c r="E54" s="274"/>
      <c r="F54" s="1210">
        <f>IF($E33=0,0,-('YP Lainat ja avustukset'!F5+'YP Lainat ja avustukset'!F9))</f>
        <v>0</v>
      </c>
      <c r="G54" s="1268">
        <f t="shared" si="0"/>
        <v>0</v>
      </c>
      <c r="H54" s="1973">
        <f>IF($E33=0,0,-('YP Lainat ja avustukset'!G5+'YP Lainat ja avustukset'!G9))</f>
        <v>0</v>
      </c>
      <c r="I54" s="1973"/>
      <c r="J54" s="1268">
        <f t="shared" si="1"/>
        <v>0</v>
      </c>
      <c r="K54" s="1210">
        <f>IF($E33=0,0,-('YP Lainat ja avustukset'!H5+'YP Lainat ja avustukset'!H9))</f>
        <v>0</v>
      </c>
      <c r="L54" s="1268">
        <f t="shared" si="2"/>
        <v>0</v>
      </c>
      <c r="N54" s="746"/>
      <c r="O54" s="1284"/>
      <c r="P54" s="1284"/>
      <c r="Q54" s="1284"/>
      <c r="R54" s="1284"/>
      <c r="S54" s="1284"/>
      <c r="T54" s="1284"/>
      <c r="U54" s="1284"/>
      <c r="V54" s="1284"/>
      <c r="W54" s="1284"/>
      <c r="X54" s="1285"/>
    </row>
    <row r="55" spans="1:24" ht="12" customHeight="1" x14ac:dyDescent="0.2">
      <c r="B55" s="970"/>
      <c r="C55" s="270" t="s">
        <v>400</v>
      </c>
      <c r="D55" s="274"/>
      <c r="E55" s="274"/>
      <c r="F55" s="1215">
        <v>7.0000000000000007E-2</v>
      </c>
      <c r="G55" s="1268" t="s">
        <v>0</v>
      </c>
      <c r="H55" s="1943">
        <v>7.0000000000000007E-2</v>
      </c>
      <c r="I55" s="1943"/>
      <c r="J55" s="1268" t="s">
        <v>0</v>
      </c>
      <c r="K55" s="1215">
        <v>7.0000000000000007E-2</v>
      </c>
      <c r="L55" s="1268" t="s">
        <v>0</v>
      </c>
      <c r="N55" s="746"/>
      <c r="O55" s="1284"/>
      <c r="P55" s="1284"/>
      <c r="Q55" s="1284"/>
      <c r="R55" s="1284"/>
      <c r="S55" s="1284"/>
      <c r="T55" s="1284"/>
      <c r="U55" s="1284"/>
      <c r="V55" s="1284"/>
      <c r="W55" s="1284"/>
      <c r="X55" s="1285"/>
    </row>
    <row r="56" spans="1:24" ht="12" customHeight="1" x14ac:dyDescent="0.2">
      <c r="B56" s="970"/>
      <c r="C56" s="270" t="s">
        <v>401</v>
      </c>
      <c r="D56" s="274"/>
      <c r="E56" s="274"/>
      <c r="F56" s="1215">
        <v>0.2</v>
      </c>
      <c r="G56" s="1268" t="s">
        <v>0</v>
      </c>
      <c r="H56" s="1943">
        <v>0.2</v>
      </c>
      <c r="I56" s="1943"/>
      <c r="J56" s="1268" t="s">
        <v>0</v>
      </c>
      <c r="K56" s="1215">
        <v>0.2</v>
      </c>
      <c r="L56" s="1268" t="s">
        <v>0</v>
      </c>
      <c r="N56" s="746"/>
      <c r="O56" s="1284"/>
      <c r="P56" s="1284"/>
      <c r="Q56" s="1284"/>
      <c r="R56" s="1284"/>
      <c r="S56" s="1284"/>
      <c r="T56" s="1284"/>
      <c r="U56" s="1284"/>
      <c r="V56" s="1284"/>
      <c r="W56" s="1284"/>
      <c r="X56" s="1285"/>
    </row>
    <row r="57" spans="1:24" ht="12" customHeight="1" x14ac:dyDescent="0.2">
      <c r="B57" s="1266">
        <v>13</v>
      </c>
      <c r="C57" s="272" t="s">
        <v>402</v>
      </c>
      <c r="D57" s="273"/>
      <c r="E57" s="273"/>
      <c r="F57" s="1213">
        <f>F53+F54</f>
        <v>-57015.535999999993</v>
      </c>
      <c r="G57" s="1269">
        <f>-(IF(F$43=0,0,F57/F$43)*-100)</f>
        <v>0</v>
      </c>
      <c r="H57" s="1944">
        <f>H53+H54</f>
        <v>-53459.148192000001</v>
      </c>
      <c r="I57" s="1944"/>
      <c r="J57" s="1269">
        <f>-(IF(H$43=0,0,H57/H$43)*-100)</f>
        <v>0</v>
      </c>
      <c r="K57" s="1213">
        <f>K53+K54</f>
        <v>-54528.331155840002</v>
      </c>
      <c r="L57" s="1269">
        <f>-(IF(K$43=0,0,K57/K$43)*-100)</f>
        <v>0</v>
      </c>
      <c r="N57" s="746"/>
      <c r="O57" s="1284"/>
      <c r="P57" s="1284"/>
      <c r="Q57" s="1284"/>
      <c r="R57" s="1284"/>
      <c r="S57" s="1284"/>
      <c r="T57" s="1284"/>
      <c r="U57" s="1284"/>
      <c r="V57" s="1284"/>
      <c r="W57" s="1284"/>
      <c r="X57" s="1285"/>
    </row>
    <row r="58" spans="1:24" ht="12" customHeight="1" x14ac:dyDescent="0.2">
      <c r="B58" s="1266">
        <v>14</v>
      </c>
      <c r="C58" s="272" t="s">
        <v>403</v>
      </c>
      <c r="D58" s="273"/>
      <c r="E58" s="273"/>
      <c r="F58" s="1213">
        <f>F57</f>
        <v>-57015.535999999993</v>
      </c>
      <c r="G58" s="1269">
        <f>-(IF(F43=0,0,F58/F$43)*-100)</f>
        <v>0</v>
      </c>
      <c r="H58" s="1944">
        <f t="shared" ref="H58:I58" si="3">H57</f>
        <v>-53459.148192000001</v>
      </c>
      <c r="I58" s="1944">
        <f t="shared" si="3"/>
        <v>0</v>
      </c>
      <c r="J58" s="1269">
        <f>-(IF(H43=0,0,H58/H$43)*-100)</f>
        <v>0</v>
      </c>
      <c r="K58" s="1213">
        <f>K57</f>
        <v>-54528.331155840002</v>
      </c>
      <c r="L58" s="1269">
        <f>-(IF(K43=0,0,K58/K$43)*-100)</f>
        <v>0</v>
      </c>
      <c r="N58" s="746"/>
      <c r="O58" s="1284"/>
      <c r="P58" s="1284"/>
      <c r="Q58" s="1284"/>
      <c r="R58" s="1284"/>
      <c r="S58" s="1284"/>
      <c r="T58" s="1284"/>
      <c r="U58" s="1284"/>
      <c r="V58" s="1284"/>
      <c r="W58" s="1284"/>
      <c r="X58" s="1285"/>
    </row>
    <row r="59" spans="1:24" ht="6" customHeight="1" x14ac:dyDescent="0.2">
      <c r="B59" s="441"/>
      <c r="C59" s="370"/>
      <c r="D59" s="370"/>
      <c r="E59" s="370"/>
      <c r="F59" s="446"/>
      <c r="G59" s="168"/>
      <c r="H59" s="447"/>
      <c r="I59" s="447"/>
      <c r="J59" s="168"/>
      <c r="K59" s="446"/>
      <c r="L59" s="168"/>
      <c r="N59" s="1344"/>
      <c r="O59" s="1291"/>
      <c r="P59" s="1291"/>
      <c r="Q59" s="1291"/>
      <c r="R59" s="1291"/>
      <c r="S59" s="1291"/>
      <c r="T59" s="1291"/>
      <c r="U59" s="1291"/>
      <c r="V59" s="1291"/>
      <c r="W59" s="1291"/>
      <c r="X59" s="1345"/>
    </row>
    <row r="60" spans="1:24" ht="25.5" customHeight="1" x14ac:dyDescent="0.2">
      <c r="B60" s="970">
        <v>15</v>
      </c>
      <c r="C60" s="1981" t="s">
        <v>659</v>
      </c>
      <c r="D60" s="1982"/>
      <c r="E60" s="1982"/>
      <c r="F60" s="1755">
        <f>IF($F39=6,'YP Lainat ja avustukset'!B175,IF($F39=7,'YP Lainat ja avustukset'!C176,IF($F39=8,'YP Lainat ja avustukset'!D177,IF($F39=9,'YP Lainat ja avustukset'!E178,IF($F39=10,'YP Lainat ja avustukset'!F179,IF($F39=11,'YP Lainat ja avustukset'!G180,IF($F39=12,'YP Lainat ja avustukset'!H181,IF($F39=13,'YP Lainat ja avustukset'!I182,IF($F39=14,'YP Lainat ja avustukset'!J183,IF($F39=15,'YP Lainat ja avustukset'!K184,IF($F39=16,'YP Lainat ja avustukset'!L185,IF($F39=17,'YP Lainat ja avustukset'!M186,'YP Lainat ja avustukset'!N187))))))))))))</f>
        <v>0</v>
      </c>
      <c r="G60" s="1756"/>
      <c r="H60" s="1755">
        <f>IF($F39=6,'YP Lainat ja avustukset'!N175,IF($F39=7,'YP Lainat ja avustukset'!O176,IF($F39=8,'YP Lainat ja avustukset'!P177,IF($F39=9,'YP Lainat ja avustukset'!Q178,IF($F39=10,'YP Lainat ja avustukset'!R179,IF($F39=11,'YP Lainat ja avustukset'!S180,IF($F39=12,'YP Lainat ja avustukset'!T181,IF($F39=13,'YP Lainat ja avustukset'!U182,IF($F39=14,'YP Lainat ja avustukset'!V183,IF($F39=15,'YP Lainat ja avustukset'!W184,IF($F39=16,'YP Lainat ja avustukset'!X185,IF($F39=17,'YP Lainat ja avustukset'!Y186,'YP Lainat ja avustukset'!Z187))))))))))))</f>
        <v>0</v>
      </c>
      <c r="I60" s="1769"/>
      <c r="J60" s="1756"/>
      <c r="K60" s="1769">
        <f>IF($F39=6,'YP Lainat ja avustukset'!Z175,IF($F39=7,'YP Lainat ja avustukset'!AA176,IF($F39=8,'YP Lainat ja avustukset'!AB177,IF($F39=9,'YP Lainat ja avustukset'!AC178,IF($F39=10,'YP Lainat ja avustukset'!AD179,IF($F39=11,'YP Lainat ja avustukset'!AE180,IF($F39=12,'YP Lainat ja avustukset'!AF181,IF($F39=13,'YP Lainat ja avustukset'!AG182,IF($F39=14,'YP Lainat ja avustukset'!AH183,IF($F39=15,'YP Lainat ja avustukset'!AI184,IF($F39=16,'YP Lainat ja avustukset'!AJ185,IF($F39=17,'YP Lainat ja avustukset'!AK186,'YP Lainat ja avustukset'!AL187))))))))))))</f>
        <v>0</v>
      </c>
      <c r="L60" s="1756"/>
      <c r="N60" s="746"/>
      <c r="O60" s="1284"/>
      <c r="P60" s="1284"/>
      <c r="Q60" s="1284"/>
      <c r="R60" s="1284"/>
      <c r="S60" s="1284"/>
      <c r="T60" s="1284"/>
      <c r="U60" s="1284"/>
      <c r="V60" s="1284"/>
      <c r="W60" s="1284"/>
      <c r="X60" s="1285"/>
    </row>
    <row r="61" spans="1:24" ht="6" customHeight="1" x14ac:dyDescent="0.2">
      <c r="B61" s="441"/>
      <c r="C61" s="370"/>
      <c r="D61" s="370"/>
      <c r="E61" s="370"/>
      <c r="F61" s="446"/>
      <c r="G61" s="446"/>
      <c r="H61" s="446"/>
      <c r="I61" s="446"/>
      <c r="J61" s="446"/>
      <c r="K61" s="169"/>
      <c r="L61" s="168"/>
      <c r="N61" s="1344"/>
      <c r="O61" s="1291"/>
      <c r="P61" s="1291"/>
      <c r="Q61" s="1291"/>
      <c r="R61" s="1291"/>
      <c r="S61" s="1291"/>
      <c r="T61" s="1291"/>
      <c r="U61" s="1291"/>
      <c r="V61" s="1291"/>
      <c r="W61" s="1291"/>
      <c r="X61" s="1345"/>
    </row>
    <row r="62" spans="1:24" ht="16.5" customHeight="1" x14ac:dyDescent="0.2">
      <c r="B62" s="1425"/>
      <c r="C62" s="1425" t="s">
        <v>756</v>
      </c>
      <c r="D62" s="1425"/>
      <c r="E62" s="1425"/>
      <c r="F62" s="1426"/>
      <c r="G62" s="1426"/>
      <c r="H62" s="1426"/>
      <c r="I62" s="1427"/>
      <c r="J62" s="1427"/>
      <c r="K62" s="1977"/>
      <c r="L62" s="1977"/>
      <c r="N62" s="746"/>
      <c r="O62" s="1284"/>
      <c r="P62" s="1284"/>
      <c r="Q62" s="1284"/>
      <c r="R62" s="1284"/>
      <c r="S62" s="1284"/>
      <c r="T62" s="1284"/>
      <c r="U62" s="1284"/>
      <c r="V62" s="1284"/>
      <c r="W62" s="1284"/>
      <c r="X62" s="1285"/>
    </row>
    <row r="63" spans="1:24" ht="12" customHeight="1" x14ac:dyDescent="0.2">
      <c r="B63" s="1576">
        <v>16</v>
      </c>
      <c r="C63" s="340" t="s">
        <v>820</v>
      </c>
      <c r="D63" s="341"/>
      <c r="E63" s="1423">
        <f>'FS1 Kostnader '!F47-'FS1 Kostnader '!F48</f>
        <v>0</v>
      </c>
      <c r="F63" s="639" t="s">
        <v>825</v>
      </c>
      <c r="G63" s="340"/>
      <c r="H63" s="340"/>
      <c r="I63" s="340"/>
      <c r="J63" s="1424"/>
      <c r="K63" s="1993">
        <f>'FS1 Kostnader '!F78+'FS1 Kostnader '!F82</f>
        <v>0</v>
      </c>
      <c r="L63" s="1993"/>
      <c r="N63" s="746"/>
      <c r="O63" s="1284"/>
      <c r="P63" s="1284"/>
      <c r="Q63" s="1284"/>
      <c r="R63" s="1284"/>
      <c r="S63" s="1284"/>
      <c r="T63" s="1284"/>
      <c r="U63" s="1284"/>
      <c r="V63" s="1284"/>
      <c r="W63" s="1284"/>
      <c r="X63" s="1285"/>
    </row>
    <row r="64" spans="1:24" ht="12" customHeight="1" x14ac:dyDescent="0.2">
      <c r="B64" s="1577">
        <v>17</v>
      </c>
      <c r="C64" s="271" t="s">
        <v>821</v>
      </c>
      <c r="D64" s="275"/>
      <c r="E64" s="1211">
        <f>'FS1 Kostnader '!F41</f>
        <v>0</v>
      </c>
      <c r="F64" s="366" t="s">
        <v>826</v>
      </c>
      <c r="G64" s="271"/>
      <c r="H64" s="271"/>
      <c r="I64" s="271"/>
      <c r="J64" s="276"/>
      <c r="K64" s="1973">
        <f>'FS1 Kostnader '!F97+'FS1 Kostnader '!F110+'FS1 Kostnader '!F113</f>
        <v>0</v>
      </c>
      <c r="L64" s="1973"/>
      <c r="N64" s="746"/>
      <c r="O64" s="1284"/>
      <c r="P64" s="1284"/>
      <c r="Q64" s="1284"/>
      <c r="R64" s="1284"/>
      <c r="S64" s="1284"/>
      <c r="T64" s="1284"/>
      <c r="U64" s="1284"/>
      <c r="V64" s="1284"/>
      <c r="W64" s="1284"/>
      <c r="X64" s="1285"/>
    </row>
    <row r="65" spans="2:24" ht="12" customHeight="1" x14ac:dyDescent="0.2">
      <c r="B65" s="1577">
        <v>18</v>
      </c>
      <c r="C65" s="271" t="s">
        <v>822</v>
      </c>
      <c r="D65" s="275"/>
      <c r="E65" s="1211">
        <f>'FS1 Kostnader '!F66</f>
        <v>0</v>
      </c>
      <c r="F65" s="366" t="s">
        <v>827</v>
      </c>
      <c r="G65" s="271"/>
      <c r="H65" s="271"/>
      <c r="I65" s="271"/>
      <c r="J65" s="276"/>
      <c r="K65" s="1973">
        <f>'FS1 Kostnader '!F101</f>
        <v>0</v>
      </c>
      <c r="L65" s="1973"/>
      <c r="N65" s="746"/>
      <c r="O65" s="1284"/>
      <c r="P65" s="1284"/>
      <c r="Q65" s="1284"/>
      <c r="R65" s="1284"/>
      <c r="S65" s="1284"/>
      <c r="T65" s="1284"/>
      <c r="U65" s="1284"/>
      <c r="V65" s="1284"/>
      <c r="W65" s="1284"/>
      <c r="X65" s="1285"/>
    </row>
    <row r="66" spans="2:24" ht="12" customHeight="1" x14ac:dyDescent="0.2">
      <c r="B66" s="1577">
        <v>19</v>
      </c>
      <c r="C66" s="271" t="s">
        <v>823</v>
      </c>
      <c r="D66" s="275"/>
      <c r="E66" s="1211">
        <f>'FS1 Kostnader '!F68</f>
        <v>0</v>
      </c>
      <c r="F66" s="1860" t="s">
        <v>828</v>
      </c>
      <c r="G66" s="1858"/>
      <c r="H66" s="1858"/>
      <c r="I66" s="1858"/>
      <c r="J66" s="1859"/>
      <c r="K66" s="1973">
        <f>'FS1 Kostnader '!F105</f>
        <v>0</v>
      </c>
      <c r="L66" s="1973"/>
      <c r="M66" s="754"/>
      <c r="N66" s="746"/>
      <c r="O66" s="1284"/>
      <c r="P66" s="1284"/>
      <c r="Q66" s="1284"/>
      <c r="R66" s="1284"/>
      <c r="S66" s="1284"/>
      <c r="T66" s="1284"/>
      <c r="U66" s="1284"/>
      <c r="V66" s="1284"/>
      <c r="W66" s="1284"/>
      <c r="X66" s="1285"/>
    </row>
    <row r="67" spans="2:24" ht="12" customHeight="1" x14ac:dyDescent="0.2">
      <c r="B67" s="1577">
        <v>20</v>
      </c>
      <c r="C67" s="1858" t="s">
        <v>824</v>
      </c>
      <c r="D67" s="1859"/>
      <c r="E67" s="1211">
        <f>'FS1 Kostnader '!F73</f>
        <v>0</v>
      </c>
      <c r="F67" s="1855" t="s">
        <v>829</v>
      </c>
      <c r="G67" s="1856"/>
      <c r="H67" s="1856"/>
      <c r="I67" s="1856"/>
      <c r="J67" s="1857"/>
      <c r="K67" s="1973">
        <f>'FS1 Kostnader '!F115+'FS1 Kostnader '!F114+'FS1 Kostnader '!F94+'FS1 Kostnader '!F87+'FS1 Kostnader '!F116+'FS1 Kostnader '!F117</f>
        <v>0</v>
      </c>
      <c r="L67" s="1973"/>
      <c r="M67" s="754"/>
      <c r="N67" s="1325"/>
      <c r="O67" s="1272"/>
      <c r="P67" s="1272"/>
      <c r="Q67" s="1272"/>
      <c r="R67" s="1272"/>
      <c r="S67" s="1272"/>
      <c r="T67" s="1272"/>
      <c r="U67" s="1272"/>
      <c r="V67" s="1272"/>
      <c r="W67" s="1272"/>
      <c r="X67" s="1293"/>
    </row>
    <row r="68" spans="2:24" x14ac:dyDescent="0.2">
      <c r="B68" s="61"/>
      <c r="C68" s="62"/>
      <c r="D68" s="62"/>
      <c r="E68" s="37"/>
      <c r="F68" s="61"/>
      <c r="G68" s="61"/>
      <c r="H68" s="61"/>
      <c r="I68" s="61"/>
      <c r="J68" s="37"/>
      <c r="K68" s="37"/>
    </row>
    <row r="69" spans="2:24" x14ac:dyDescent="0.2">
      <c r="B69" s="61"/>
      <c r="C69" s="62"/>
      <c r="D69" s="62"/>
      <c r="E69" s="37"/>
      <c r="F69" s="61"/>
      <c r="G69" s="61"/>
      <c r="H69" s="61"/>
      <c r="I69" s="61"/>
      <c r="J69" s="37"/>
      <c r="K69" s="37"/>
    </row>
    <row r="70" spans="2:24" ht="8.25" customHeight="1" x14ac:dyDescent="0.2">
      <c r="B70" s="61"/>
      <c r="C70" s="62"/>
      <c r="D70" s="62"/>
      <c r="E70" s="37"/>
      <c r="F70" s="61"/>
      <c r="G70" s="61"/>
      <c r="H70" s="61"/>
      <c r="I70" s="61"/>
      <c r="J70" s="37"/>
      <c r="K70" s="37"/>
    </row>
    <row r="71" spans="2:24" x14ac:dyDescent="0.2">
      <c r="B71" s="77" t="s">
        <v>246</v>
      </c>
      <c r="C71" s="305"/>
      <c r="D71" s="437"/>
      <c r="E71" s="53"/>
      <c r="F71" s="53"/>
      <c r="G71" s="304"/>
      <c r="H71" s="305"/>
      <c r="I71" s="305"/>
      <c r="J71" s="305"/>
      <c r="K71" s="53"/>
    </row>
    <row r="72" spans="2:24" x14ac:dyDescent="0.2">
      <c r="B72" s="1823">
        <f>B9</f>
        <v>0</v>
      </c>
      <c r="C72" s="1823"/>
      <c r="D72" s="1823"/>
      <c r="E72" s="1823"/>
      <c r="F72" s="1983"/>
      <c r="G72" s="1983"/>
      <c r="H72" s="1983"/>
      <c r="I72" s="1983"/>
      <c r="J72" s="1983"/>
      <c r="K72" s="1987"/>
      <c r="L72" s="1987"/>
    </row>
    <row r="73" spans="2:24" ht="7.5" customHeight="1" x14ac:dyDescent="0.2">
      <c r="B73" s="301"/>
      <c r="C73" s="301"/>
      <c r="D73" s="301"/>
      <c r="E73" s="301"/>
      <c r="F73" s="302"/>
      <c r="G73" s="302"/>
      <c r="H73" s="302"/>
      <c r="I73" s="302"/>
      <c r="J73" s="302"/>
      <c r="K73" s="303"/>
      <c r="L73" s="303"/>
      <c r="M73" s="50"/>
    </row>
    <row r="74" spans="2:24" ht="15.75" customHeight="1" x14ac:dyDescent="0.2">
      <c r="C74" s="522" t="s">
        <v>410</v>
      </c>
      <c r="D74" s="302"/>
      <c r="E74" s="302"/>
      <c r="F74" s="302"/>
      <c r="G74" s="302"/>
      <c r="H74" s="302"/>
      <c r="I74" s="302"/>
      <c r="J74" s="302"/>
      <c r="K74" s="303"/>
      <c r="L74" s="303"/>
      <c r="M74" s="50"/>
    </row>
    <row r="75" spans="2:24" ht="12.75" customHeight="1" x14ac:dyDescent="0.2">
      <c r="B75" s="301"/>
      <c r="C75" s="301"/>
      <c r="D75" s="301"/>
      <c r="E75" s="1077">
        <f>F38</f>
        <v>2023</v>
      </c>
      <c r="F75" s="1077">
        <f>H38</f>
        <v>2024</v>
      </c>
      <c r="G75" s="1863">
        <f>K38</f>
        <v>2025</v>
      </c>
      <c r="H75" s="1864"/>
      <c r="I75" s="302"/>
      <c r="J75" s="302"/>
      <c r="K75" s="303"/>
      <c r="L75" s="303"/>
      <c r="M75" s="50"/>
    </row>
    <row r="76" spans="2:24" ht="12.75" customHeight="1" x14ac:dyDescent="0.2">
      <c r="B76" s="301"/>
      <c r="C76" s="1820" t="s">
        <v>411</v>
      </c>
      <c r="D76" s="1821"/>
      <c r="E76" s="1001">
        <f>'FS1 Kostnader '!F123</f>
        <v>0</v>
      </c>
      <c r="F76" s="952">
        <f>'FS1 Kostnader '!G123</f>
        <v>0</v>
      </c>
      <c r="G76" s="1766">
        <f>'FS1 Kostnader '!H123</f>
        <v>0</v>
      </c>
      <c r="H76" s="1767"/>
      <c r="I76" s="425"/>
      <c r="J76" s="302"/>
      <c r="K76" s="303"/>
      <c r="L76" s="303"/>
      <c r="M76" s="50"/>
    </row>
    <row r="77" spans="2:24" ht="12.75" customHeight="1" x14ac:dyDescent="0.2">
      <c r="B77" s="301"/>
      <c r="C77" s="1821" t="s">
        <v>412</v>
      </c>
      <c r="D77" s="1822"/>
      <c r="E77" s="952">
        <f>'FS1 Kostnader '!F124</f>
        <v>-49171.639999999992</v>
      </c>
      <c r="F77" s="952">
        <f>'FS1 Kostnader '!G124</f>
        <v>-52131.588000000003</v>
      </c>
      <c r="G77" s="1766">
        <f>'FS1 Kostnader '!H124</f>
        <v>-53174.21976</v>
      </c>
      <c r="H77" s="1767"/>
      <c r="I77" s="425"/>
      <c r="J77" s="302"/>
      <c r="K77" s="303"/>
      <c r="L77" s="303"/>
      <c r="M77" s="50"/>
    </row>
    <row r="78" spans="2:24" ht="12.75" customHeight="1" x14ac:dyDescent="0.2">
      <c r="B78" s="301"/>
      <c r="C78" s="426" t="s">
        <v>413</v>
      </c>
      <c r="D78" s="427"/>
      <c r="E78" s="500">
        <f>'FS1 Kostnader '!F125</f>
        <v>0</v>
      </c>
      <c r="F78" s="500">
        <f>'FS1 Kostnader '!G125</f>
        <v>0</v>
      </c>
      <c r="G78" s="1770">
        <f>'FS1 Kostnader '!H125</f>
        <v>0</v>
      </c>
      <c r="H78" s="1771"/>
      <c r="I78" s="425"/>
      <c r="J78" s="302"/>
      <c r="K78" s="303"/>
      <c r="L78" s="303"/>
      <c r="M78" s="50"/>
    </row>
    <row r="79" spans="2:24" ht="12.75" customHeight="1" x14ac:dyDescent="0.2">
      <c r="B79" s="301"/>
      <c r="C79" s="1821" t="s">
        <v>414</v>
      </c>
      <c r="D79" s="1822"/>
      <c r="E79" s="952">
        <f>'FS1 Kostnader '!F127</f>
        <v>0</v>
      </c>
      <c r="F79" s="952">
        <f>'FS1 Kostnader '!G127</f>
        <v>0</v>
      </c>
      <c r="G79" s="1766">
        <f>'FS1 Kostnader '!H127</f>
        <v>0</v>
      </c>
      <c r="H79" s="1767"/>
      <c r="I79" s="425"/>
      <c r="J79" s="302"/>
      <c r="K79" s="303"/>
      <c r="L79" s="303"/>
      <c r="M79" s="50"/>
    </row>
    <row r="80" spans="2:24" ht="12.75" customHeight="1" x14ac:dyDescent="0.2">
      <c r="B80" s="301"/>
      <c r="C80" s="1820" t="s">
        <v>415</v>
      </c>
      <c r="D80" s="1821"/>
      <c r="E80" s="951">
        <f>F43/F40</f>
        <v>0</v>
      </c>
      <c r="F80" s="952">
        <f>H43/H40</f>
        <v>0</v>
      </c>
      <c r="G80" s="1827">
        <f>K43/K40</f>
        <v>0</v>
      </c>
      <c r="H80" s="1827"/>
      <c r="I80" s="425"/>
      <c r="J80" s="302"/>
      <c r="K80" s="303"/>
      <c r="L80" s="303"/>
      <c r="M80" s="50"/>
    </row>
    <row r="81" spans="1:13" ht="12.75" customHeight="1" x14ac:dyDescent="0.2">
      <c r="B81" s="301"/>
      <c r="C81" s="1820" t="s">
        <v>416</v>
      </c>
      <c r="D81" s="1821"/>
      <c r="E81" s="951">
        <f>-F45/F40</f>
        <v>18491.525189189186</v>
      </c>
      <c r="F81" s="952">
        <f>-H45/H40</f>
        <v>17338.102116324324</v>
      </c>
      <c r="G81" s="1827">
        <f>-K45/K40</f>
        <v>17684.864158650809</v>
      </c>
      <c r="H81" s="1827"/>
      <c r="I81" s="425"/>
      <c r="J81" s="302"/>
      <c r="K81" s="303"/>
      <c r="L81" s="303"/>
      <c r="M81" s="50"/>
    </row>
    <row r="82" spans="1:13" ht="6" customHeight="1" x14ac:dyDescent="0.2">
      <c r="B82" s="61"/>
      <c r="C82" s="8"/>
      <c r="D82" s="167"/>
      <c r="E82" s="334"/>
      <c r="F82" s="332"/>
      <c r="G82" s="75"/>
      <c r="H82" s="75"/>
      <c r="I82" s="167"/>
      <c r="J82" s="335"/>
      <c r="K82" s="336"/>
      <c r="L82" s="336"/>
    </row>
    <row r="83" spans="1:13" ht="17.25" customHeight="1" x14ac:dyDescent="0.2">
      <c r="C83" s="526" t="s">
        <v>608</v>
      </c>
      <c r="D83" s="167"/>
      <c r="E83" s="334"/>
      <c r="F83" s="332"/>
      <c r="G83" s="167"/>
      <c r="H83" s="167"/>
      <c r="I83" s="167"/>
      <c r="J83" s="335"/>
      <c r="K83" s="336"/>
      <c r="L83" s="336"/>
    </row>
    <row r="84" spans="1:13" ht="12" customHeight="1" x14ac:dyDescent="0.2">
      <c r="B84" s="61"/>
      <c r="C84" s="77" t="s">
        <v>417</v>
      </c>
      <c r="D84" s="167"/>
      <c r="E84" s="1079">
        <f>E75</f>
        <v>2023</v>
      </c>
      <c r="F84" s="1079">
        <f>F75</f>
        <v>2024</v>
      </c>
      <c r="G84" s="2007">
        <f>G75</f>
        <v>2025</v>
      </c>
      <c r="H84" s="2008"/>
      <c r="I84" s="167"/>
      <c r="J84" s="335"/>
      <c r="K84" s="336"/>
      <c r="L84" s="336"/>
    </row>
    <row r="85" spans="1:13" ht="12" customHeight="1" x14ac:dyDescent="0.2">
      <c r="B85" s="337"/>
      <c r="C85" s="339" t="s">
        <v>418</v>
      </c>
      <c r="D85" s="338"/>
      <c r="E85" s="1030">
        <v>1</v>
      </c>
      <c r="F85" s="1030">
        <v>1</v>
      </c>
      <c r="G85" s="1986">
        <v>1</v>
      </c>
      <c r="H85" s="1986"/>
      <c r="I85" s="338"/>
      <c r="J85" s="335"/>
      <c r="K85" s="336"/>
      <c r="L85" s="336"/>
    </row>
    <row r="86" spans="1:13" ht="12" customHeight="1" x14ac:dyDescent="0.2">
      <c r="A86" s="168"/>
      <c r="B86" s="337"/>
      <c r="C86" s="339" t="s">
        <v>419</v>
      </c>
      <c r="D86" s="338"/>
      <c r="E86" s="1030">
        <v>1</v>
      </c>
      <c r="F86" s="1030">
        <v>1</v>
      </c>
      <c r="G86" s="1986">
        <v>1</v>
      </c>
      <c r="H86" s="1986"/>
      <c r="I86" s="338"/>
      <c r="J86" s="335"/>
      <c r="K86" s="336"/>
      <c r="L86" s="336"/>
    </row>
    <row r="87" spans="1:13" ht="12" customHeight="1" x14ac:dyDescent="0.2">
      <c r="B87" s="337"/>
      <c r="C87" s="339" t="s">
        <v>420</v>
      </c>
      <c r="D87" s="338"/>
      <c r="E87" s="763">
        <f>E$85*F$43+E$86*(F$44+F$45+F$46+F$47+F$48)+F$50+F51</f>
        <v>-57015.535999999993</v>
      </c>
      <c r="F87" s="763">
        <f>F85*H$43+F86*(H$44+H$45+H$46+H$47+H$48)+H$50+H51</f>
        <v>-53459.148192000001</v>
      </c>
      <c r="G87" s="1787">
        <f>G$85*K$43+G$86*(K$44+K$45+K$46+K$47+K$48)+K$50+K51</f>
        <v>-54528.331155840002</v>
      </c>
      <c r="H87" s="1788"/>
      <c r="I87" s="338"/>
      <c r="J87" s="335"/>
      <c r="K87" s="336"/>
      <c r="L87" s="336"/>
    </row>
    <row r="88" spans="1:13" ht="17.649999999999999" customHeight="1" x14ac:dyDescent="0.2">
      <c r="A88" s="168"/>
      <c r="B88" s="61"/>
      <c r="C88" s="77" t="s">
        <v>421</v>
      </c>
      <c r="D88" s="167"/>
      <c r="E88" s="75"/>
      <c r="F88" s="386"/>
      <c r="G88" s="167"/>
      <c r="H88" s="167"/>
      <c r="I88" s="167"/>
      <c r="J88" s="335"/>
      <c r="K88" s="336"/>
      <c r="L88" s="336"/>
    </row>
    <row r="89" spans="1:13" ht="12" customHeight="1" x14ac:dyDescent="0.2">
      <c r="A89" s="2"/>
      <c r="B89" s="337"/>
      <c r="C89" s="339" t="s">
        <v>418</v>
      </c>
      <c r="D89" s="338"/>
      <c r="E89" s="1030">
        <v>1</v>
      </c>
      <c r="F89" s="1030">
        <v>1</v>
      </c>
      <c r="G89" s="1986">
        <v>1</v>
      </c>
      <c r="H89" s="1986"/>
      <c r="I89" s="338"/>
      <c r="J89" s="335"/>
      <c r="K89" s="336"/>
      <c r="L89" s="336"/>
    </row>
    <row r="90" spans="1:13" ht="12" customHeight="1" x14ac:dyDescent="0.2">
      <c r="A90" s="168"/>
      <c r="B90" s="337"/>
      <c r="C90" s="339" t="s">
        <v>419</v>
      </c>
      <c r="D90" s="338"/>
      <c r="E90" s="1030">
        <v>1</v>
      </c>
      <c r="F90" s="1030">
        <v>1</v>
      </c>
      <c r="G90" s="1986">
        <v>1</v>
      </c>
      <c r="H90" s="1986"/>
      <c r="I90" s="338"/>
      <c r="J90" s="335"/>
      <c r="K90" s="336"/>
      <c r="L90" s="336"/>
    </row>
    <row r="91" spans="1:13" ht="12" customHeight="1" x14ac:dyDescent="0.2">
      <c r="A91" s="168"/>
      <c r="B91" s="337"/>
      <c r="C91" s="339" t="s">
        <v>420</v>
      </c>
      <c r="D91" s="338"/>
      <c r="E91" s="763">
        <f>E89*F$43+E$90*(F$44+F$45+F$46+F$47+F$48)+F$50+F51</f>
        <v>-57015.535999999993</v>
      </c>
      <c r="F91" s="763">
        <f>F89*H$43+F90*(H$44+H$45+H$46+H$47+H$48)+H$50+H51</f>
        <v>-53459.148192000001</v>
      </c>
      <c r="G91" s="1787">
        <f>G$89*K$43+G$90*(K$44+K$45+K$46+K$47+K$48)+K$50+K51</f>
        <v>-54528.331155840002</v>
      </c>
      <c r="H91" s="1788"/>
      <c r="I91" s="338"/>
      <c r="J91" s="335"/>
      <c r="K91" s="336"/>
      <c r="L91" s="336"/>
    </row>
    <row r="92" spans="1:13" ht="6" customHeight="1" x14ac:dyDescent="0.2">
      <c r="A92" s="168"/>
      <c r="B92" s="301"/>
      <c r="D92" s="301"/>
      <c r="E92" s="301"/>
      <c r="F92" s="302"/>
      <c r="G92" s="302"/>
      <c r="H92" s="302"/>
      <c r="I92" s="302"/>
      <c r="J92" s="302"/>
      <c r="K92" s="303"/>
      <c r="L92" s="303"/>
    </row>
    <row r="93" spans="1:13" ht="15.75" customHeight="1" x14ac:dyDescent="0.2">
      <c r="A93" s="2"/>
      <c r="C93" s="523" t="s">
        <v>422</v>
      </c>
      <c r="D93" s="62"/>
      <c r="E93" s="37"/>
      <c r="F93" s="1997" t="s">
        <v>424</v>
      </c>
      <c r="G93" s="1997"/>
      <c r="H93" s="1808" t="s">
        <v>423</v>
      </c>
      <c r="I93" s="1808"/>
      <c r="J93" s="1808"/>
      <c r="K93" s="1808"/>
      <c r="L93" s="1808"/>
    </row>
    <row r="94" spans="1:13" ht="18" customHeight="1" x14ac:dyDescent="0.2">
      <c r="A94" s="2"/>
      <c r="C94" s="1985" t="s">
        <v>425</v>
      </c>
      <c r="D94" s="1985"/>
      <c r="E94" s="37"/>
      <c r="F94" s="1813"/>
      <c r="G94" s="1813"/>
      <c r="H94" s="1808"/>
      <c r="I94" s="1808"/>
      <c r="J94" s="1808"/>
      <c r="K94" s="1808"/>
      <c r="L94" s="1808"/>
    </row>
    <row r="95" spans="1:13" ht="12.75" customHeight="1" x14ac:dyDescent="0.2">
      <c r="A95" s="168"/>
      <c r="B95" s="136"/>
      <c r="C95" s="1998" t="s">
        <v>706</v>
      </c>
      <c r="D95" s="1999"/>
      <c r="E95" s="2000"/>
      <c r="F95" s="1994">
        <v>0</v>
      </c>
      <c r="G95" s="1994"/>
      <c r="H95" s="1814">
        <f>IF(F95=0,0,LOOKUP(F95,'Ekonomiska parametrar'!B7:B74,'Ekonomiska parametrar'!C7:C74))</f>
        <v>0</v>
      </c>
      <c r="I95" s="1815"/>
      <c r="J95" s="1815"/>
      <c r="K95" s="1815"/>
      <c r="L95" s="1995"/>
    </row>
    <row r="96" spans="1:13" x14ac:dyDescent="0.2">
      <c r="B96" s="533"/>
      <c r="C96" s="2001"/>
      <c r="D96" s="2002"/>
      <c r="E96" s="2003"/>
      <c r="F96" s="1994"/>
      <c r="G96" s="1994"/>
      <c r="H96" s="1816"/>
      <c r="I96" s="1817"/>
      <c r="J96" s="1817"/>
      <c r="K96" s="1817"/>
      <c r="L96" s="1996"/>
    </row>
    <row r="97" spans="1:12" ht="13.15" customHeight="1" x14ac:dyDescent="0.2">
      <c r="B97" s="643"/>
      <c r="C97" s="645"/>
      <c r="D97" s="645"/>
      <c r="E97" s="645"/>
      <c r="F97" s="646"/>
      <c r="G97" s="646"/>
      <c r="H97" s="644"/>
      <c r="I97" s="644"/>
      <c r="J97" s="644"/>
      <c r="K97" s="644"/>
      <c r="L97" s="644"/>
    </row>
    <row r="98" spans="1:12" x14ac:dyDescent="0.2">
      <c r="A98" s="168"/>
      <c r="C98" s="1"/>
      <c r="D98" s="1"/>
      <c r="E98" s="1"/>
      <c r="F98" s="1"/>
      <c r="G98" s="1"/>
      <c r="H98" s="1"/>
      <c r="I98" s="1"/>
      <c r="J98" s="1"/>
      <c r="K98" s="1"/>
      <c r="L98" s="1"/>
    </row>
    <row r="99" spans="1:12" x14ac:dyDescent="0.2">
      <c r="A99" s="2"/>
      <c r="C99" s="1"/>
      <c r="D99" s="1"/>
      <c r="E99" s="1"/>
      <c r="F99" s="1"/>
      <c r="G99" s="1"/>
      <c r="H99" s="1"/>
      <c r="I99" s="1"/>
      <c r="J99" s="1"/>
      <c r="K99" s="1"/>
      <c r="L99" s="1"/>
    </row>
    <row r="100" spans="1:12" x14ac:dyDescent="0.2">
      <c r="C100" s="8"/>
      <c r="D100" s="8"/>
      <c r="E100" s="8"/>
      <c r="F100" s="64"/>
      <c r="G100" s="8"/>
      <c r="H100" s="8"/>
      <c r="I100" s="8"/>
      <c r="J100" s="8"/>
      <c r="K100" s="8"/>
    </row>
    <row r="101" spans="1:12" x14ac:dyDescent="0.2">
      <c r="A101" s="168"/>
    </row>
    <row r="103" spans="1:12" x14ac:dyDescent="0.2">
      <c r="A103" s="168"/>
    </row>
    <row r="104" spans="1:12" x14ac:dyDescent="0.2">
      <c r="A104" s="2"/>
    </row>
    <row r="106" spans="1:12" x14ac:dyDescent="0.2">
      <c r="A106" s="168"/>
    </row>
    <row r="108" spans="1:12" x14ac:dyDescent="0.2">
      <c r="A108" s="168"/>
    </row>
    <row r="109" spans="1:12" x14ac:dyDescent="0.2">
      <c r="A109" s="2"/>
    </row>
    <row r="114" ht="23.65" customHeight="1" x14ac:dyDescent="0.2"/>
    <row r="132" spans="3:13" ht="15" x14ac:dyDescent="0.2">
      <c r="C132" s="1962" t="str">
        <f>IF(E35&lt;&gt;0,"KONTROLLERA, ATT CELL E35 = 0 (Finansieringsbehov - Finansiering, differens=0)","")</f>
        <v/>
      </c>
      <c r="D132" s="1962"/>
      <c r="E132" s="1962"/>
      <c r="F132" s="1962"/>
      <c r="G132" s="1962"/>
      <c r="H132" s="1962"/>
      <c r="I132" s="1962"/>
      <c r="J132" s="1962"/>
      <c r="K132" s="1962"/>
      <c r="L132" s="1962"/>
      <c r="M132" s="1962"/>
    </row>
    <row r="135" spans="3:13" x14ac:dyDescent="0.2">
      <c r="C135" s="379" t="s">
        <v>426</v>
      </c>
    </row>
    <row r="136" spans="3:13" x14ac:dyDescent="0.2">
      <c r="C136" s="108" t="s">
        <v>347</v>
      </c>
    </row>
    <row r="137" spans="3:13" x14ac:dyDescent="0.2">
      <c r="C137" s="108" t="s">
        <v>348</v>
      </c>
    </row>
  </sheetData>
  <sheetProtection algorithmName="SHA-512" hashValue="mpDKIV5hHbC80p/7CwgXSOsPECoPql3ScHmf/w1R3Vm8f9clV3L6KBgx2ZEdHBRknJVBonkc7Z0gan2RsKGLPA==" saltValue="jEpyb+2SRZAdfddV3hnR0g==" spinCount="100000" sheet="1" objects="1" scenarios="1"/>
  <mergeCells count="141">
    <mergeCell ref="F95:G96"/>
    <mergeCell ref="H95:L96"/>
    <mergeCell ref="G75:H75"/>
    <mergeCell ref="C76:D76"/>
    <mergeCell ref="F93:G94"/>
    <mergeCell ref="H93:L94"/>
    <mergeCell ref="G90:H90"/>
    <mergeCell ref="B27:D27"/>
    <mergeCell ref="C95:E96"/>
    <mergeCell ref="K65:L65"/>
    <mergeCell ref="K66:L66"/>
    <mergeCell ref="G91:H91"/>
    <mergeCell ref="G89:H89"/>
    <mergeCell ref="G85:H85"/>
    <mergeCell ref="C37:C38"/>
    <mergeCell ref="F33:G33"/>
    <mergeCell ref="B32:D32"/>
    <mergeCell ref="B28:D28"/>
    <mergeCell ref="H48:I48"/>
    <mergeCell ref="H40:I40"/>
    <mergeCell ref="B35:D35"/>
    <mergeCell ref="F27:J27"/>
    <mergeCell ref="F31:J31"/>
    <mergeCell ref="G84:H84"/>
    <mergeCell ref="Q3:S3"/>
    <mergeCell ref="C13:F14"/>
    <mergeCell ref="F23:J23"/>
    <mergeCell ref="C67:D67"/>
    <mergeCell ref="C94:D94"/>
    <mergeCell ref="G86:H86"/>
    <mergeCell ref="G87:H87"/>
    <mergeCell ref="K72:L72"/>
    <mergeCell ref="C79:D79"/>
    <mergeCell ref="B26:C26"/>
    <mergeCell ref="J6:L6"/>
    <mergeCell ref="O25:P25"/>
    <mergeCell ref="B23:C23"/>
    <mergeCell ref="B25:C25"/>
    <mergeCell ref="F38:G38"/>
    <mergeCell ref="H38:J38"/>
    <mergeCell ref="H37:J37"/>
    <mergeCell ref="H46:I46"/>
    <mergeCell ref="H47:I47"/>
    <mergeCell ref="F26:J26"/>
    <mergeCell ref="F39:G39"/>
    <mergeCell ref="K63:L63"/>
    <mergeCell ref="K64:L64"/>
    <mergeCell ref="H51:I51"/>
    <mergeCell ref="C60:E60"/>
    <mergeCell ref="F66:J66"/>
    <mergeCell ref="C80:D80"/>
    <mergeCell ref="F67:J67"/>
    <mergeCell ref="G79:H79"/>
    <mergeCell ref="H57:I57"/>
    <mergeCell ref="G76:H76"/>
    <mergeCell ref="F72:J72"/>
    <mergeCell ref="G81:H81"/>
    <mergeCell ref="B72:E72"/>
    <mergeCell ref="G78:H78"/>
    <mergeCell ref="B2:L2"/>
    <mergeCell ref="C81:D81"/>
    <mergeCell ref="G77:H77"/>
    <mergeCell ref="C77:D77"/>
    <mergeCell ref="G80:H80"/>
    <mergeCell ref="H42:I42"/>
    <mergeCell ref="H53:I53"/>
    <mergeCell ref="H54:I54"/>
    <mergeCell ref="F32:J32"/>
    <mergeCell ref="F29:J29"/>
    <mergeCell ref="K20:L20"/>
    <mergeCell ref="K18:L18"/>
    <mergeCell ref="K39:L39"/>
    <mergeCell ref="K37:L37"/>
    <mergeCell ref="K38:L38"/>
    <mergeCell ref="B22:C22"/>
    <mergeCell ref="B16:C16"/>
    <mergeCell ref="C33:D33"/>
    <mergeCell ref="H60:J60"/>
    <mergeCell ref="K60:L60"/>
    <mergeCell ref="H49:I49"/>
    <mergeCell ref="H44:I44"/>
    <mergeCell ref="H45:I45"/>
    <mergeCell ref="H50:I50"/>
    <mergeCell ref="C132:M132"/>
    <mergeCell ref="N3:O3"/>
    <mergeCell ref="K32:L32"/>
    <mergeCell ref="K29:L29"/>
    <mergeCell ref="K19:L19"/>
    <mergeCell ref="K26:L26"/>
    <mergeCell ref="K23:L23"/>
    <mergeCell ref="I21:J21"/>
    <mergeCell ref="B9:E9"/>
    <mergeCell ref="F9:J9"/>
    <mergeCell ref="B4:L4"/>
    <mergeCell ref="K33:L33"/>
    <mergeCell ref="K35:L35"/>
    <mergeCell ref="K25:L25"/>
    <mergeCell ref="F28:J28"/>
    <mergeCell ref="B29:D29"/>
    <mergeCell ref="B30:D30"/>
    <mergeCell ref="K67:L67"/>
    <mergeCell ref="K9:L9"/>
    <mergeCell ref="F35:J35"/>
    <mergeCell ref="H33:J33"/>
    <mergeCell ref="K62:L62"/>
    <mergeCell ref="F60:G60"/>
    <mergeCell ref="K27:L27"/>
    <mergeCell ref="H41:I41"/>
    <mergeCell ref="K21:L21"/>
    <mergeCell ref="K28:L28"/>
    <mergeCell ref="F22:G22"/>
    <mergeCell ref="F24:J24"/>
    <mergeCell ref="K24:L24"/>
    <mergeCell ref="K22:L22"/>
    <mergeCell ref="I22:J22"/>
    <mergeCell ref="H39:J39"/>
    <mergeCell ref="F37:G37"/>
    <mergeCell ref="H56:I56"/>
    <mergeCell ref="H52:I52"/>
    <mergeCell ref="H58:I58"/>
    <mergeCell ref="H55:I55"/>
    <mergeCell ref="H43:I43"/>
    <mergeCell ref="C11:E11"/>
    <mergeCell ref="B19:C19"/>
    <mergeCell ref="B20:C20"/>
    <mergeCell ref="K30:L30"/>
    <mergeCell ref="K31:L31"/>
    <mergeCell ref="F30:J30"/>
    <mergeCell ref="K15:L15"/>
    <mergeCell ref="K16:L16"/>
    <mergeCell ref="K17:L17"/>
    <mergeCell ref="F21:G21"/>
    <mergeCell ref="F17:G17"/>
    <mergeCell ref="F18:G18"/>
    <mergeCell ref="F19:G19"/>
    <mergeCell ref="I17:J17"/>
    <mergeCell ref="F25:J25"/>
    <mergeCell ref="B17:C17"/>
    <mergeCell ref="B18:C18"/>
    <mergeCell ref="B21:C21"/>
    <mergeCell ref="F20:G20"/>
  </mergeCells>
  <conditionalFormatting sqref="F53">
    <cfRule type="cellIs" dxfId="19" priority="19" operator="lessThan">
      <formula>$F$60</formula>
    </cfRule>
    <cfRule type="cellIs" dxfId="18" priority="20" operator="greaterThan">
      <formula>$F$60</formula>
    </cfRule>
  </conditionalFormatting>
  <conditionalFormatting sqref="H53:I53">
    <cfRule type="cellIs" dxfId="17" priority="17" operator="lessThan">
      <formula>$H$60</formula>
    </cfRule>
    <cfRule type="cellIs" dxfId="16" priority="18" operator="greaterThan">
      <formula>$H$60</formula>
    </cfRule>
  </conditionalFormatting>
  <conditionalFormatting sqref="K53">
    <cfRule type="cellIs" dxfId="15" priority="15" operator="lessThan">
      <formula>$K$60</formula>
    </cfRule>
    <cfRule type="cellIs" dxfId="14" priority="16" operator="greaterThan">
      <formula>$K$60</formula>
    </cfRule>
  </conditionalFormatting>
  <conditionalFormatting sqref="E78:H78">
    <cfRule type="cellIs" dxfId="13" priority="13" operator="greaterThan">
      <formula>0</formula>
    </cfRule>
    <cfRule type="cellIs" dxfId="12" priority="14" operator="lessThan">
      <formula>0</formula>
    </cfRule>
  </conditionalFormatting>
  <conditionalFormatting sqref="E87">
    <cfRule type="cellIs" dxfId="11" priority="6" operator="lessThan">
      <formula>$F$60</formula>
    </cfRule>
    <cfRule type="cellIs" dxfId="10" priority="12" operator="greaterThan">
      <formula>$F$60</formula>
    </cfRule>
  </conditionalFormatting>
  <conditionalFormatting sqref="F87">
    <cfRule type="cellIs" dxfId="9" priority="5" operator="lessThan">
      <formula>$H$60</formula>
    </cfRule>
    <cfRule type="cellIs" dxfId="8" priority="11" operator="greaterThan">
      <formula>$H$60</formula>
    </cfRule>
  </conditionalFormatting>
  <conditionalFormatting sqref="G87:H87">
    <cfRule type="cellIs" dxfId="7" priority="4" operator="lessThan">
      <formula>$K$60</formula>
    </cfRule>
    <cfRule type="cellIs" dxfId="6" priority="10" operator="greaterThan">
      <formula>$K$60</formula>
    </cfRule>
  </conditionalFormatting>
  <conditionalFormatting sqref="E91">
    <cfRule type="cellIs" dxfId="5" priority="3" operator="lessThan">
      <formula>$F$60</formula>
    </cfRule>
    <cfRule type="cellIs" dxfId="4" priority="9" operator="greaterThan">
      <formula>$F$60</formula>
    </cfRule>
  </conditionalFormatting>
  <conditionalFormatting sqref="F91">
    <cfRule type="cellIs" dxfId="3" priority="2" operator="lessThan">
      <formula>$H$60</formula>
    </cfRule>
    <cfRule type="cellIs" dxfId="2" priority="8" operator="greaterThan">
      <formula>$H$60</formula>
    </cfRule>
  </conditionalFormatting>
  <conditionalFormatting sqref="G91:H91">
    <cfRule type="cellIs" dxfId="1" priority="1" operator="lessThan">
      <formula>$K$60</formula>
    </cfRule>
    <cfRule type="cellIs" dxfId="0" priority="7" operator="greaterThan">
      <formula>$K$60</formula>
    </cfRule>
  </conditionalFormatting>
  <printOptions horizontalCentered="1"/>
  <pageMargins left="0.25" right="0.25" top="0.75" bottom="0.75" header="0.3" footer="0.3"/>
  <pageSetup paperSize="9" scale="90" orientation="portrait" verticalDpi="4" r:id="rId1"/>
  <headerFooter>
    <oddFooter xml:space="preserve">&amp;C&amp;8FT5 Nyföretagets ekonomiplan </oddFooter>
  </headerFooter>
  <rowBreaks count="1" manualBreakCount="1">
    <brk id="67" min="1" max="23" man="1"/>
  </rowBreaks>
  <colBreaks count="1" manualBreakCount="1">
    <brk id="12" min="3" max="134"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87"/>
  <sheetViews>
    <sheetView zoomScaleNormal="100" workbookViewId="0">
      <selection activeCell="H11" sqref="H11"/>
    </sheetView>
  </sheetViews>
  <sheetFormatPr defaultRowHeight="12.75" x14ac:dyDescent="0.2"/>
  <cols>
    <col min="2" max="2" width="9.140625" customWidth="1"/>
    <col min="3" max="3" width="42.140625" customWidth="1"/>
    <col min="4" max="4" width="7.140625" customWidth="1"/>
    <col min="5" max="5" width="10.5703125" bestFit="1" customWidth="1"/>
    <col min="8" max="8" width="9.140625" bestFit="1" customWidth="1"/>
    <col min="18" max="19" width="9.140625" bestFit="1" customWidth="1"/>
    <col min="20" max="20" width="12.28515625" customWidth="1"/>
    <col min="21" max="21" width="12.7109375" customWidth="1"/>
  </cols>
  <sheetData>
    <row r="1" spans="3:21" ht="13.5" thickBot="1" x14ac:dyDescent="0.25"/>
    <row r="2" spans="3:21" x14ac:dyDescent="0.2">
      <c r="C2" s="179" t="s">
        <v>84</v>
      </c>
      <c r="D2" s="180" t="s">
        <v>78</v>
      </c>
      <c r="E2" s="404" t="str">
        <f>Kassabudget!G6</f>
        <v>JAN</v>
      </c>
      <c r="F2" s="404" t="str">
        <f>Kassabudget!H6</f>
        <v>FEB</v>
      </c>
      <c r="G2" s="404" t="str">
        <f>Kassabudget!I6</f>
        <v>MARS</v>
      </c>
      <c r="H2" s="404" t="str">
        <f>Kassabudget!J6</f>
        <v>APR</v>
      </c>
      <c r="I2" s="404" t="str">
        <f>Kassabudget!K6</f>
        <v>MAJ</v>
      </c>
      <c r="J2" s="404" t="str">
        <f>Kassabudget!L6</f>
        <v>JUNI</v>
      </c>
      <c r="K2" s="404" t="str">
        <f>Kassabudget!M6</f>
        <v>JULI</v>
      </c>
      <c r="L2" s="404" t="str">
        <f>Kassabudget!N6</f>
        <v>AUG</v>
      </c>
      <c r="M2" s="404" t="str">
        <f>Kassabudget!O6</f>
        <v>SEP</v>
      </c>
      <c r="N2" s="404" t="str">
        <f>Kassabudget!P6</f>
        <v>OKT</v>
      </c>
      <c r="O2" s="404" t="str">
        <f>Kassabudget!Q6</f>
        <v>NOV</v>
      </c>
      <c r="P2" s="404" t="str">
        <f>Kassabudget!R6</f>
        <v>DEC</v>
      </c>
      <c r="Q2" s="181" t="s">
        <v>80</v>
      </c>
    </row>
    <row r="3" spans="3:21" x14ac:dyDescent="0.2">
      <c r="C3" s="182" t="s">
        <v>85</v>
      </c>
      <c r="D3" s="223"/>
      <c r="E3" s="183">
        <f>Kassabudget!G33</f>
        <v>2500</v>
      </c>
      <c r="F3" s="183">
        <f>Kassabudget!H33</f>
        <v>2500</v>
      </c>
      <c r="G3" s="183">
        <f>Kassabudget!I33</f>
        <v>2500</v>
      </c>
      <c r="H3" s="183">
        <f>Kassabudget!J33</f>
        <v>2500</v>
      </c>
      <c r="I3" s="183">
        <f>Kassabudget!K33</f>
        <v>2500</v>
      </c>
      <c r="J3" s="183">
        <f>Kassabudget!L33</f>
        <v>2500</v>
      </c>
      <c r="K3" s="183">
        <f>Kassabudget!M33</f>
        <v>2500</v>
      </c>
      <c r="L3" s="183">
        <f>Kassabudget!N33</f>
        <v>2500</v>
      </c>
      <c r="M3" s="183">
        <f>Kassabudget!O33</f>
        <v>2500</v>
      </c>
      <c r="N3" s="183">
        <f>Kassabudget!P33</f>
        <v>2500</v>
      </c>
      <c r="O3" s="183">
        <f>Kassabudget!Q33</f>
        <v>2500</v>
      </c>
      <c r="P3" s="183">
        <f>Kassabudget!R33</f>
        <v>2500</v>
      </c>
      <c r="Q3" s="187">
        <f t="shared" ref="Q3:Q9" si="0">SUM(E3:P3)</f>
        <v>30000</v>
      </c>
    </row>
    <row r="4" spans="3:21" x14ac:dyDescent="0.2">
      <c r="C4" s="182" t="s">
        <v>86</v>
      </c>
      <c r="D4" s="230"/>
      <c r="E4" s="183">
        <f>Kassabudget!G34</f>
        <v>129</v>
      </c>
      <c r="F4" s="183">
        <f>Kassabudget!H34</f>
        <v>129</v>
      </c>
      <c r="G4" s="183">
        <f>Kassabudget!I34</f>
        <v>129</v>
      </c>
      <c r="H4" s="183">
        <f>Kassabudget!J34</f>
        <v>129</v>
      </c>
      <c r="I4" s="183">
        <f>Kassabudget!K34</f>
        <v>129</v>
      </c>
      <c r="J4" s="183">
        <f>Kassabudget!L34</f>
        <v>129</v>
      </c>
      <c r="K4" s="183">
        <f>Kassabudget!M34</f>
        <v>129</v>
      </c>
      <c r="L4" s="183">
        <f>Kassabudget!N34</f>
        <v>129</v>
      </c>
      <c r="M4" s="183">
        <f>Kassabudget!O34</f>
        <v>129</v>
      </c>
      <c r="N4" s="183">
        <f>Kassabudget!P34</f>
        <v>129</v>
      </c>
      <c r="O4" s="183">
        <f>Kassabudget!Q34</f>
        <v>129</v>
      </c>
      <c r="P4" s="183">
        <f>Kassabudget!R34</f>
        <v>129</v>
      </c>
      <c r="Q4" s="187">
        <f t="shared" si="0"/>
        <v>1548</v>
      </c>
    </row>
    <row r="5" spans="3:21" x14ac:dyDescent="0.2">
      <c r="C5" s="182" t="s">
        <v>87</v>
      </c>
      <c r="D5" s="230"/>
      <c r="E5" s="183">
        <f t="shared" ref="E5:P5" si="1">SUM(E3:E4)</f>
        <v>2629</v>
      </c>
      <c r="F5" s="183">
        <f t="shared" si="1"/>
        <v>2629</v>
      </c>
      <c r="G5" s="183">
        <f t="shared" si="1"/>
        <v>2629</v>
      </c>
      <c r="H5" s="183">
        <f t="shared" si="1"/>
        <v>2629</v>
      </c>
      <c r="I5" s="183">
        <f t="shared" si="1"/>
        <v>2629</v>
      </c>
      <c r="J5" s="183">
        <f t="shared" si="1"/>
        <v>2629</v>
      </c>
      <c r="K5" s="183">
        <f t="shared" si="1"/>
        <v>2629</v>
      </c>
      <c r="L5" s="183">
        <f t="shared" si="1"/>
        <v>2629</v>
      </c>
      <c r="M5" s="183">
        <f t="shared" si="1"/>
        <v>2629</v>
      </c>
      <c r="N5" s="183">
        <f t="shared" si="1"/>
        <v>2629</v>
      </c>
      <c r="O5" s="183">
        <f t="shared" si="1"/>
        <v>2629</v>
      </c>
      <c r="P5" s="183">
        <f t="shared" si="1"/>
        <v>2629</v>
      </c>
      <c r="Q5" s="187">
        <f t="shared" si="0"/>
        <v>31548</v>
      </c>
    </row>
    <row r="6" spans="3:21" x14ac:dyDescent="0.2">
      <c r="C6" s="182" t="s">
        <v>88</v>
      </c>
      <c r="D6" s="231">
        <f>Kassabudget!F33</f>
        <v>29</v>
      </c>
      <c r="E6" s="183">
        <f t="shared" ref="E6:P6" si="2">E5*$D6%</f>
        <v>762.41</v>
      </c>
      <c r="F6" s="183">
        <f t="shared" si="2"/>
        <v>762.41</v>
      </c>
      <c r="G6" s="183">
        <f t="shared" si="2"/>
        <v>762.41</v>
      </c>
      <c r="H6" s="183">
        <f t="shared" si="2"/>
        <v>762.41</v>
      </c>
      <c r="I6" s="183">
        <f t="shared" si="2"/>
        <v>762.41</v>
      </c>
      <c r="J6" s="183">
        <f t="shared" si="2"/>
        <v>762.41</v>
      </c>
      <c r="K6" s="183">
        <f t="shared" si="2"/>
        <v>762.41</v>
      </c>
      <c r="L6" s="183">
        <f t="shared" si="2"/>
        <v>762.41</v>
      </c>
      <c r="M6" s="183">
        <f t="shared" si="2"/>
        <v>762.41</v>
      </c>
      <c r="N6" s="183">
        <f t="shared" si="2"/>
        <v>762.41</v>
      </c>
      <c r="O6" s="183">
        <f t="shared" si="2"/>
        <v>762.41</v>
      </c>
      <c r="P6" s="183">
        <f t="shared" si="2"/>
        <v>762.41</v>
      </c>
      <c r="Q6" s="187">
        <f t="shared" si="0"/>
        <v>9148.92</v>
      </c>
    </row>
    <row r="7" spans="3:21" x14ac:dyDescent="0.2">
      <c r="C7" s="182" t="s">
        <v>89</v>
      </c>
      <c r="D7" s="232">
        <v>0</v>
      </c>
      <c r="E7" s="183">
        <f t="shared" ref="E7:P7" si="3">E5*$D7%</f>
        <v>0</v>
      </c>
      <c r="F7" s="183">
        <f t="shared" si="3"/>
        <v>0</v>
      </c>
      <c r="G7" s="183">
        <f t="shared" si="3"/>
        <v>0</v>
      </c>
      <c r="H7" s="183">
        <f t="shared" si="3"/>
        <v>0</v>
      </c>
      <c r="I7" s="183">
        <f t="shared" si="3"/>
        <v>0</v>
      </c>
      <c r="J7" s="183">
        <f t="shared" si="3"/>
        <v>0</v>
      </c>
      <c r="K7" s="183">
        <f t="shared" si="3"/>
        <v>0</v>
      </c>
      <c r="L7" s="183">
        <f t="shared" si="3"/>
        <v>0</v>
      </c>
      <c r="M7" s="183">
        <f t="shared" si="3"/>
        <v>0</v>
      </c>
      <c r="N7" s="183">
        <f t="shared" si="3"/>
        <v>0</v>
      </c>
      <c r="O7" s="183">
        <f t="shared" si="3"/>
        <v>0</v>
      </c>
      <c r="P7" s="183">
        <f t="shared" si="3"/>
        <v>0</v>
      </c>
      <c r="Q7" s="187">
        <f t="shared" si="0"/>
        <v>0</v>
      </c>
    </row>
    <row r="8" spans="3:21" ht="13.5" thickBot="1" x14ac:dyDescent="0.25">
      <c r="C8" s="185" t="s">
        <v>90</v>
      </c>
      <c r="D8" s="429" t="s">
        <v>0</v>
      </c>
      <c r="E8" s="186">
        <f t="shared" ref="E8:P8" si="4">E3-E6-E7</f>
        <v>1737.5900000000001</v>
      </c>
      <c r="F8" s="186">
        <f t="shared" si="4"/>
        <v>1737.5900000000001</v>
      </c>
      <c r="G8" s="186">
        <f t="shared" si="4"/>
        <v>1737.5900000000001</v>
      </c>
      <c r="H8" s="186">
        <f t="shared" si="4"/>
        <v>1737.5900000000001</v>
      </c>
      <c r="I8" s="186">
        <f t="shared" si="4"/>
        <v>1737.5900000000001</v>
      </c>
      <c r="J8" s="186">
        <f t="shared" si="4"/>
        <v>1737.5900000000001</v>
      </c>
      <c r="K8" s="186">
        <f t="shared" si="4"/>
        <v>1737.5900000000001</v>
      </c>
      <c r="L8" s="186">
        <f t="shared" si="4"/>
        <v>1737.5900000000001</v>
      </c>
      <c r="M8" s="186">
        <f t="shared" si="4"/>
        <v>1737.5900000000001</v>
      </c>
      <c r="N8" s="186">
        <f t="shared" si="4"/>
        <v>1737.5900000000001</v>
      </c>
      <c r="O8" s="186">
        <f t="shared" si="4"/>
        <v>1737.5900000000001</v>
      </c>
      <c r="P8" s="186">
        <f t="shared" si="4"/>
        <v>1737.5900000000001</v>
      </c>
      <c r="Q8" s="187">
        <f t="shared" si="0"/>
        <v>20851.080000000002</v>
      </c>
    </row>
    <row r="9" spans="3:21" ht="13.5" thickBot="1" x14ac:dyDescent="0.25">
      <c r="C9" s="185" t="s">
        <v>91</v>
      </c>
      <c r="D9" s="685">
        <f>D6+1.34</f>
        <v>30.34</v>
      </c>
      <c r="E9" s="188">
        <f t="shared" ref="E9:P9" si="5">E5*$D9%</f>
        <v>797.6386</v>
      </c>
      <c r="F9" s="188">
        <f t="shared" si="5"/>
        <v>797.6386</v>
      </c>
      <c r="G9" s="188">
        <f t="shared" si="5"/>
        <v>797.6386</v>
      </c>
      <c r="H9" s="188">
        <f t="shared" si="5"/>
        <v>797.6386</v>
      </c>
      <c r="I9" s="188">
        <f t="shared" si="5"/>
        <v>797.6386</v>
      </c>
      <c r="J9" s="188">
        <f t="shared" si="5"/>
        <v>797.6386</v>
      </c>
      <c r="K9" s="188">
        <f t="shared" si="5"/>
        <v>797.6386</v>
      </c>
      <c r="L9" s="188">
        <f t="shared" si="5"/>
        <v>797.6386</v>
      </c>
      <c r="M9" s="188">
        <f t="shared" si="5"/>
        <v>797.6386</v>
      </c>
      <c r="N9" s="188">
        <f t="shared" si="5"/>
        <v>797.6386</v>
      </c>
      <c r="O9" s="188">
        <f t="shared" si="5"/>
        <v>797.6386</v>
      </c>
      <c r="P9" s="188">
        <f t="shared" si="5"/>
        <v>797.6386</v>
      </c>
      <c r="Q9" s="189">
        <f t="shared" si="0"/>
        <v>9571.6632000000009</v>
      </c>
      <c r="R9" s="2011">
        <f>'K3 Resultat'!H38</f>
        <v>2024</v>
      </c>
      <c r="S9" s="2012"/>
      <c r="T9" s="2011">
        <f>'K3 Resultat'!K38</f>
        <v>2025</v>
      </c>
      <c r="U9" s="2012"/>
    </row>
    <row r="10" spans="3:21" x14ac:dyDescent="0.2">
      <c r="C10" s="452" t="s">
        <v>149</v>
      </c>
      <c r="D10" s="482"/>
      <c r="E10" s="2009" t="s">
        <v>172</v>
      </c>
      <c r="F10" s="2010"/>
      <c r="G10" s="488">
        <f>'K3 Resultat'!F38</f>
        <v>2023</v>
      </c>
      <c r="H10" s="2009" t="s">
        <v>173</v>
      </c>
      <c r="I10" s="2010"/>
      <c r="J10" s="488">
        <f>'FS3 Resultat'!F38</f>
        <v>2023</v>
      </c>
      <c r="K10" s="490"/>
      <c r="L10" s="454"/>
      <c r="M10" s="454"/>
      <c r="N10" s="454"/>
      <c r="O10" s="454"/>
      <c r="P10" s="454"/>
      <c r="Q10" s="455"/>
      <c r="R10" s="456" t="s">
        <v>174</v>
      </c>
      <c r="S10" s="457" t="s">
        <v>175</v>
      </c>
      <c r="T10" s="456" t="s">
        <v>174</v>
      </c>
      <c r="U10" s="457" t="s">
        <v>175</v>
      </c>
    </row>
    <row r="11" spans="3:21" x14ac:dyDescent="0.2">
      <c r="C11" s="458" t="s">
        <v>150</v>
      </c>
      <c r="D11" s="484"/>
      <c r="E11" s="489">
        <f>'K1 Kostnader'!F14+'K1 Kostnader'!F17*'K1 Kostnader'!F18</f>
        <v>31548</v>
      </c>
      <c r="F11" s="460"/>
      <c r="G11" s="479"/>
      <c r="H11" s="491">
        <f>'FS1 Kostnader '!F14+'FS1 Kostnader '!F17*'FS1 Kostnader '!F18</f>
        <v>0</v>
      </c>
      <c r="I11" s="460"/>
      <c r="J11" s="479"/>
      <c r="K11" s="486"/>
      <c r="L11" s="460"/>
      <c r="M11" s="460"/>
      <c r="N11" s="460"/>
      <c r="O11" s="460"/>
      <c r="P11" s="460"/>
      <c r="Q11" s="461"/>
      <c r="R11" s="459">
        <f>'K1 Kostnader'!G14+'K1 Kostnader'!G17*'K1 Kostnader'!G18</f>
        <v>37598.375</v>
      </c>
      <c r="S11" s="464">
        <f>'FS1 Kostnader '!G14+'FS1 Kostnader '!G17*'FS1 Kostnader '!G18</f>
        <v>0</v>
      </c>
      <c r="T11" s="459">
        <f>'K1 Kostnader'!H14+'K1 Kostnader'!H17*'K1 Kostnader'!H18</f>
        <v>43038.826249999998</v>
      </c>
      <c r="U11" s="464">
        <f>'FS1 Kostnader '!H14+'FS1 Kostnader '!H17*'FS1 Kostnader '!H18</f>
        <v>0</v>
      </c>
    </row>
    <row r="12" spans="3:21" x14ac:dyDescent="0.2">
      <c r="C12" s="458" t="s">
        <v>151</v>
      </c>
      <c r="D12" s="532">
        <v>0</v>
      </c>
      <c r="E12" s="480">
        <f>(E11/12/25)*30+30*0.5*(E11/12/25)</f>
        <v>4732.2</v>
      </c>
      <c r="F12" s="460"/>
      <c r="G12" s="479"/>
      <c r="H12" s="480">
        <f>(H11/12/25)*30+30*0.5*(H11/12/25)</f>
        <v>0</v>
      </c>
      <c r="I12" s="460"/>
      <c r="J12" s="479"/>
      <c r="K12" s="486"/>
      <c r="L12" s="460"/>
      <c r="M12" s="460"/>
      <c r="N12" s="460"/>
      <c r="O12" s="460"/>
      <c r="P12" s="460"/>
      <c r="Q12" s="461"/>
      <c r="R12" s="480">
        <f>(R11/12.5/25)*30+30*0.5*(R11/12.5/25)</f>
        <v>5414.1659999999993</v>
      </c>
      <c r="S12" s="480">
        <f>(S11/12.5/25)*30+30*0.5*(S11/12.5/25)</f>
        <v>0</v>
      </c>
      <c r="T12" s="480">
        <f>(T11/12.5/25)*30+30*0.5*(T11/12.5/25)</f>
        <v>6197.5909799999999</v>
      </c>
      <c r="U12" s="480">
        <f>(U11/12.5/25)*30+30*0.5*(U11/12.5/25)</f>
        <v>0</v>
      </c>
    </row>
    <row r="13" spans="3:21" x14ac:dyDescent="0.2">
      <c r="C13" s="458" t="s">
        <v>152</v>
      </c>
      <c r="D13" s="484"/>
      <c r="E13" s="464">
        <f>SUM(E12:E12)</f>
        <v>4732.2</v>
      </c>
      <c r="F13" s="464"/>
      <c r="G13" s="479"/>
      <c r="H13" s="464">
        <f>SUM(H12:H12)</f>
        <v>0</v>
      </c>
      <c r="I13" s="460"/>
      <c r="J13" s="479"/>
      <c r="K13" s="486"/>
      <c r="L13" s="460"/>
      <c r="M13" s="460"/>
      <c r="N13" s="460"/>
      <c r="O13" s="460"/>
      <c r="P13" s="460"/>
      <c r="Q13" s="461"/>
      <c r="R13" s="464">
        <f>SUM(R12:R12)</f>
        <v>5414.1659999999993</v>
      </c>
      <c r="S13" s="461">
        <f>SUM(S12:S12)</f>
        <v>0</v>
      </c>
      <c r="T13" s="464">
        <f>SUM(T12:T12)</f>
        <v>6197.5909799999999</v>
      </c>
      <c r="U13" s="461">
        <f>SUM(U12:U12)</f>
        <v>0</v>
      </c>
    </row>
    <row r="14" spans="3:21" x14ac:dyDescent="0.2">
      <c r="C14" s="458" t="s">
        <v>153</v>
      </c>
      <c r="D14" s="483">
        <v>0.03</v>
      </c>
      <c r="E14" s="465">
        <f>$D14*E13</f>
        <v>141.96599999999998</v>
      </c>
      <c r="F14" s="460"/>
      <c r="G14" s="479"/>
      <c r="H14" s="465">
        <f>$D14*H13</f>
        <v>0</v>
      </c>
      <c r="I14" s="460"/>
      <c r="J14" s="479"/>
      <c r="K14" s="486"/>
      <c r="L14" s="460"/>
      <c r="M14" s="460"/>
      <c r="N14" s="460"/>
      <c r="O14" s="460"/>
      <c r="P14" s="460"/>
      <c r="Q14" s="461"/>
      <c r="R14" s="465">
        <f>$D14*R13</f>
        <v>162.42497999999998</v>
      </c>
      <c r="S14" s="461">
        <f>$D14*S13</f>
        <v>0</v>
      </c>
      <c r="T14" s="465">
        <f>$D14*T13</f>
        <v>185.9277294</v>
      </c>
      <c r="U14" s="461">
        <f>$D14*U13</f>
        <v>0</v>
      </c>
    </row>
    <row r="15" spans="3:21" ht="13.5" thickBot="1" x14ac:dyDescent="0.25">
      <c r="C15" s="466" t="s">
        <v>176</v>
      </c>
      <c r="D15" s="485"/>
      <c r="E15" s="471">
        <f>E13+E14</f>
        <v>4874.1660000000002</v>
      </c>
      <c r="F15" s="468"/>
      <c r="G15" s="472"/>
      <c r="H15" s="471">
        <f>H13+H14</f>
        <v>0</v>
      </c>
      <c r="I15" s="468"/>
      <c r="J15" s="472"/>
      <c r="K15" s="487"/>
      <c r="L15" s="469"/>
      <c r="M15" s="469"/>
      <c r="N15" s="469"/>
      <c r="O15" s="469"/>
      <c r="P15" s="469"/>
      <c r="Q15" s="470"/>
      <c r="R15" s="471">
        <f>R14</f>
        <v>162.42497999999998</v>
      </c>
      <c r="S15" s="471">
        <f t="shared" ref="S15:U15" si="6">S14</f>
        <v>0</v>
      </c>
      <c r="T15" s="471">
        <f t="shared" si="6"/>
        <v>185.9277294</v>
      </c>
      <c r="U15" s="471">
        <f t="shared" si="6"/>
        <v>0</v>
      </c>
    </row>
    <row r="16" spans="3:21" ht="13.5" thickBot="1" x14ac:dyDescent="0.25">
      <c r="C16" s="400"/>
      <c r="D16" s="401"/>
      <c r="E16" s="211"/>
      <c r="F16" s="211"/>
      <c r="G16" s="211"/>
      <c r="H16" s="211"/>
      <c r="I16" s="211"/>
      <c r="J16" s="211"/>
      <c r="K16" s="211"/>
      <c r="L16" s="211"/>
      <c r="M16" s="211"/>
      <c r="N16" s="211"/>
      <c r="O16" s="211"/>
      <c r="P16" s="211"/>
      <c r="Q16" s="267"/>
      <c r="R16" s="473"/>
      <c r="S16" s="474"/>
      <c r="T16" s="473"/>
      <c r="U16" s="474"/>
    </row>
    <row r="17" spans="3:21" ht="13.5" thickBot="1" x14ac:dyDescent="0.25">
      <c r="C17" s="190"/>
      <c r="D17" s="191"/>
      <c r="E17" s="192"/>
      <c r="F17" s="192"/>
      <c r="G17" s="192"/>
      <c r="H17" s="192"/>
      <c r="I17" s="192"/>
      <c r="J17" s="192"/>
      <c r="K17" s="192"/>
      <c r="L17" s="192"/>
      <c r="M17" s="192"/>
      <c r="N17" s="192"/>
      <c r="O17" s="192"/>
      <c r="P17" s="192"/>
      <c r="Q17" s="193"/>
    </row>
    <row r="18" spans="3:21" x14ac:dyDescent="0.2">
      <c r="C18" s="179" t="s">
        <v>92</v>
      </c>
      <c r="D18" s="180" t="s">
        <v>78</v>
      </c>
      <c r="E18" s="404" t="str">
        <f t="shared" ref="E18:Q18" si="7">E2</f>
        <v>JAN</v>
      </c>
      <c r="F18" s="404" t="str">
        <f t="shared" si="7"/>
        <v>FEB</v>
      </c>
      <c r="G18" s="404" t="str">
        <f t="shared" si="7"/>
        <v>MARS</v>
      </c>
      <c r="H18" s="404" t="str">
        <f t="shared" si="7"/>
        <v>APR</v>
      </c>
      <c r="I18" s="404" t="str">
        <f t="shared" si="7"/>
        <v>MAJ</v>
      </c>
      <c r="J18" s="404" t="str">
        <f t="shared" si="7"/>
        <v>JUNI</v>
      </c>
      <c r="K18" s="404" t="str">
        <f t="shared" si="7"/>
        <v>JULI</v>
      </c>
      <c r="L18" s="404" t="str">
        <f t="shared" si="7"/>
        <v>AUG</v>
      </c>
      <c r="M18" s="404" t="str">
        <f t="shared" si="7"/>
        <v>SEP</v>
      </c>
      <c r="N18" s="404" t="str">
        <f t="shared" si="7"/>
        <v>OKT</v>
      </c>
      <c r="O18" s="404" t="str">
        <f t="shared" si="7"/>
        <v>NOV</v>
      </c>
      <c r="P18" s="404" t="str">
        <f t="shared" si="7"/>
        <v>DEC</v>
      </c>
      <c r="Q18" s="181" t="str">
        <f t="shared" si="7"/>
        <v>YHT</v>
      </c>
    </row>
    <row r="19" spans="3:21" x14ac:dyDescent="0.2">
      <c r="C19" s="182" t="s">
        <v>85</v>
      </c>
      <c r="D19" s="223"/>
      <c r="E19" s="194">
        <f>Kassabudget!G35</f>
        <v>3371.35</v>
      </c>
      <c r="F19" s="194">
        <f>Kassabudget!H35</f>
        <v>3371.35</v>
      </c>
      <c r="G19" s="194">
        <f>Kassabudget!I35</f>
        <v>3371.35</v>
      </c>
      <c r="H19" s="194">
        <f>Kassabudget!J35</f>
        <v>3371.35</v>
      </c>
      <c r="I19" s="194">
        <f>Kassabudget!K35</f>
        <v>3371.35</v>
      </c>
      <c r="J19" s="194">
        <f>Kassabudget!L35</f>
        <v>3371.35</v>
      </c>
      <c r="K19" s="194">
        <f>Kassabudget!M35</f>
        <v>3371.35</v>
      </c>
      <c r="L19" s="194">
        <f>Kassabudget!N35</f>
        <v>3371.35</v>
      </c>
      <c r="M19" s="194">
        <f>Kassabudget!O35</f>
        <v>3371.35</v>
      </c>
      <c r="N19" s="194">
        <f>Kassabudget!P35</f>
        <v>3371.35</v>
      </c>
      <c r="O19" s="194">
        <f>Kassabudget!Q35</f>
        <v>3371.35</v>
      </c>
      <c r="P19" s="194">
        <f>Kassabudget!R35</f>
        <v>3371.35</v>
      </c>
      <c r="Q19" s="187">
        <f t="shared" ref="Q19:Q25" si="8">SUM(E19:P19)</f>
        <v>40456.19999999999</v>
      </c>
    </row>
    <row r="20" spans="3:21" x14ac:dyDescent="0.2">
      <c r="C20" s="182" t="s">
        <v>86</v>
      </c>
      <c r="D20" s="230"/>
      <c r="E20" s="183">
        <f>Kassabudget!G36</f>
        <v>260.08333333333331</v>
      </c>
      <c r="F20" s="183">
        <f>Kassabudget!H36</f>
        <v>260.08333333333331</v>
      </c>
      <c r="G20" s="183">
        <f>Kassabudget!I36</f>
        <v>260.08333333333331</v>
      </c>
      <c r="H20" s="183">
        <f>Kassabudget!J36</f>
        <v>260.08333333333331</v>
      </c>
      <c r="I20" s="183">
        <f>Kassabudget!K36</f>
        <v>260.08333333333331</v>
      </c>
      <c r="J20" s="183">
        <f>Kassabudget!L36</f>
        <v>260.08333333333331</v>
      </c>
      <c r="K20" s="183">
        <f>Kassabudget!M36</f>
        <v>260.08333333333331</v>
      </c>
      <c r="L20" s="183">
        <f>Kassabudget!N36</f>
        <v>260.08333333333331</v>
      </c>
      <c r="M20" s="183">
        <f>Kassabudget!O36</f>
        <v>260.08333333333331</v>
      </c>
      <c r="N20" s="183">
        <f>Kassabudget!P36</f>
        <v>260.08333333333331</v>
      </c>
      <c r="O20" s="183">
        <f>Kassabudget!Q36</f>
        <v>260.08333333333331</v>
      </c>
      <c r="P20" s="183">
        <f>Kassabudget!R36</f>
        <v>260.08333333333331</v>
      </c>
      <c r="Q20" s="187">
        <f t="shared" si="8"/>
        <v>3121.0000000000005</v>
      </c>
    </row>
    <row r="21" spans="3:21" x14ac:dyDescent="0.2">
      <c r="C21" s="182" t="s">
        <v>87</v>
      </c>
      <c r="D21" s="230"/>
      <c r="E21" s="183">
        <f t="shared" ref="E21:P21" si="9">SUM(E19:E20)</f>
        <v>3631.4333333333334</v>
      </c>
      <c r="F21" s="183">
        <f t="shared" si="9"/>
        <v>3631.4333333333334</v>
      </c>
      <c r="G21" s="183">
        <f t="shared" si="9"/>
        <v>3631.4333333333334</v>
      </c>
      <c r="H21" s="183">
        <f t="shared" si="9"/>
        <v>3631.4333333333334</v>
      </c>
      <c r="I21" s="183">
        <f t="shared" si="9"/>
        <v>3631.4333333333334</v>
      </c>
      <c r="J21" s="183">
        <f t="shared" si="9"/>
        <v>3631.4333333333334</v>
      </c>
      <c r="K21" s="183">
        <f t="shared" si="9"/>
        <v>3631.4333333333334</v>
      </c>
      <c r="L21" s="183">
        <f t="shared" si="9"/>
        <v>3631.4333333333334</v>
      </c>
      <c r="M21" s="183">
        <f t="shared" si="9"/>
        <v>3631.4333333333334</v>
      </c>
      <c r="N21" s="183">
        <f t="shared" si="9"/>
        <v>3631.4333333333334</v>
      </c>
      <c r="O21" s="183">
        <f t="shared" si="9"/>
        <v>3631.4333333333334</v>
      </c>
      <c r="P21" s="183">
        <f t="shared" si="9"/>
        <v>3631.4333333333334</v>
      </c>
      <c r="Q21" s="187">
        <f t="shared" si="8"/>
        <v>43577.200000000004</v>
      </c>
    </row>
    <row r="22" spans="3:21" ht="13.5" thickBot="1" x14ac:dyDescent="0.25">
      <c r="C22" s="182" t="s">
        <v>88</v>
      </c>
      <c r="D22" s="184">
        <f>Kassabudget!F35</f>
        <v>25</v>
      </c>
      <c r="E22" s="183">
        <f t="shared" ref="E22:P22" si="10">E21*$D22%</f>
        <v>907.85833333333335</v>
      </c>
      <c r="F22" s="183">
        <f t="shared" si="10"/>
        <v>907.85833333333335</v>
      </c>
      <c r="G22" s="183">
        <f t="shared" si="10"/>
        <v>907.85833333333335</v>
      </c>
      <c r="H22" s="183">
        <f t="shared" si="10"/>
        <v>907.85833333333335</v>
      </c>
      <c r="I22" s="183">
        <f t="shared" si="10"/>
        <v>907.85833333333335</v>
      </c>
      <c r="J22" s="183">
        <f t="shared" si="10"/>
        <v>907.85833333333335</v>
      </c>
      <c r="K22" s="183">
        <f t="shared" si="10"/>
        <v>907.85833333333335</v>
      </c>
      <c r="L22" s="183">
        <f t="shared" si="10"/>
        <v>907.85833333333335</v>
      </c>
      <c r="M22" s="183">
        <f t="shared" si="10"/>
        <v>907.85833333333335</v>
      </c>
      <c r="N22" s="183">
        <f t="shared" si="10"/>
        <v>907.85833333333335</v>
      </c>
      <c r="O22" s="183">
        <f t="shared" si="10"/>
        <v>907.85833333333335</v>
      </c>
      <c r="P22" s="183">
        <f t="shared" si="10"/>
        <v>907.85833333333335</v>
      </c>
      <c r="Q22" s="187">
        <f t="shared" si="8"/>
        <v>10894.300000000001</v>
      </c>
    </row>
    <row r="23" spans="3:21" ht="13.5" thickBot="1" x14ac:dyDescent="0.25">
      <c r="C23" s="195" t="s">
        <v>93</v>
      </c>
      <c r="D23" s="196">
        <f>Kassabudget!F37</f>
        <v>8.65</v>
      </c>
      <c r="E23" s="197">
        <f t="shared" ref="E23:P23" si="11">E21*$D23%</f>
        <v>314.11898333333335</v>
      </c>
      <c r="F23" s="197">
        <f t="shared" si="11"/>
        <v>314.11898333333335</v>
      </c>
      <c r="G23" s="197">
        <f t="shared" si="11"/>
        <v>314.11898333333335</v>
      </c>
      <c r="H23" s="197">
        <f t="shared" si="11"/>
        <v>314.11898333333335</v>
      </c>
      <c r="I23" s="197">
        <f t="shared" si="11"/>
        <v>314.11898333333335</v>
      </c>
      <c r="J23" s="197">
        <f t="shared" si="11"/>
        <v>314.11898333333335</v>
      </c>
      <c r="K23" s="197">
        <f t="shared" si="11"/>
        <v>314.11898333333335</v>
      </c>
      <c r="L23" s="197">
        <f t="shared" si="11"/>
        <v>314.11898333333335</v>
      </c>
      <c r="M23" s="197">
        <f t="shared" si="11"/>
        <v>314.11898333333335</v>
      </c>
      <c r="N23" s="197">
        <f t="shared" si="11"/>
        <v>314.11898333333335</v>
      </c>
      <c r="O23" s="197">
        <f t="shared" si="11"/>
        <v>314.11898333333335</v>
      </c>
      <c r="P23" s="197">
        <f t="shared" si="11"/>
        <v>314.11898333333335</v>
      </c>
      <c r="Q23" s="187">
        <f t="shared" si="8"/>
        <v>3769.4277999999999</v>
      </c>
    </row>
    <row r="24" spans="3:21" ht="13.5" thickBot="1" x14ac:dyDescent="0.25">
      <c r="C24" s="198" t="s">
        <v>94</v>
      </c>
      <c r="D24" s="199"/>
      <c r="E24" s="200">
        <f t="shared" ref="E24:P24" si="12">E19-E23-E22</f>
        <v>2149.372683333333</v>
      </c>
      <c r="F24" s="200">
        <f t="shared" si="12"/>
        <v>2149.372683333333</v>
      </c>
      <c r="G24" s="200">
        <f t="shared" si="12"/>
        <v>2149.372683333333</v>
      </c>
      <c r="H24" s="200">
        <f t="shared" si="12"/>
        <v>2149.372683333333</v>
      </c>
      <c r="I24" s="200">
        <f t="shared" si="12"/>
        <v>2149.372683333333</v>
      </c>
      <c r="J24" s="200">
        <f t="shared" si="12"/>
        <v>2149.372683333333</v>
      </c>
      <c r="K24" s="200">
        <f t="shared" si="12"/>
        <v>2149.372683333333</v>
      </c>
      <c r="L24" s="200">
        <f t="shared" si="12"/>
        <v>2149.372683333333</v>
      </c>
      <c r="M24" s="200">
        <f t="shared" si="12"/>
        <v>2149.372683333333</v>
      </c>
      <c r="N24" s="200">
        <f t="shared" si="12"/>
        <v>2149.372683333333</v>
      </c>
      <c r="O24" s="200">
        <f t="shared" si="12"/>
        <v>2149.372683333333</v>
      </c>
      <c r="P24" s="200">
        <f t="shared" si="12"/>
        <v>2149.372683333333</v>
      </c>
      <c r="Q24" s="187">
        <f t="shared" si="8"/>
        <v>25792.472200000004</v>
      </c>
    </row>
    <row r="25" spans="3:21" ht="13.5" thickBot="1" x14ac:dyDescent="0.25">
      <c r="C25" s="201" t="s">
        <v>91</v>
      </c>
      <c r="D25" s="686">
        <f>D22+1.34</f>
        <v>26.34</v>
      </c>
      <c r="E25" s="202">
        <f t="shared" ref="E25:P25" si="13">E21*$D25%</f>
        <v>956.51954000000012</v>
      </c>
      <c r="F25" s="202">
        <f t="shared" si="13"/>
        <v>956.51954000000012</v>
      </c>
      <c r="G25" s="202">
        <f t="shared" si="13"/>
        <v>956.51954000000012</v>
      </c>
      <c r="H25" s="202">
        <f t="shared" si="13"/>
        <v>956.51954000000012</v>
      </c>
      <c r="I25" s="202">
        <f t="shared" si="13"/>
        <v>956.51954000000012</v>
      </c>
      <c r="J25" s="202">
        <f t="shared" si="13"/>
        <v>956.51954000000012</v>
      </c>
      <c r="K25" s="202">
        <f t="shared" si="13"/>
        <v>956.51954000000012</v>
      </c>
      <c r="L25" s="202">
        <f t="shared" si="13"/>
        <v>956.51954000000012</v>
      </c>
      <c r="M25" s="202">
        <f t="shared" si="13"/>
        <v>956.51954000000012</v>
      </c>
      <c r="N25" s="202">
        <f t="shared" si="13"/>
        <v>956.51954000000012</v>
      </c>
      <c r="O25" s="202">
        <f t="shared" si="13"/>
        <v>956.51954000000012</v>
      </c>
      <c r="P25" s="202">
        <f t="shared" si="13"/>
        <v>956.51954000000012</v>
      </c>
      <c r="Q25" s="203">
        <f t="shared" si="8"/>
        <v>11478.234479999999</v>
      </c>
      <c r="R25" s="2014">
        <f>R9</f>
        <v>2024</v>
      </c>
      <c r="S25" s="2015"/>
      <c r="T25" s="2014">
        <f>T9</f>
        <v>2025</v>
      </c>
      <c r="U25" s="2015"/>
    </row>
    <row r="26" spans="3:21" x14ac:dyDescent="0.2">
      <c r="C26" s="452" t="s">
        <v>149</v>
      </c>
      <c r="D26" s="453"/>
      <c r="E26" s="2013" t="s">
        <v>172</v>
      </c>
      <c r="F26" s="2013"/>
      <c r="G26" s="454"/>
      <c r="H26" s="2013" t="s">
        <v>173</v>
      </c>
      <c r="I26" s="2013"/>
      <c r="J26" s="454"/>
      <c r="K26" s="454"/>
      <c r="L26" s="454"/>
      <c r="M26" s="454"/>
      <c r="N26" s="454"/>
      <c r="O26" s="454"/>
      <c r="P26" s="454"/>
      <c r="Q26" s="475"/>
      <c r="R26" s="456" t="s">
        <v>174</v>
      </c>
      <c r="S26" s="457" t="s">
        <v>175</v>
      </c>
      <c r="T26" s="456" t="s">
        <v>174</v>
      </c>
      <c r="U26" s="457" t="s">
        <v>175</v>
      </c>
    </row>
    <row r="27" spans="3:21" x14ac:dyDescent="0.2">
      <c r="C27" s="458" t="s">
        <v>150</v>
      </c>
      <c r="D27" s="463">
        <v>0</v>
      </c>
      <c r="E27" s="476">
        <f>Lönekostnader!C85</f>
        <v>43577.2</v>
      </c>
      <c r="F27" s="460"/>
      <c r="G27" s="460"/>
      <c r="H27" s="460">
        <f>Lönekostnader!C85</f>
        <v>43577.2</v>
      </c>
      <c r="I27" s="460"/>
      <c r="J27" s="460"/>
      <c r="K27" s="460"/>
      <c r="L27" s="460"/>
      <c r="M27" s="460"/>
      <c r="N27" s="460"/>
      <c r="O27" s="460"/>
      <c r="P27" s="460"/>
      <c r="Q27" s="477"/>
      <c r="R27" s="478">
        <f>Lönekostnader!D85</f>
        <v>46095.839999999997</v>
      </c>
      <c r="S27" s="479">
        <f>Lönekostnader!D85</f>
        <v>46095.839999999997</v>
      </c>
      <c r="T27" s="478">
        <f>Lönekostnader!E85</f>
        <v>47017.756800000003</v>
      </c>
      <c r="U27" s="479">
        <f>Lönekostnader!E85</f>
        <v>47017.756800000003</v>
      </c>
    </row>
    <row r="28" spans="3:21" x14ac:dyDescent="0.2">
      <c r="C28" s="458" t="s">
        <v>151</v>
      </c>
      <c r="D28" s="532">
        <v>0</v>
      </c>
      <c r="E28" s="476">
        <f>(E27/12/25)*30+30*0.5*(E27/12/25)</f>
        <v>6536.579999999999</v>
      </c>
      <c r="F28" s="460"/>
      <c r="G28" s="460"/>
      <c r="H28" s="476">
        <f>(H27/12/25)*30+30*0.5*(H27/12/25)</f>
        <v>6536.579999999999</v>
      </c>
      <c r="I28" s="460"/>
      <c r="J28" s="460"/>
      <c r="K28" s="460"/>
      <c r="L28" s="460"/>
      <c r="M28" s="460"/>
      <c r="N28" s="460"/>
      <c r="O28" s="460"/>
      <c r="P28" s="460"/>
      <c r="Q28" s="477"/>
      <c r="R28" s="476">
        <f>(R27/12.5/25)*30+30*0.5*(R27/12.5/25)</f>
        <v>6637.8009600000005</v>
      </c>
      <c r="S28" s="476">
        <f>(S27/12.5/25)*30+30*0.5*(S27/12.5/25)</f>
        <v>6637.8009600000005</v>
      </c>
      <c r="T28" s="476">
        <f>(T27/12.5/25)*30+30*0.5*(T27/12.5/25)</f>
        <v>6770.5569792000006</v>
      </c>
      <c r="U28" s="476">
        <f>(U27/12.5/25)*30+30*0.5*(U27/12.5/25)</f>
        <v>6770.5569792000006</v>
      </c>
    </row>
    <row r="29" spans="3:21" x14ac:dyDescent="0.2">
      <c r="C29" s="458" t="s">
        <v>152</v>
      </c>
      <c r="D29" s="463"/>
      <c r="E29" s="464">
        <f>SUM(E28:E28)</f>
        <v>6536.579999999999</v>
      </c>
      <c r="F29" s="464"/>
      <c r="G29" s="460"/>
      <c r="H29" s="464">
        <f>SUM(H28:H28)</f>
        <v>6536.579999999999</v>
      </c>
      <c r="I29" s="460"/>
      <c r="J29" s="460"/>
      <c r="K29" s="460"/>
      <c r="L29" s="460"/>
      <c r="M29" s="460"/>
      <c r="N29" s="460"/>
      <c r="O29" s="460"/>
      <c r="P29" s="460"/>
      <c r="Q29" s="477"/>
      <c r="R29" s="465">
        <f>SUM(R28:R28)</f>
        <v>6637.8009600000005</v>
      </c>
      <c r="S29" s="461">
        <f>SUM(S28:S28)</f>
        <v>6637.8009600000005</v>
      </c>
      <c r="T29" s="465">
        <f>SUM(T28:T28)</f>
        <v>6770.5569792000006</v>
      </c>
      <c r="U29" s="461">
        <f>SUM(U28:U28)</f>
        <v>6770.5569792000006</v>
      </c>
    </row>
    <row r="30" spans="3:21" x14ac:dyDescent="0.2">
      <c r="C30" s="458" t="s">
        <v>153</v>
      </c>
      <c r="D30" s="462">
        <v>0.2</v>
      </c>
      <c r="E30" s="464">
        <f>$D30*E29</f>
        <v>1307.3159999999998</v>
      </c>
      <c r="F30" s="460"/>
      <c r="G30" s="460"/>
      <c r="H30" s="464">
        <f>$D30*H29</f>
        <v>1307.3159999999998</v>
      </c>
      <c r="I30" s="460"/>
      <c r="J30" s="460"/>
      <c r="K30" s="460"/>
      <c r="L30" s="460"/>
      <c r="M30" s="460"/>
      <c r="N30" s="460"/>
      <c r="O30" s="460"/>
      <c r="P30" s="460"/>
      <c r="Q30" s="477"/>
      <c r="R30" s="465">
        <f>$D30*R29</f>
        <v>1327.5601920000001</v>
      </c>
      <c r="S30" s="461">
        <f>$D30*S29</f>
        <v>1327.5601920000001</v>
      </c>
      <c r="T30" s="465">
        <f>$D30*T29</f>
        <v>1354.1113958400001</v>
      </c>
      <c r="U30" s="461">
        <f>$D30*U29</f>
        <v>1354.1113958400001</v>
      </c>
    </row>
    <row r="31" spans="3:21" ht="13.5" thickBot="1" x14ac:dyDescent="0.25">
      <c r="C31" s="466" t="s">
        <v>717</v>
      </c>
      <c r="D31" s="467"/>
      <c r="E31" s="468">
        <f>E29+E30</f>
        <v>7843.8959999999988</v>
      </c>
      <c r="F31" s="468"/>
      <c r="G31" s="468"/>
      <c r="H31" s="468">
        <f>H29+H30</f>
        <v>7843.8959999999988</v>
      </c>
      <c r="I31" s="468"/>
      <c r="J31" s="468"/>
      <c r="K31" s="468"/>
      <c r="L31" s="469"/>
      <c r="M31" s="469"/>
      <c r="N31" s="469"/>
      <c r="O31" s="469"/>
      <c r="P31" s="469"/>
      <c r="Q31" s="481"/>
      <c r="R31" s="472">
        <f>R30</f>
        <v>1327.5601920000001</v>
      </c>
      <c r="S31" s="472">
        <f>S30</f>
        <v>1327.5601920000001</v>
      </c>
      <c r="T31" s="472">
        <f>T30</f>
        <v>1354.1113958400001</v>
      </c>
      <c r="U31" s="472">
        <f>U30</f>
        <v>1354.1113958400001</v>
      </c>
    </row>
    <row r="32" spans="3:21" ht="13.5" thickBot="1" x14ac:dyDescent="0.25">
      <c r="C32" s="400"/>
      <c r="D32" s="401"/>
      <c r="E32" s="211"/>
      <c r="F32" s="211"/>
      <c r="G32" s="211"/>
      <c r="H32" s="211"/>
      <c r="I32" s="211"/>
      <c r="J32" s="211"/>
      <c r="K32" s="211"/>
      <c r="L32" s="52"/>
      <c r="M32" s="52"/>
      <c r="N32" s="52"/>
      <c r="O32" s="52"/>
      <c r="P32" s="52"/>
      <c r="Q32" s="267"/>
      <c r="R32" s="402"/>
      <c r="S32" s="403"/>
      <c r="T32" s="402"/>
      <c r="U32" s="474"/>
    </row>
    <row r="33" spans="3:17" x14ac:dyDescent="0.2">
      <c r="C33" s="52"/>
      <c r="D33" s="52"/>
      <c r="E33" s="52"/>
      <c r="F33" s="52"/>
      <c r="G33" s="52"/>
      <c r="H33" s="52"/>
      <c r="I33" s="52"/>
      <c r="J33" s="52"/>
      <c r="K33" s="52"/>
      <c r="L33" s="52"/>
      <c r="M33" s="52"/>
      <c r="N33" s="52"/>
      <c r="O33" s="52"/>
      <c r="P33" s="52"/>
      <c r="Q33" s="52"/>
    </row>
    <row r="34" spans="3:17" x14ac:dyDescent="0.2">
      <c r="C34" s="52"/>
      <c r="D34" s="52"/>
      <c r="E34" s="52"/>
      <c r="F34" s="52"/>
      <c r="G34" s="52"/>
      <c r="H34" s="52"/>
      <c r="I34" s="52"/>
      <c r="J34" s="52"/>
      <c r="K34" s="52"/>
      <c r="L34" s="52"/>
      <c r="M34" s="52"/>
      <c r="N34" s="52"/>
      <c r="O34" s="52"/>
      <c r="P34" s="52"/>
      <c r="Q34" s="52"/>
    </row>
    <row r="35" spans="3:17" x14ac:dyDescent="0.2">
      <c r="C35" s="52"/>
      <c r="D35" s="52"/>
      <c r="E35" s="52"/>
      <c r="F35" s="52"/>
      <c r="G35" s="52"/>
      <c r="H35" s="52"/>
      <c r="I35" s="52"/>
      <c r="J35" s="229"/>
      <c r="K35" s="52"/>
      <c r="L35" s="52"/>
      <c r="M35" s="52"/>
      <c r="N35" s="52"/>
      <c r="O35" s="52"/>
      <c r="P35" s="52"/>
      <c r="Q35" s="52"/>
    </row>
    <row r="36" spans="3:17" x14ac:dyDescent="0.2">
      <c r="C36" s="6" t="s">
        <v>95</v>
      </c>
      <c r="D36" s="52"/>
      <c r="E36" s="52"/>
      <c r="F36" s="52"/>
      <c r="G36" s="52"/>
      <c r="H36" s="52"/>
      <c r="I36" s="52"/>
      <c r="J36" s="52"/>
      <c r="K36" s="52"/>
      <c r="L36" s="52"/>
      <c r="M36" s="52"/>
      <c r="N36" s="52"/>
      <c r="O36" s="52"/>
      <c r="P36" s="52"/>
      <c r="Q36" s="52"/>
    </row>
    <row r="37" spans="3:17" ht="13.5" thickBot="1" x14ac:dyDescent="0.25">
      <c r="C37" s="52"/>
      <c r="D37" s="52"/>
      <c r="E37" s="52"/>
      <c r="F37" s="52"/>
      <c r="G37" s="52"/>
      <c r="H37" s="52"/>
      <c r="I37" s="52"/>
      <c r="J37" s="52"/>
      <c r="K37" s="52"/>
      <c r="L37" s="52"/>
      <c r="M37" s="52"/>
      <c r="N37" s="52"/>
      <c r="O37" s="52"/>
      <c r="P37" s="52"/>
      <c r="Q37" s="52"/>
    </row>
    <row r="38" spans="3:17" x14ac:dyDescent="0.2">
      <c r="C38" s="204" t="s">
        <v>96</v>
      </c>
      <c r="D38" s="205" t="s">
        <v>97</v>
      </c>
      <c r="E38" s="405" t="str">
        <f>E2</f>
        <v>JAN</v>
      </c>
      <c r="F38" s="405" t="str">
        <f t="shared" ref="F38:P38" si="14">F2</f>
        <v>FEB</v>
      </c>
      <c r="G38" s="405" t="str">
        <f t="shared" si="14"/>
        <v>MARS</v>
      </c>
      <c r="H38" s="405" t="str">
        <f t="shared" si="14"/>
        <v>APR</v>
      </c>
      <c r="I38" s="405" t="str">
        <f t="shared" si="14"/>
        <v>MAJ</v>
      </c>
      <c r="J38" s="405" t="str">
        <f t="shared" si="14"/>
        <v>JUNI</v>
      </c>
      <c r="K38" s="405" t="str">
        <f t="shared" si="14"/>
        <v>JULI</v>
      </c>
      <c r="L38" s="405" t="str">
        <f t="shared" si="14"/>
        <v>AUG</v>
      </c>
      <c r="M38" s="405" t="str">
        <f t="shared" si="14"/>
        <v>SEP</v>
      </c>
      <c r="N38" s="405" t="str">
        <f t="shared" si="14"/>
        <v>OKT</v>
      </c>
      <c r="O38" s="405" t="str">
        <f t="shared" si="14"/>
        <v>NOV</v>
      </c>
      <c r="P38" s="405" t="str">
        <f t="shared" si="14"/>
        <v>DEC</v>
      </c>
      <c r="Q38" s="206" t="s">
        <v>80</v>
      </c>
    </row>
    <row r="39" spans="3:17" x14ac:dyDescent="0.2">
      <c r="C39" s="207" t="str">
        <f>Kassabudget!C8</f>
        <v xml:space="preserve"> Kontantförsäljning, andels-%</v>
      </c>
      <c r="D39" s="996">
        <f>IF('K1 Kostnader'!C9&gt;0,'AT2 Myynnin alv'!B30,'AT2 Myynnin alv'!H46)</f>
        <v>0.12280701754385964</v>
      </c>
      <c r="E39" s="314">
        <f>Kassabudget!G8</f>
        <v>6176.3600000000006</v>
      </c>
      <c r="F39" s="314">
        <f>Kassabudget!H8</f>
        <v>9264.5399999999991</v>
      </c>
      <c r="G39" s="314">
        <f>Kassabudget!I8</f>
        <v>9264.5399999999991</v>
      </c>
      <c r="H39" s="314">
        <f>Kassabudget!J8</f>
        <v>10808.630000000001</v>
      </c>
      <c r="I39" s="314">
        <f>Kassabudget!K8</f>
        <v>12352.720000000001</v>
      </c>
      <c r="J39" s="314">
        <f>Kassabudget!L8</f>
        <v>13896.81</v>
      </c>
      <c r="K39" s="314">
        <f>Kassabudget!M8</f>
        <v>15440.900000000001</v>
      </c>
      <c r="L39" s="314">
        <f>Kassabudget!N8</f>
        <v>15440.900000000001</v>
      </c>
      <c r="M39" s="314">
        <f>Kassabudget!O8</f>
        <v>15440.900000000001</v>
      </c>
      <c r="N39" s="314">
        <f>Kassabudget!P8</f>
        <v>15440.900000000001</v>
      </c>
      <c r="O39" s="314">
        <f>Kassabudget!Q8</f>
        <v>15440.900000000001</v>
      </c>
      <c r="P39" s="314">
        <f>Kassabudget!R8</f>
        <v>15440.900000000001</v>
      </c>
      <c r="Q39" s="315">
        <f>SUM(E39:P39)</f>
        <v>154408.99999999997</v>
      </c>
    </row>
    <row r="40" spans="3:17" x14ac:dyDescent="0.2">
      <c r="C40" s="208" t="s">
        <v>98</v>
      </c>
      <c r="D40" s="997"/>
      <c r="E40" s="316">
        <f>$D39*E39</f>
        <v>758.500350877193</v>
      </c>
      <c r="F40" s="316">
        <f t="shared" ref="F40:P40" si="15">$D39*F39</f>
        <v>1137.7505263157893</v>
      </c>
      <c r="G40" s="316">
        <f t="shared" si="15"/>
        <v>1137.7505263157893</v>
      </c>
      <c r="H40" s="316">
        <f t="shared" si="15"/>
        <v>1327.3756140350877</v>
      </c>
      <c r="I40" s="316">
        <f t="shared" si="15"/>
        <v>1517.000701754386</v>
      </c>
      <c r="J40" s="316">
        <f t="shared" si="15"/>
        <v>1706.6257894736841</v>
      </c>
      <c r="K40" s="316">
        <f t="shared" si="15"/>
        <v>1896.2508771929824</v>
      </c>
      <c r="L40" s="316">
        <f t="shared" si="15"/>
        <v>1896.2508771929824</v>
      </c>
      <c r="M40" s="316">
        <f t="shared" si="15"/>
        <v>1896.2508771929824</v>
      </c>
      <c r="N40" s="316">
        <f t="shared" si="15"/>
        <v>1896.2508771929824</v>
      </c>
      <c r="O40" s="316">
        <f t="shared" si="15"/>
        <v>1896.2508771929824</v>
      </c>
      <c r="P40" s="316">
        <f t="shared" si="15"/>
        <v>1896.2508771929824</v>
      </c>
      <c r="Q40" s="317"/>
    </row>
    <row r="41" spans="3:17" x14ac:dyDescent="0.2">
      <c r="C41" s="207" t="str">
        <f>Kassabudget!C10</f>
        <v xml:space="preserve"> Fakturaförsäljning</v>
      </c>
      <c r="D41" s="998">
        <f>D39</f>
        <v>0.12280701754385964</v>
      </c>
      <c r="E41" s="314">
        <f>Kassabudget!G10</f>
        <v>6176.3600000000006</v>
      </c>
      <c r="F41" s="314">
        <f>Kassabudget!H10</f>
        <v>9264.5399999999991</v>
      </c>
      <c r="G41" s="314">
        <f>Kassabudget!I10</f>
        <v>9264.5399999999991</v>
      </c>
      <c r="H41" s="314">
        <f>Kassabudget!J10</f>
        <v>10808.630000000001</v>
      </c>
      <c r="I41" s="314">
        <f>Kassabudget!K10</f>
        <v>12352.720000000001</v>
      </c>
      <c r="J41" s="314">
        <f>Kassabudget!L10</f>
        <v>13896.81</v>
      </c>
      <c r="K41" s="314">
        <f>Kassabudget!M10</f>
        <v>15440.900000000001</v>
      </c>
      <c r="L41" s="314">
        <f>Kassabudget!N10</f>
        <v>15440.900000000001</v>
      </c>
      <c r="M41" s="314">
        <f>Kassabudget!O10</f>
        <v>15440.900000000001</v>
      </c>
      <c r="N41" s="314">
        <f>Kassabudget!P10</f>
        <v>15440.900000000001</v>
      </c>
      <c r="O41" s="314">
        <f>Kassabudget!Q10</f>
        <v>15440.900000000001</v>
      </c>
      <c r="P41" s="314">
        <f>Kassabudget!R10</f>
        <v>15440.900000000001</v>
      </c>
      <c r="Q41" s="315">
        <f>SUM(E41:P41)</f>
        <v>154408.99999999997</v>
      </c>
    </row>
    <row r="42" spans="3:17" x14ac:dyDescent="0.2">
      <c r="C42" s="208" t="s">
        <v>98</v>
      </c>
      <c r="D42" s="209"/>
      <c r="E42" s="316">
        <f>$D41*E41</f>
        <v>758.500350877193</v>
      </c>
      <c r="F42" s="316">
        <f t="shared" ref="F42:P42" si="16">$D41*F41</f>
        <v>1137.7505263157893</v>
      </c>
      <c r="G42" s="316">
        <f t="shared" si="16"/>
        <v>1137.7505263157893</v>
      </c>
      <c r="H42" s="316">
        <f t="shared" si="16"/>
        <v>1327.3756140350877</v>
      </c>
      <c r="I42" s="316">
        <f t="shared" si="16"/>
        <v>1517.000701754386</v>
      </c>
      <c r="J42" s="316">
        <f t="shared" si="16"/>
        <v>1706.6257894736841</v>
      </c>
      <c r="K42" s="316">
        <f t="shared" si="16"/>
        <v>1896.2508771929824</v>
      </c>
      <c r="L42" s="316">
        <f t="shared" si="16"/>
        <v>1896.2508771929824</v>
      </c>
      <c r="M42" s="316">
        <f t="shared" si="16"/>
        <v>1896.2508771929824</v>
      </c>
      <c r="N42" s="316">
        <f t="shared" si="16"/>
        <v>1896.2508771929824</v>
      </c>
      <c r="O42" s="316">
        <f t="shared" si="16"/>
        <v>1896.2508771929824</v>
      </c>
      <c r="P42" s="316">
        <f t="shared" si="16"/>
        <v>1896.2508771929824</v>
      </c>
      <c r="Q42" s="317"/>
    </row>
    <row r="43" spans="3:17" ht="13.5" thickBot="1" x14ac:dyDescent="0.25">
      <c r="C43" s="212" t="s">
        <v>99</v>
      </c>
      <c r="D43" s="213"/>
      <c r="E43" s="318">
        <f t="shared" ref="E43:P43" si="17">E40+E42</f>
        <v>1517.000701754386</v>
      </c>
      <c r="F43" s="318">
        <f t="shared" si="17"/>
        <v>2275.5010526315787</v>
      </c>
      <c r="G43" s="318">
        <f t="shared" si="17"/>
        <v>2275.5010526315787</v>
      </c>
      <c r="H43" s="318">
        <f t="shared" si="17"/>
        <v>2654.7512280701753</v>
      </c>
      <c r="I43" s="318">
        <f t="shared" si="17"/>
        <v>3034.001403508772</v>
      </c>
      <c r="J43" s="318">
        <f t="shared" si="17"/>
        <v>3413.2515789473682</v>
      </c>
      <c r="K43" s="318">
        <f t="shared" si="17"/>
        <v>3792.5017543859649</v>
      </c>
      <c r="L43" s="318">
        <f t="shared" si="17"/>
        <v>3792.5017543859649</v>
      </c>
      <c r="M43" s="318">
        <f t="shared" si="17"/>
        <v>3792.5017543859649</v>
      </c>
      <c r="N43" s="318">
        <f t="shared" si="17"/>
        <v>3792.5017543859649</v>
      </c>
      <c r="O43" s="318">
        <f t="shared" si="17"/>
        <v>3792.5017543859649</v>
      </c>
      <c r="P43" s="318">
        <f t="shared" si="17"/>
        <v>3792.5017543859649</v>
      </c>
      <c r="Q43" s="512">
        <f>SUM(E43:P43)</f>
        <v>37925.017543859649</v>
      </c>
    </row>
    <row r="44" spans="3:17" x14ac:dyDescent="0.2">
      <c r="C44" s="70"/>
      <c r="D44" s="210"/>
      <c r="E44" s="236"/>
      <c r="F44" s="236"/>
      <c r="G44" s="236"/>
      <c r="H44" s="236"/>
      <c r="I44" s="236"/>
      <c r="J44" s="236"/>
      <c r="K44" s="236"/>
      <c r="L44" s="236"/>
      <c r="M44" s="236"/>
      <c r="N44" s="236"/>
      <c r="O44" s="236"/>
      <c r="P44" s="236"/>
      <c r="Q44" s="237"/>
    </row>
    <row r="45" spans="3:17" x14ac:dyDescent="0.2">
      <c r="C45" s="70"/>
      <c r="D45" s="210"/>
      <c r="E45" s="236"/>
      <c r="F45" s="236"/>
      <c r="G45" s="236"/>
      <c r="H45" s="236"/>
      <c r="I45" s="236"/>
      <c r="J45" s="236"/>
      <c r="K45" s="236"/>
      <c r="L45" s="236"/>
      <c r="M45" s="236"/>
      <c r="N45" s="236"/>
      <c r="O45" s="236"/>
      <c r="P45" s="236"/>
      <c r="Q45" s="237"/>
    </row>
    <row r="46" spans="3:17" ht="13.5" thickBot="1" x14ac:dyDescent="0.25">
      <c r="C46" s="70"/>
      <c r="D46" s="210"/>
      <c r="E46" s="211"/>
      <c r="F46" s="211"/>
      <c r="G46" s="211"/>
      <c r="H46" s="211"/>
      <c r="I46" s="211"/>
      <c r="J46" s="211"/>
      <c r="K46" s="211"/>
      <c r="L46" s="211"/>
      <c r="M46" s="211"/>
      <c r="N46" s="211"/>
      <c r="O46" s="211"/>
      <c r="P46" s="211"/>
      <c r="Q46" s="99"/>
    </row>
    <row r="47" spans="3:17" x14ac:dyDescent="0.2">
      <c r="C47" s="1596" t="s">
        <v>100</v>
      </c>
      <c r="D47" s="205" t="s">
        <v>97</v>
      </c>
      <c r="E47" s="406" t="str">
        <f t="shared" ref="E47:P47" si="18">E2</f>
        <v>JAN</v>
      </c>
      <c r="F47" s="406" t="str">
        <f t="shared" si="18"/>
        <v>FEB</v>
      </c>
      <c r="G47" s="406" t="str">
        <f t="shared" si="18"/>
        <v>MARS</v>
      </c>
      <c r="H47" s="406" t="str">
        <f t="shared" si="18"/>
        <v>APR</v>
      </c>
      <c r="I47" s="406" t="str">
        <f t="shared" si="18"/>
        <v>MAJ</v>
      </c>
      <c r="J47" s="406" t="str">
        <f t="shared" si="18"/>
        <v>JUNI</v>
      </c>
      <c r="K47" s="406" t="str">
        <f t="shared" si="18"/>
        <v>JULI</v>
      </c>
      <c r="L47" s="406" t="str">
        <f t="shared" si="18"/>
        <v>AUG</v>
      </c>
      <c r="M47" s="406" t="str">
        <f t="shared" si="18"/>
        <v>SEP</v>
      </c>
      <c r="N47" s="406" t="str">
        <f t="shared" si="18"/>
        <v>OKT</v>
      </c>
      <c r="O47" s="406" t="str">
        <f t="shared" si="18"/>
        <v>NOV</v>
      </c>
      <c r="P47" s="406" t="str">
        <f t="shared" si="18"/>
        <v>DEC</v>
      </c>
      <c r="Q47" s="214" t="s">
        <v>80</v>
      </c>
    </row>
    <row r="48" spans="3:17" x14ac:dyDescent="0.2">
      <c r="C48" s="1600" t="s">
        <v>835</v>
      </c>
      <c r="D48" s="216">
        <f>Kassabudget!F18/(1+Kassabudget!F18/100)</f>
        <v>19.35483870967742</v>
      </c>
      <c r="E48" s="1597">
        <f>IF(Kassabudget!$V11=0,0,Kassabudget!$V18*('AT1 Palkat, alv'!E39+'AT1 Palkat, alv'!E41)/Kassabudget!$V11)</f>
        <v>6535.4985081751993</v>
      </c>
      <c r="F48" s="1597">
        <f>IF(Kassabudget!$V11=0,0,Kassabudget!$V18*('AT1 Palkat, alv'!F39+'AT1 Palkat, alv'!F41)/Kassabudget!$V11)</f>
        <v>9803.2477622627957</v>
      </c>
      <c r="G48" s="1597">
        <f>IF(Kassabudget!$V11=0,0,Kassabudget!$V18*('AT1 Palkat, alv'!G39+'AT1 Palkat, alv'!G41)/Kassabudget!$V11)</f>
        <v>9803.2477622627957</v>
      </c>
      <c r="H48" s="1597">
        <f>IF(Kassabudget!$V11=0,0,Kassabudget!$V18*('AT1 Palkat, alv'!H39+'AT1 Palkat, alv'!H41)/Kassabudget!$V11)</f>
        <v>11437.122389306598</v>
      </c>
      <c r="I48" s="1597">
        <f>IF(Kassabudget!$V11=0,0,Kassabudget!$V18*('AT1 Palkat, alv'!I39+'AT1 Palkat, alv'!I41)/Kassabudget!$V11)</f>
        <v>13070.997016350399</v>
      </c>
      <c r="J48" s="1597">
        <f>IF(Kassabudget!$V11=0,0,Kassabudget!$V18*('AT1 Palkat, alv'!J39+'AT1 Palkat, alv'!J41)/Kassabudget!$V11)</f>
        <v>14704.871643394194</v>
      </c>
      <c r="K48" s="1597">
        <f>IF(Kassabudget!$V11=0,0,Kassabudget!$V18*('AT1 Palkat, alv'!K39+'AT1 Palkat, alv'!K41)/Kassabudget!$V11)</f>
        <v>16338.746270437998</v>
      </c>
      <c r="L48" s="1597">
        <f>IF(Kassabudget!$V11=0,0,Kassabudget!$V18*('AT1 Palkat, alv'!L39+'AT1 Palkat, alv'!L41)/Kassabudget!$V11)</f>
        <v>16338.746270437998</v>
      </c>
      <c r="M48" s="1597">
        <f>IF(Kassabudget!$V11=0,0,Kassabudget!$V18*('AT1 Palkat, alv'!M39+'AT1 Palkat, alv'!M41)/Kassabudget!$V11)</f>
        <v>16338.746270437998</v>
      </c>
      <c r="N48" s="1597">
        <f>IF(Kassabudget!$V11=0,0,Kassabudget!$V18*('AT1 Palkat, alv'!N39+'AT1 Palkat, alv'!N41)/Kassabudget!$V11)</f>
        <v>16338.746270437998</v>
      </c>
      <c r="O48" s="1597">
        <f>IF(Kassabudget!$V11=0,0,Kassabudget!$V18*('AT1 Palkat, alv'!O39+'AT1 Palkat, alv'!O41)/Kassabudget!$V11)</f>
        <v>16338.746270437998</v>
      </c>
      <c r="P48" s="1597">
        <f>IF(Kassabudget!$V11=0,0,Kassabudget!$V18*('AT1 Palkat, alv'!P39+'AT1 Palkat, alv'!P41)/Kassabudget!$V11)</f>
        <v>16338.746270437998</v>
      </c>
      <c r="Q48" s="315">
        <f>SUM(E48:P48)</f>
        <v>163387.46270437996</v>
      </c>
    </row>
    <row r="49" spans="3:17" x14ac:dyDescent="0.2">
      <c r="C49" s="1601" t="s">
        <v>101</v>
      </c>
      <c r="D49" s="218"/>
      <c r="E49" s="316">
        <f>$D48*E48/100</f>
        <v>1264.9351951306837</v>
      </c>
      <c r="F49" s="316">
        <f t="shared" ref="F49:P49" si="19">$D48*F48/100</f>
        <v>1897.402792696025</v>
      </c>
      <c r="G49" s="316">
        <f t="shared" si="19"/>
        <v>1897.402792696025</v>
      </c>
      <c r="H49" s="316">
        <f t="shared" si="19"/>
        <v>2213.6365914786966</v>
      </c>
      <c r="I49" s="316">
        <f t="shared" si="19"/>
        <v>2529.8703902613674</v>
      </c>
      <c r="J49" s="316">
        <f t="shared" si="19"/>
        <v>2846.1041890440374</v>
      </c>
      <c r="K49" s="316">
        <f t="shared" si="19"/>
        <v>3162.3379878267092</v>
      </c>
      <c r="L49" s="316">
        <f t="shared" si="19"/>
        <v>3162.3379878267092</v>
      </c>
      <c r="M49" s="316">
        <f t="shared" si="19"/>
        <v>3162.3379878267092</v>
      </c>
      <c r="N49" s="316">
        <f t="shared" si="19"/>
        <v>3162.3379878267092</v>
      </c>
      <c r="O49" s="316">
        <f t="shared" si="19"/>
        <v>3162.3379878267092</v>
      </c>
      <c r="P49" s="316">
        <f t="shared" si="19"/>
        <v>3162.3379878267092</v>
      </c>
      <c r="Q49" s="320"/>
    </row>
    <row r="50" spans="3:17" x14ac:dyDescent="0.2">
      <c r="C50" s="1600" t="str">
        <f>Kassabudget!C20</f>
        <v xml:space="preserve"> Lokalhyror</v>
      </c>
      <c r="D50" s="1599">
        <f>Kassabudget!F20</f>
        <v>24</v>
      </c>
      <c r="E50" s="321">
        <f>Kassabudget!G20</f>
        <v>2232</v>
      </c>
      <c r="F50" s="321">
        <f>Kassabudget!H20</f>
        <v>2232</v>
      </c>
      <c r="G50" s="321">
        <f>Kassabudget!I20</f>
        <v>2232</v>
      </c>
      <c r="H50" s="321">
        <f>Kassabudget!J20</f>
        <v>2232</v>
      </c>
      <c r="I50" s="321">
        <f>Kassabudget!K20</f>
        <v>2232</v>
      </c>
      <c r="J50" s="321">
        <f>Kassabudget!L20</f>
        <v>2232</v>
      </c>
      <c r="K50" s="321">
        <f>Kassabudget!M20</f>
        <v>2232</v>
      </c>
      <c r="L50" s="321">
        <f>Kassabudget!N20</f>
        <v>2232</v>
      </c>
      <c r="M50" s="321">
        <f>Kassabudget!O20</f>
        <v>2232</v>
      </c>
      <c r="N50" s="321">
        <f>Kassabudget!P20</f>
        <v>2232</v>
      </c>
      <c r="O50" s="321">
        <f>Kassabudget!Q20</f>
        <v>2232</v>
      </c>
      <c r="P50" s="321">
        <f>Kassabudget!R20</f>
        <v>2232</v>
      </c>
      <c r="Q50" s="315">
        <f>SUM(E50:P50)</f>
        <v>26784</v>
      </c>
    </row>
    <row r="51" spans="3:17" x14ac:dyDescent="0.2">
      <c r="C51" s="1601" t="s">
        <v>101</v>
      </c>
      <c r="D51" s="1599"/>
      <c r="E51" s="316">
        <f>E50-E50/(1+$D50/100)</f>
        <v>432</v>
      </c>
      <c r="F51" s="316">
        <f t="shared" ref="F51:P51" si="20">F50-F50/(1+$D50/100)</f>
        <v>432</v>
      </c>
      <c r="G51" s="316">
        <f t="shared" si="20"/>
        <v>432</v>
      </c>
      <c r="H51" s="316">
        <f t="shared" si="20"/>
        <v>432</v>
      </c>
      <c r="I51" s="316">
        <f t="shared" si="20"/>
        <v>432</v>
      </c>
      <c r="J51" s="316">
        <f t="shared" si="20"/>
        <v>432</v>
      </c>
      <c r="K51" s="316">
        <f t="shared" si="20"/>
        <v>432</v>
      </c>
      <c r="L51" s="316">
        <f t="shared" si="20"/>
        <v>432</v>
      </c>
      <c r="M51" s="316">
        <f t="shared" si="20"/>
        <v>432</v>
      </c>
      <c r="N51" s="316">
        <f t="shared" si="20"/>
        <v>432</v>
      </c>
      <c r="O51" s="316">
        <f t="shared" si="20"/>
        <v>432</v>
      </c>
      <c r="P51" s="316">
        <f t="shared" si="20"/>
        <v>432</v>
      </c>
      <c r="Q51" s="322"/>
    </row>
    <row r="52" spans="3:17" x14ac:dyDescent="0.2">
      <c r="C52" s="215" t="str">
        <f>Kassabudget!C21</f>
        <v xml:space="preserve"> Leasing- och inventariehyror</v>
      </c>
      <c r="D52" s="216">
        <f>Kassabudget!F21</f>
        <v>24</v>
      </c>
      <c r="E52" s="319">
        <f>Kassabudget!G21</f>
        <v>0</v>
      </c>
      <c r="F52" s="319">
        <f>Kassabudget!H21</f>
        <v>0</v>
      </c>
      <c r="G52" s="319">
        <f>Kassabudget!I21</f>
        <v>0</v>
      </c>
      <c r="H52" s="319">
        <f>Kassabudget!J21</f>
        <v>0</v>
      </c>
      <c r="I52" s="319">
        <f>Kassabudget!K21</f>
        <v>0</v>
      </c>
      <c r="J52" s="319">
        <f>Kassabudget!L21</f>
        <v>0</v>
      </c>
      <c r="K52" s="319">
        <f>Kassabudget!M21</f>
        <v>0</v>
      </c>
      <c r="L52" s="319">
        <f>Kassabudget!N21</f>
        <v>0</v>
      </c>
      <c r="M52" s="319">
        <f>Kassabudget!O21</f>
        <v>0</v>
      </c>
      <c r="N52" s="319">
        <f>Kassabudget!P21</f>
        <v>0</v>
      </c>
      <c r="O52" s="319">
        <f>Kassabudget!Q21</f>
        <v>0</v>
      </c>
      <c r="P52" s="319">
        <f>Kassabudget!R21</f>
        <v>0</v>
      </c>
      <c r="Q52" s="315">
        <f>SUM(E52:P52)</f>
        <v>0</v>
      </c>
    </row>
    <row r="53" spans="3:17" x14ac:dyDescent="0.2">
      <c r="C53" s="217" t="s">
        <v>101</v>
      </c>
      <c r="D53" s="218"/>
      <c r="E53" s="316">
        <f>E52-E52/(1+$D52/100)</f>
        <v>0</v>
      </c>
      <c r="F53" s="316">
        <f t="shared" ref="F53:P53" si="21">F52-F52/(1+$D52/100)</f>
        <v>0</v>
      </c>
      <c r="G53" s="316">
        <f t="shared" si="21"/>
        <v>0</v>
      </c>
      <c r="H53" s="316">
        <f t="shared" si="21"/>
        <v>0</v>
      </c>
      <c r="I53" s="316">
        <f t="shared" si="21"/>
        <v>0</v>
      </c>
      <c r="J53" s="316">
        <f t="shared" si="21"/>
        <v>0</v>
      </c>
      <c r="K53" s="316">
        <f t="shared" si="21"/>
        <v>0</v>
      </c>
      <c r="L53" s="316">
        <f t="shared" si="21"/>
        <v>0</v>
      </c>
      <c r="M53" s="316">
        <f t="shared" si="21"/>
        <v>0</v>
      </c>
      <c r="N53" s="316">
        <f t="shared" si="21"/>
        <v>0</v>
      </c>
      <c r="O53" s="316">
        <f t="shared" si="21"/>
        <v>0</v>
      </c>
      <c r="P53" s="316">
        <f t="shared" si="21"/>
        <v>0</v>
      </c>
      <c r="Q53" s="320"/>
    </row>
    <row r="54" spans="3:17" x14ac:dyDescent="0.2">
      <c r="C54" s="219" t="str">
        <f>Kassabudget!C22</f>
        <v xml:space="preserve"> El-, värme- och vattenkostnader</v>
      </c>
      <c r="D54" s="220">
        <f>Kassabudget!F22</f>
        <v>24</v>
      </c>
      <c r="E54" s="321">
        <f>Kassabudget!G22</f>
        <v>496</v>
      </c>
      <c r="F54" s="321">
        <f>Kassabudget!H22</f>
        <v>496</v>
      </c>
      <c r="G54" s="321">
        <f>Kassabudget!I22</f>
        <v>496</v>
      </c>
      <c r="H54" s="321">
        <f>Kassabudget!J22</f>
        <v>496</v>
      </c>
      <c r="I54" s="321">
        <f>Kassabudget!K22</f>
        <v>496</v>
      </c>
      <c r="J54" s="321">
        <f>Kassabudget!L22</f>
        <v>496</v>
      </c>
      <c r="K54" s="321">
        <f>Kassabudget!M22</f>
        <v>496</v>
      </c>
      <c r="L54" s="321">
        <f>Kassabudget!N22</f>
        <v>496</v>
      </c>
      <c r="M54" s="321">
        <f>Kassabudget!O22</f>
        <v>496</v>
      </c>
      <c r="N54" s="321">
        <f>Kassabudget!P22</f>
        <v>496</v>
      </c>
      <c r="O54" s="321">
        <f>Kassabudget!Q22</f>
        <v>496</v>
      </c>
      <c r="P54" s="321">
        <f>Kassabudget!R22</f>
        <v>496</v>
      </c>
      <c r="Q54" s="315">
        <f>SUM(E54:P54)</f>
        <v>5952</v>
      </c>
    </row>
    <row r="55" spans="3:17" x14ac:dyDescent="0.2">
      <c r="C55" s="219" t="s">
        <v>101</v>
      </c>
      <c r="D55" s="220"/>
      <c r="E55" s="316">
        <f>E54-E54/(1+$D54/100)</f>
        <v>96</v>
      </c>
      <c r="F55" s="316">
        <f t="shared" ref="F55:P55" si="22">F54-F54/(1+$D54/100)</f>
        <v>96</v>
      </c>
      <c r="G55" s="316">
        <f t="shared" si="22"/>
        <v>96</v>
      </c>
      <c r="H55" s="316">
        <f t="shared" si="22"/>
        <v>96</v>
      </c>
      <c r="I55" s="316">
        <f t="shared" si="22"/>
        <v>96</v>
      </c>
      <c r="J55" s="316">
        <f t="shared" si="22"/>
        <v>96</v>
      </c>
      <c r="K55" s="316">
        <f t="shared" si="22"/>
        <v>96</v>
      </c>
      <c r="L55" s="316">
        <f t="shared" si="22"/>
        <v>96</v>
      </c>
      <c r="M55" s="316">
        <f t="shared" si="22"/>
        <v>96</v>
      </c>
      <c r="N55" s="316">
        <f t="shared" si="22"/>
        <v>96</v>
      </c>
      <c r="O55" s="316">
        <f t="shared" si="22"/>
        <v>96</v>
      </c>
      <c r="P55" s="316">
        <f t="shared" si="22"/>
        <v>96</v>
      </c>
      <c r="Q55" s="322"/>
    </row>
    <row r="56" spans="3:17" x14ac:dyDescent="0.2">
      <c r="C56" s="215" t="str">
        <f>Kassabudget!C23</f>
        <v xml:space="preserve"> Datakommunikation och bankförbindelser</v>
      </c>
      <c r="D56" s="216">
        <f>Kassabudget!F23</f>
        <v>24</v>
      </c>
      <c r="E56" s="319">
        <f>Kassabudget!G23</f>
        <v>108.5</v>
      </c>
      <c r="F56" s="319">
        <f>Kassabudget!H23</f>
        <v>108.5</v>
      </c>
      <c r="G56" s="319">
        <f>Kassabudget!I23</f>
        <v>108.5</v>
      </c>
      <c r="H56" s="319">
        <f>Kassabudget!J23</f>
        <v>108.5</v>
      </c>
      <c r="I56" s="319">
        <f>Kassabudget!K23</f>
        <v>108.5</v>
      </c>
      <c r="J56" s="319">
        <f>Kassabudget!L23</f>
        <v>108.5</v>
      </c>
      <c r="K56" s="319">
        <f>Kassabudget!M23</f>
        <v>108.5</v>
      </c>
      <c r="L56" s="319">
        <f>Kassabudget!N23</f>
        <v>108.5</v>
      </c>
      <c r="M56" s="319">
        <f>Kassabudget!O23</f>
        <v>108.5</v>
      </c>
      <c r="N56" s="319">
        <f>Kassabudget!P23</f>
        <v>108.5</v>
      </c>
      <c r="O56" s="319">
        <f>Kassabudget!Q23</f>
        <v>108.5</v>
      </c>
      <c r="P56" s="319">
        <f>Kassabudget!R23</f>
        <v>108.5</v>
      </c>
      <c r="Q56" s="315">
        <f>SUM(E56:P56)</f>
        <v>1302</v>
      </c>
    </row>
    <row r="57" spans="3:17" x14ac:dyDescent="0.2">
      <c r="C57" s="217" t="s">
        <v>101</v>
      </c>
      <c r="D57" s="218"/>
      <c r="E57" s="316">
        <f>E56-E56/(1+$D56/100)</f>
        <v>21</v>
      </c>
      <c r="F57" s="316">
        <f t="shared" ref="F57:P57" si="23">F56-F56/(1+$D56/100)</f>
        <v>21</v>
      </c>
      <c r="G57" s="316">
        <f t="shared" si="23"/>
        <v>21</v>
      </c>
      <c r="H57" s="316">
        <f t="shared" si="23"/>
        <v>21</v>
      </c>
      <c r="I57" s="316">
        <f t="shared" si="23"/>
        <v>21</v>
      </c>
      <c r="J57" s="316">
        <f t="shared" si="23"/>
        <v>21</v>
      </c>
      <c r="K57" s="316">
        <f t="shared" si="23"/>
        <v>21</v>
      </c>
      <c r="L57" s="316">
        <f t="shared" si="23"/>
        <v>21</v>
      </c>
      <c r="M57" s="316">
        <f t="shared" si="23"/>
        <v>21</v>
      </c>
      <c r="N57" s="316">
        <f t="shared" si="23"/>
        <v>21</v>
      </c>
      <c r="O57" s="316">
        <f t="shared" si="23"/>
        <v>21</v>
      </c>
      <c r="P57" s="316">
        <f t="shared" si="23"/>
        <v>21</v>
      </c>
      <c r="Q57" s="320"/>
    </row>
    <row r="58" spans="3:17" x14ac:dyDescent="0.2">
      <c r="C58" s="219" t="str">
        <f>Kassabudget!C24</f>
        <v xml:space="preserve"> Marknadsföring och reklam</v>
      </c>
      <c r="D58" s="220">
        <f>Kassabudget!F24</f>
        <v>24</v>
      </c>
      <c r="E58" s="321">
        <f>Kassabudget!G24</f>
        <v>124</v>
      </c>
      <c r="F58" s="321">
        <f>Kassabudget!H24</f>
        <v>124</v>
      </c>
      <c r="G58" s="321">
        <f>Kassabudget!I24</f>
        <v>124</v>
      </c>
      <c r="H58" s="321">
        <f>Kassabudget!J24</f>
        <v>124</v>
      </c>
      <c r="I58" s="321">
        <f>Kassabudget!K24</f>
        <v>124</v>
      </c>
      <c r="J58" s="321">
        <f>Kassabudget!L24</f>
        <v>124</v>
      </c>
      <c r="K58" s="321">
        <f>Kassabudget!M24</f>
        <v>124</v>
      </c>
      <c r="L58" s="321">
        <f>Kassabudget!N24</f>
        <v>124</v>
      </c>
      <c r="M58" s="321">
        <f>Kassabudget!O24</f>
        <v>124</v>
      </c>
      <c r="N58" s="321">
        <f>Kassabudget!P24</f>
        <v>124</v>
      </c>
      <c r="O58" s="321">
        <f>Kassabudget!Q24</f>
        <v>124</v>
      </c>
      <c r="P58" s="321">
        <f>Kassabudget!R24</f>
        <v>124</v>
      </c>
      <c r="Q58" s="315">
        <f>SUM(E58:P58)</f>
        <v>1488</v>
      </c>
    </row>
    <row r="59" spans="3:17" x14ac:dyDescent="0.2">
      <c r="C59" s="219" t="s">
        <v>101</v>
      </c>
      <c r="D59" s="220"/>
      <c r="E59" s="316">
        <f>E58-E58/(1+$D58/100)</f>
        <v>24</v>
      </c>
      <c r="F59" s="316">
        <f t="shared" ref="F59:N59" si="24">F58-F58/(1+$D58/100)</f>
        <v>24</v>
      </c>
      <c r="G59" s="316">
        <f t="shared" si="24"/>
        <v>24</v>
      </c>
      <c r="H59" s="316">
        <f t="shared" si="24"/>
        <v>24</v>
      </c>
      <c r="I59" s="316">
        <f t="shared" si="24"/>
        <v>24</v>
      </c>
      <c r="J59" s="316">
        <f t="shared" si="24"/>
        <v>24</v>
      </c>
      <c r="K59" s="316">
        <f t="shared" si="24"/>
        <v>24</v>
      </c>
      <c r="L59" s="316">
        <f t="shared" si="24"/>
        <v>24</v>
      </c>
      <c r="M59" s="316">
        <f t="shared" si="24"/>
        <v>24</v>
      </c>
      <c r="N59" s="316">
        <f t="shared" si="24"/>
        <v>24</v>
      </c>
      <c r="O59" s="316">
        <f>O58-O58/(1+$D58/100)</f>
        <v>24</v>
      </c>
      <c r="P59" s="316">
        <f>P58-P58/(1+$D58/100)</f>
        <v>24</v>
      </c>
      <c r="Q59" s="322"/>
    </row>
    <row r="60" spans="3:17" x14ac:dyDescent="0.2">
      <c r="C60" s="215" t="str">
        <f>Kassabudget!C25</f>
        <v xml:space="preserve"> Investeringar inkl. Moms </v>
      </c>
      <c r="D60" s="216">
        <f>Kassabudget!F25</f>
        <v>24</v>
      </c>
      <c r="E60" s="319">
        <f>Kassabudget!G25</f>
        <v>47600</v>
      </c>
      <c r="F60" s="319">
        <f>Kassabudget!H25</f>
        <v>0</v>
      </c>
      <c r="G60" s="319">
        <f>Kassabudget!I25</f>
        <v>0</v>
      </c>
      <c r="H60" s="319">
        <f>Kassabudget!J25</f>
        <v>0</v>
      </c>
      <c r="I60" s="319">
        <f>Kassabudget!K25</f>
        <v>0</v>
      </c>
      <c r="J60" s="319">
        <f>Kassabudget!L25</f>
        <v>0</v>
      </c>
      <c r="K60" s="319">
        <f>Kassabudget!M25</f>
        <v>0</v>
      </c>
      <c r="L60" s="319">
        <f>Kassabudget!N25</f>
        <v>0</v>
      </c>
      <c r="M60" s="319">
        <f>Kassabudget!O25</f>
        <v>0</v>
      </c>
      <c r="N60" s="319">
        <f>Kassabudget!P25</f>
        <v>0</v>
      </c>
      <c r="O60" s="319">
        <f>Kassabudget!Q25</f>
        <v>0</v>
      </c>
      <c r="P60" s="319">
        <f>Kassabudget!R25</f>
        <v>0</v>
      </c>
      <c r="Q60" s="315">
        <f>SUM(E60:P60)</f>
        <v>47600</v>
      </c>
    </row>
    <row r="61" spans="3:17" x14ac:dyDescent="0.2">
      <c r="C61" s="217" t="s">
        <v>101</v>
      </c>
      <c r="D61" s="218"/>
      <c r="E61" s="316">
        <f>E60-E60/(1+$D60/100)</f>
        <v>9212.9032258064544</v>
      </c>
      <c r="F61" s="316">
        <f t="shared" ref="F61:P63" si="25">F60-F60/(1+$D60/100)</f>
        <v>0</v>
      </c>
      <c r="G61" s="316">
        <f t="shared" si="25"/>
        <v>0</v>
      </c>
      <c r="H61" s="316">
        <f t="shared" si="25"/>
        <v>0</v>
      </c>
      <c r="I61" s="316">
        <f t="shared" si="25"/>
        <v>0</v>
      </c>
      <c r="J61" s="316">
        <f t="shared" si="25"/>
        <v>0</v>
      </c>
      <c r="K61" s="316">
        <f t="shared" si="25"/>
        <v>0</v>
      </c>
      <c r="L61" s="316">
        <f t="shared" si="25"/>
        <v>0</v>
      </c>
      <c r="M61" s="316">
        <f t="shared" si="25"/>
        <v>0</v>
      </c>
      <c r="N61" s="316">
        <f t="shared" si="25"/>
        <v>0</v>
      </c>
      <c r="O61" s="316">
        <f t="shared" si="25"/>
        <v>0</v>
      </c>
      <c r="P61" s="316">
        <f t="shared" si="25"/>
        <v>0</v>
      </c>
      <c r="Q61" s="320"/>
    </row>
    <row r="62" spans="3:17" x14ac:dyDescent="0.2">
      <c r="C62" s="219" t="str">
        <f>Kassabudget!C26</f>
        <v xml:space="preserve"> Bil/arbetsmaskinkostnader (Moms-avdragbara)</v>
      </c>
      <c r="D62" s="235">
        <f>Kassabudget!F26</f>
        <v>24</v>
      </c>
      <c r="E62" s="188">
        <f>Kassabudget!G26</f>
        <v>0</v>
      </c>
      <c r="F62" s="188">
        <f>Kassabudget!H26</f>
        <v>0</v>
      </c>
      <c r="G62" s="188">
        <f>Kassabudget!I26</f>
        <v>0</v>
      </c>
      <c r="H62" s="188">
        <f>Kassabudget!J26</f>
        <v>0</v>
      </c>
      <c r="I62" s="188">
        <f>Kassabudget!K26</f>
        <v>0</v>
      </c>
      <c r="J62" s="188">
        <f>Kassabudget!L26</f>
        <v>0</v>
      </c>
      <c r="K62" s="188">
        <f>Kassabudget!M26</f>
        <v>0</v>
      </c>
      <c r="L62" s="188">
        <f>Kassabudget!N26</f>
        <v>0</v>
      </c>
      <c r="M62" s="188">
        <f>Kassabudget!O26</f>
        <v>0</v>
      </c>
      <c r="N62" s="188">
        <f>Kassabudget!P26</f>
        <v>0</v>
      </c>
      <c r="O62" s="188">
        <f>Kassabudget!Q26</f>
        <v>0</v>
      </c>
      <c r="P62" s="188">
        <f>Kassabudget!R26</f>
        <v>0</v>
      </c>
      <c r="Q62" s="315">
        <f>SUM(E62:P62)</f>
        <v>0</v>
      </c>
    </row>
    <row r="63" spans="3:17" x14ac:dyDescent="0.2">
      <c r="C63" s="217" t="s">
        <v>101</v>
      </c>
      <c r="D63" s="220"/>
      <c r="E63" s="316">
        <f>E62-E62/(1+$D62/100)</f>
        <v>0</v>
      </c>
      <c r="F63" s="316">
        <f t="shared" si="25"/>
        <v>0</v>
      </c>
      <c r="G63" s="316">
        <f t="shared" si="25"/>
        <v>0</v>
      </c>
      <c r="H63" s="316">
        <f t="shared" si="25"/>
        <v>0</v>
      </c>
      <c r="I63" s="316">
        <f t="shared" si="25"/>
        <v>0</v>
      </c>
      <c r="J63" s="316">
        <f t="shared" si="25"/>
        <v>0</v>
      </c>
      <c r="K63" s="316">
        <f t="shared" si="25"/>
        <v>0</v>
      </c>
      <c r="L63" s="316">
        <f t="shared" si="25"/>
        <v>0</v>
      </c>
      <c r="M63" s="316">
        <f t="shared" si="25"/>
        <v>0</v>
      </c>
      <c r="N63" s="316">
        <f t="shared" si="25"/>
        <v>0</v>
      </c>
      <c r="O63" s="316">
        <f t="shared" si="25"/>
        <v>0</v>
      </c>
      <c r="P63" s="316">
        <f t="shared" si="25"/>
        <v>0</v>
      </c>
      <c r="Q63" s="320"/>
    </row>
    <row r="64" spans="3:17" x14ac:dyDescent="0.2">
      <c r="C64" s="219" t="str">
        <f>Kassabudget!C27</f>
        <v xml:space="preserve"> Städning- och avfallskostnader</v>
      </c>
      <c r="D64" s="235">
        <f>Kassabudget!F27</f>
        <v>24</v>
      </c>
      <c r="E64" s="188">
        <f>Kassabudget!G27</f>
        <v>85.766666666666666</v>
      </c>
      <c r="F64" s="188">
        <f>Kassabudget!H27</f>
        <v>85.766666666666666</v>
      </c>
      <c r="G64" s="188">
        <f>Kassabudget!I27</f>
        <v>85.766666666666666</v>
      </c>
      <c r="H64" s="188">
        <f>Kassabudget!J27</f>
        <v>85.766666666666666</v>
      </c>
      <c r="I64" s="188">
        <f>Kassabudget!K27</f>
        <v>85.766666666666666</v>
      </c>
      <c r="J64" s="188">
        <f>Kassabudget!L27</f>
        <v>85.766666666666666</v>
      </c>
      <c r="K64" s="188">
        <f>Kassabudget!M27</f>
        <v>85.766666666666666</v>
      </c>
      <c r="L64" s="188">
        <f>Kassabudget!N27</f>
        <v>85.766666666666666</v>
      </c>
      <c r="M64" s="188">
        <f>Kassabudget!O27</f>
        <v>85.766666666666666</v>
      </c>
      <c r="N64" s="188">
        <f>Kassabudget!P27</f>
        <v>85.766666666666666</v>
      </c>
      <c r="O64" s="188">
        <f>Kassabudget!Q27</f>
        <v>85.766666666666666</v>
      </c>
      <c r="P64" s="188">
        <f>Kassabudget!R27</f>
        <v>85.766666666666666</v>
      </c>
      <c r="Q64" s="315">
        <f>SUM(E64:P64)</f>
        <v>1029.2</v>
      </c>
    </row>
    <row r="65" spans="3:22" x14ac:dyDescent="0.2">
      <c r="C65" s="217" t="s">
        <v>101</v>
      </c>
      <c r="D65" s="220"/>
      <c r="E65" s="316">
        <f>E64-E64/(1+$D64/100)</f>
        <v>16.599999999999994</v>
      </c>
      <c r="F65" s="316">
        <f t="shared" ref="F65:P65" si="26">F64-F64/(1+$D64/100)</f>
        <v>16.599999999999994</v>
      </c>
      <c r="G65" s="316">
        <f t="shared" si="26"/>
        <v>16.599999999999994</v>
      </c>
      <c r="H65" s="316">
        <f t="shared" si="26"/>
        <v>16.599999999999994</v>
      </c>
      <c r="I65" s="316">
        <f t="shared" si="26"/>
        <v>16.599999999999994</v>
      </c>
      <c r="J65" s="316">
        <f t="shared" si="26"/>
        <v>16.599999999999994</v>
      </c>
      <c r="K65" s="316">
        <f t="shared" si="26"/>
        <v>16.599999999999994</v>
      </c>
      <c r="L65" s="316">
        <f t="shared" si="26"/>
        <v>16.599999999999994</v>
      </c>
      <c r="M65" s="316">
        <f t="shared" si="26"/>
        <v>16.599999999999994</v>
      </c>
      <c r="N65" s="316">
        <f t="shared" si="26"/>
        <v>16.599999999999994</v>
      </c>
      <c r="O65" s="316">
        <f t="shared" si="26"/>
        <v>16.599999999999994</v>
      </c>
      <c r="P65" s="316">
        <f t="shared" si="26"/>
        <v>16.599999999999994</v>
      </c>
      <c r="Q65" s="320"/>
    </row>
    <row r="66" spans="3:22" x14ac:dyDescent="0.2">
      <c r="C66" s="215" t="s">
        <v>81</v>
      </c>
      <c r="D66" s="216">
        <f>Kassabudget!F30</f>
        <v>24</v>
      </c>
      <c r="E66" s="319">
        <f>Kassabudget!G30</f>
        <v>258.33333333333337</v>
      </c>
      <c r="F66" s="319">
        <f>Kassabudget!H30</f>
        <v>258.33333333333337</v>
      </c>
      <c r="G66" s="319">
        <f>Kassabudget!I30</f>
        <v>258.33333333333337</v>
      </c>
      <c r="H66" s="319">
        <f>Kassabudget!J30</f>
        <v>258.33333333333337</v>
      </c>
      <c r="I66" s="319">
        <f>Kassabudget!K30</f>
        <v>258.33333333333337</v>
      </c>
      <c r="J66" s="319">
        <f>Kassabudget!L30</f>
        <v>258.33333333333337</v>
      </c>
      <c r="K66" s="319">
        <f>Kassabudget!M30</f>
        <v>258.33333333333337</v>
      </c>
      <c r="L66" s="319">
        <f>Kassabudget!N30</f>
        <v>258.33333333333337</v>
      </c>
      <c r="M66" s="319">
        <f>Kassabudget!O30</f>
        <v>258.33333333333337</v>
      </c>
      <c r="N66" s="319">
        <f>Kassabudget!P30</f>
        <v>258.33333333333337</v>
      </c>
      <c r="O66" s="319">
        <f>Kassabudget!Q30</f>
        <v>258.33333333333337</v>
      </c>
      <c r="P66" s="319">
        <f>Kassabudget!R30</f>
        <v>258.33333333333337</v>
      </c>
      <c r="Q66" s="315">
        <f>SUM(E66:P66)</f>
        <v>3100.0000000000014</v>
      </c>
    </row>
    <row r="67" spans="3:22" x14ac:dyDescent="0.2">
      <c r="C67" s="217" t="s">
        <v>101</v>
      </c>
      <c r="D67" s="218"/>
      <c r="E67" s="316">
        <f>E66-E66/(1+$D66/100)</f>
        <v>50</v>
      </c>
      <c r="F67" s="316">
        <f t="shared" ref="F67:P67" si="27">F66-F66/(1+$D66/100)</f>
        <v>50</v>
      </c>
      <c r="G67" s="316">
        <f t="shared" si="27"/>
        <v>50</v>
      </c>
      <c r="H67" s="316">
        <f t="shared" si="27"/>
        <v>50</v>
      </c>
      <c r="I67" s="316">
        <f t="shared" si="27"/>
        <v>50</v>
      </c>
      <c r="J67" s="316">
        <f t="shared" si="27"/>
        <v>50</v>
      </c>
      <c r="K67" s="316">
        <f t="shared" si="27"/>
        <v>50</v>
      </c>
      <c r="L67" s="316">
        <f t="shared" si="27"/>
        <v>50</v>
      </c>
      <c r="M67" s="316">
        <f t="shared" si="27"/>
        <v>50</v>
      </c>
      <c r="N67" s="316">
        <f t="shared" si="27"/>
        <v>50</v>
      </c>
      <c r="O67" s="316">
        <f t="shared" si="27"/>
        <v>50</v>
      </c>
      <c r="P67" s="316">
        <f t="shared" si="27"/>
        <v>50</v>
      </c>
      <c r="Q67" s="320"/>
    </row>
    <row r="68" spans="3:22" ht="13.5" thickBot="1" x14ac:dyDescent="0.25">
      <c r="C68" s="212" t="s">
        <v>102</v>
      </c>
      <c r="D68" s="221"/>
      <c r="E68" s="323">
        <f>E49+E51+E53+E55+E57+E59+E61+E67+E63+E65</f>
        <v>11117.438420937138</v>
      </c>
      <c r="F68" s="323">
        <f t="shared" ref="F68:P68" si="28">F49+F51+F53+F55+F57+F59+F61+F67+F63+F65</f>
        <v>2537.0027926960252</v>
      </c>
      <c r="G68" s="323">
        <f t="shared" si="28"/>
        <v>2537.0027926960252</v>
      </c>
      <c r="H68" s="323">
        <f t="shared" si="28"/>
        <v>2853.2365914786965</v>
      </c>
      <c r="I68" s="323">
        <f t="shared" si="28"/>
        <v>3169.4703902613674</v>
      </c>
      <c r="J68" s="323">
        <f t="shared" si="28"/>
        <v>3485.7041890440373</v>
      </c>
      <c r="K68" s="323">
        <f t="shared" si="28"/>
        <v>3801.9379878267091</v>
      </c>
      <c r="L68" s="323">
        <f t="shared" si="28"/>
        <v>3801.9379878267091</v>
      </c>
      <c r="M68" s="323">
        <f t="shared" si="28"/>
        <v>3801.9379878267091</v>
      </c>
      <c r="N68" s="323">
        <f t="shared" si="28"/>
        <v>3801.9379878267091</v>
      </c>
      <c r="O68" s="323">
        <f t="shared" si="28"/>
        <v>3801.9379878267091</v>
      </c>
      <c r="P68" s="323">
        <f t="shared" si="28"/>
        <v>3801.9379878267091</v>
      </c>
      <c r="Q68" s="324">
        <f>SUM(E68:P68)</f>
        <v>48511.483104073537</v>
      </c>
    </row>
    <row r="69" spans="3:22" x14ac:dyDescent="0.2">
      <c r="C69" s="52"/>
      <c r="D69" s="52"/>
      <c r="E69" s="321"/>
      <c r="F69" s="321"/>
      <c r="G69" s="321"/>
      <c r="H69" s="321"/>
      <c r="I69" s="321"/>
      <c r="J69" s="321"/>
      <c r="K69" s="321"/>
      <c r="L69" s="321"/>
      <c r="M69" s="321"/>
      <c r="N69" s="321"/>
      <c r="O69" s="321"/>
      <c r="P69" s="321"/>
      <c r="Q69" s="322"/>
    </row>
    <row r="70" spans="3:22" ht="13.5" thickBot="1" x14ac:dyDescent="0.25">
      <c r="C70" s="222" t="s">
        <v>103</v>
      </c>
      <c r="D70" s="52"/>
      <c r="E70" s="323">
        <f>E43-E68</f>
        <v>-9600.4377191827516</v>
      </c>
      <c r="F70" s="323">
        <f t="shared" ref="F70:P70" si="29">F43-F68</f>
        <v>-261.50174006444649</v>
      </c>
      <c r="G70" s="323">
        <f t="shared" si="29"/>
        <v>-261.50174006444649</v>
      </c>
      <c r="H70" s="323">
        <f t="shared" si="29"/>
        <v>-198.48536340852115</v>
      </c>
      <c r="I70" s="323">
        <f t="shared" si="29"/>
        <v>-135.46898675259536</v>
      </c>
      <c r="J70" s="323">
        <f t="shared" si="29"/>
        <v>-72.452610096669105</v>
      </c>
      <c r="K70" s="323">
        <f t="shared" si="29"/>
        <v>-9.4362334407442177</v>
      </c>
      <c r="L70" s="323">
        <f t="shared" si="29"/>
        <v>-9.4362334407442177</v>
      </c>
      <c r="M70" s="323">
        <f t="shared" si="29"/>
        <v>-9.4362334407442177</v>
      </c>
      <c r="N70" s="323">
        <f t="shared" si="29"/>
        <v>-9.4362334407442177</v>
      </c>
      <c r="O70" s="323">
        <f t="shared" si="29"/>
        <v>-9.4362334407442177</v>
      </c>
      <c r="P70" s="323">
        <f t="shared" si="29"/>
        <v>-9.4362334407442177</v>
      </c>
      <c r="Q70" s="324">
        <f>SUM(E70:P70)</f>
        <v>-10586.465560213899</v>
      </c>
    </row>
    <row r="72" spans="3:22" x14ac:dyDescent="0.2">
      <c r="T72" s="740" t="s">
        <v>631</v>
      </c>
      <c r="U72" s="740" t="s">
        <v>632</v>
      </c>
    </row>
    <row r="73" spans="3:22" x14ac:dyDescent="0.2">
      <c r="C73" s="742" t="s">
        <v>139</v>
      </c>
      <c r="D73" s="743"/>
      <c r="E73" s="744">
        <f>SUM(E74:E79)</f>
        <v>258.33333333333331</v>
      </c>
      <c r="F73" s="744">
        <f t="shared" ref="F73:P73" si="30">SUM(F74:F79)</f>
        <v>258.33333333333331</v>
      </c>
      <c r="G73" s="744">
        <f t="shared" si="30"/>
        <v>258.33333333333331</v>
      </c>
      <c r="H73" s="744">
        <f t="shared" si="30"/>
        <v>258.33333333333331</v>
      </c>
      <c r="I73" s="744">
        <f t="shared" si="30"/>
        <v>258.33333333333331</v>
      </c>
      <c r="J73" s="744">
        <f t="shared" si="30"/>
        <v>258.33333333333331</v>
      </c>
      <c r="K73" s="744">
        <f t="shared" si="30"/>
        <v>258.33333333333331</v>
      </c>
      <c r="L73" s="744">
        <f t="shared" si="30"/>
        <v>258.33333333333331</v>
      </c>
      <c r="M73" s="744">
        <f t="shared" si="30"/>
        <v>258.33333333333331</v>
      </c>
      <c r="N73" s="744">
        <f t="shared" si="30"/>
        <v>258.33333333333331</v>
      </c>
      <c r="O73" s="744">
        <f t="shared" si="30"/>
        <v>258.33333333333331</v>
      </c>
      <c r="P73" s="744">
        <f t="shared" si="30"/>
        <v>258.33333333333331</v>
      </c>
      <c r="Q73" s="744">
        <f>SUM(E73:P73)</f>
        <v>3100.0000000000005</v>
      </c>
      <c r="T73" s="50">
        <f>SUM(T74:T79)</f>
        <v>3100</v>
      </c>
      <c r="U73" s="50">
        <f>SUM(U74:U79)</f>
        <v>2500</v>
      </c>
    </row>
    <row r="74" spans="3:22" x14ac:dyDescent="0.2">
      <c r="C74" s="348" t="s">
        <v>136</v>
      </c>
      <c r="D74" s="344">
        <f>Kassabudget!F30</f>
        <v>24</v>
      </c>
      <c r="E74" s="310">
        <f>'AT1 Palkat, alv'!$U74/12*(1+$D74/100)</f>
        <v>51.666666666666664</v>
      </c>
      <c r="F74" s="310">
        <f>'AT1 Palkat, alv'!$U74/12*(1+$D74/100)</f>
        <v>51.666666666666664</v>
      </c>
      <c r="G74" s="310">
        <f>'AT1 Palkat, alv'!$U74/12*(1+$D74/100)</f>
        <v>51.666666666666664</v>
      </c>
      <c r="H74" s="310">
        <f>'AT1 Palkat, alv'!$U74/12*(1+$D74/100)</f>
        <v>51.666666666666664</v>
      </c>
      <c r="I74" s="310">
        <f>'AT1 Palkat, alv'!$U74/12*(1+$D74/100)</f>
        <v>51.666666666666664</v>
      </c>
      <c r="J74" s="310">
        <f>'AT1 Palkat, alv'!$U74/12*(1+$D74/100)</f>
        <v>51.666666666666664</v>
      </c>
      <c r="K74" s="310">
        <f>'AT1 Palkat, alv'!$U74/12*(1+$D74/100)</f>
        <v>51.666666666666664</v>
      </c>
      <c r="L74" s="310">
        <f>'AT1 Palkat, alv'!$U74/12*(1+$D74/100)</f>
        <v>51.666666666666664</v>
      </c>
      <c r="M74" s="310">
        <f>'AT1 Palkat, alv'!$U74/12*(1+$D74/100)</f>
        <v>51.666666666666664</v>
      </c>
      <c r="N74" s="310">
        <f>'AT1 Palkat, alv'!$U74/12*(1+$D74/100)</f>
        <v>51.666666666666664</v>
      </c>
      <c r="O74" s="310">
        <f>'AT1 Palkat, alv'!$U74/12*(1+$D74/100)</f>
        <v>51.666666666666664</v>
      </c>
      <c r="P74" s="310">
        <f>'AT1 Palkat, alv'!$U74/12*(1+$D74/100)</f>
        <v>51.666666666666664</v>
      </c>
      <c r="Q74" s="290">
        <f t="shared" ref="Q74:Q78" si="31">SUM(E74:P74)</f>
        <v>620</v>
      </c>
      <c r="S74" s="225"/>
      <c r="T74" s="297">
        <f>U74*(1+'AT1 Palkat, alv'!D74/100)</f>
        <v>620</v>
      </c>
      <c r="U74" s="288">
        <f>IF('K1 Kostnader'!$C$9&gt;0,(IF('K1 Kostnader'!$F$13=12,'K1 Kostnader'!$F45,IF('K1 Kostnader'!$F$13&lt;12,12*(('K1 Kostnader'!$F45+'K1 Kostnader'!$G45)/('K1 Kostnader'!$F$13+'K1 Kostnader'!$G$13)),12*'K1 Kostnader'!$F45/'K1 Kostnader'!$F$13))),(IF('FS1 Kostnader '!$F$13=12,'FS1 Kostnader '!$F45,IF('FS1 Kostnader '!$F$13&lt;12,12*(('FS1 Kostnader '!$F45+'FS1 Kostnader '!$G45)/('FS1 Kostnader '!$F$13+'FS1 Kostnader '!$G$13)),12*'FS1 Kostnader '!$F45/'FS1 Kostnader '!$F$13))))</f>
        <v>500</v>
      </c>
      <c r="V74" s="308" t="s">
        <v>177</v>
      </c>
    </row>
    <row r="75" spans="3:22" x14ac:dyDescent="0.2">
      <c r="C75" s="347" t="s">
        <v>137</v>
      </c>
      <c r="D75" s="344">
        <f>Kassabudget!F29</f>
        <v>24</v>
      </c>
      <c r="E75" s="309">
        <f>'AT1 Palkat, alv'!$U75/12*(1+$D75/100)</f>
        <v>0</v>
      </c>
      <c r="F75" s="309">
        <f>'AT1 Palkat, alv'!$U75/12*(1+$D75/100)</f>
        <v>0</v>
      </c>
      <c r="G75" s="309">
        <f>'AT1 Palkat, alv'!$U75/12*(1+$D75/100)</f>
        <v>0</v>
      </c>
      <c r="H75" s="309">
        <f>'AT1 Palkat, alv'!$U75/12*(1+$D75/100)</f>
        <v>0</v>
      </c>
      <c r="I75" s="309">
        <f>'AT1 Palkat, alv'!$U75/12*(1+$D75/100)</f>
        <v>0</v>
      </c>
      <c r="J75" s="309">
        <f>'AT1 Palkat, alv'!$U75/12*(1+$D75/100)</f>
        <v>0</v>
      </c>
      <c r="K75" s="309">
        <f>'AT1 Palkat, alv'!$U75/12*(1+$D75/100)</f>
        <v>0</v>
      </c>
      <c r="L75" s="309">
        <f>'AT1 Palkat, alv'!$U75/12*(1+$D75/100)</f>
        <v>0</v>
      </c>
      <c r="M75" s="309">
        <f>'AT1 Palkat, alv'!$U75/12*(1+$D75/100)</f>
        <v>0</v>
      </c>
      <c r="N75" s="309">
        <f>'AT1 Palkat, alv'!$U75/12*(1+$D75/100)</f>
        <v>0</v>
      </c>
      <c r="O75" s="309">
        <f>'AT1 Palkat, alv'!$U75/12*(1+$D75/100)</f>
        <v>0</v>
      </c>
      <c r="P75" s="309">
        <f>'AT1 Palkat, alv'!$U75/12*(1+$D75/100)</f>
        <v>0</v>
      </c>
      <c r="Q75" s="289">
        <f t="shared" si="31"/>
        <v>0</v>
      </c>
      <c r="S75" s="225"/>
      <c r="T75" s="297">
        <f>U75*(1+'AT1 Palkat, alv'!D75/100)</f>
        <v>0</v>
      </c>
      <c r="U75" s="288">
        <f>IF('K1 Kostnader'!$C$9&gt;0,(IF('K1 Kostnader'!$F$13=12,'K1 Kostnader'!$F113,IF('K1 Kostnader'!$F$13&lt;12,12*(('K1 Kostnader'!$F113+'K1 Kostnader'!$G113)/('K1 Kostnader'!$F$13+'K1 Kostnader'!$G$13)),12*'K1 Kostnader'!$F113/'K1 Kostnader'!$F$13))),(IF('FS1 Kostnader '!$F$13=12,'FS1 Kostnader '!$F113,IF('FS1 Kostnader '!$F$13&lt;12,12*(('FS1 Kostnader '!$F113+'FS1 Kostnader '!$G113)/('FS1 Kostnader '!$F$13+'FS1 Kostnader '!$G$13)),12*'FS1 Kostnader '!$F113/'FS1 Kostnader '!$F$13))))</f>
        <v>0</v>
      </c>
      <c r="V75" s="308" t="s">
        <v>236</v>
      </c>
    </row>
    <row r="76" spans="3:22" x14ac:dyDescent="0.2">
      <c r="C76" s="347" t="s">
        <v>135</v>
      </c>
      <c r="D76" s="344">
        <f>D75</f>
        <v>24</v>
      </c>
      <c r="E76" s="313">
        <f>'AT1 Palkat, alv'!$U76/12*(1+$D76/100)</f>
        <v>0</v>
      </c>
      <c r="F76" s="313">
        <f>'AT1 Palkat, alv'!$U76/12*(1+$D76/100)</f>
        <v>0</v>
      </c>
      <c r="G76" s="313">
        <f>'AT1 Palkat, alv'!$U76/12*(1+$D76/100)</f>
        <v>0</v>
      </c>
      <c r="H76" s="313">
        <f>'AT1 Palkat, alv'!$U76/12*(1+$D76/100)</f>
        <v>0</v>
      </c>
      <c r="I76" s="313">
        <f>'AT1 Palkat, alv'!$U76/12*(1+$D76/100)</f>
        <v>0</v>
      </c>
      <c r="J76" s="313">
        <f>'AT1 Palkat, alv'!$U76/12*(1+$D76/100)</f>
        <v>0</v>
      </c>
      <c r="K76" s="313">
        <f>'AT1 Palkat, alv'!$U76/12*(1+$D76/100)</f>
        <v>0</v>
      </c>
      <c r="L76" s="313">
        <f>'AT1 Palkat, alv'!$U76/12*(1+$D76/100)</f>
        <v>0</v>
      </c>
      <c r="M76" s="313">
        <f>'AT1 Palkat, alv'!$U76/12*(1+$D76/100)</f>
        <v>0</v>
      </c>
      <c r="N76" s="313">
        <f>'AT1 Palkat, alv'!$U76/12*(1+$D76/100)</f>
        <v>0</v>
      </c>
      <c r="O76" s="313">
        <f>'AT1 Palkat, alv'!$U76/12*(1+$D76/100)</f>
        <v>0</v>
      </c>
      <c r="P76" s="313">
        <f>'AT1 Palkat, alv'!$U76/12*(1+$D76/100)</f>
        <v>0</v>
      </c>
      <c r="Q76" s="290">
        <f t="shared" si="31"/>
        <v>0</v>
      </c>
      <c r="S76" s="225"/>
      <c r="T76" s="297">
        <f>U76*(1+'AT1 Palkat, alv'!D76/100)</f>
        <v>0</v>
      </c>
      <c r="U76" s="288">
        <f>IF('K1 Kostnader'!$C$9&gt;0,(IF('K1 Kostnader'!$F$13=12,'K1 Kostnader'!$F114,IF('K1 Kostnader'!$F$13&lt;12,12*(('K1 Kostnader'!$F114+'K1 Kostnader'!$G114)/('K1 Kostnader'!$F$13+'K1 Kostnader'!$G$13)),12*'K1 Kostnader'!$F114/'K1 Kostnader'!$F$13))),(IF('FS1 Kostnader '!$F$13=12,'FS1 Kostnader '!$F114,IF('FS1 Kostnader '!$F$13&lt;12,12*(('FS1 Kostnader '!$F114+'FS1 Kostnader '!$G114)/('FS1 Kostnader '!$F$13+'FS1 Kostnader '!$G$13)),12*'FS1 Kostnader '!$F114/'FS1 Kostnader '!$F$13))))</f>
        <v>0</v>
      </c>
      <c r="V76" s="308" t="s">
        <v>235</v>
      </c>
    </row>
    <row r="77" spans="3:22" x14ac:dyDescent="0.2">
      <c r="C77" s="347" t="s">
        <v>138</v>
      </c>
      <c r="D77" s="344">
        <f>D76</f>
        <v>24</v>
      </c>
      <c r="E77" s="312">
        <f>'AT1 Palkat, alv'!$U77/12*(1+$D77/100)</f>
        <v>206.66666666666666</v>
      </c>
      <c r="F77" s="312">
        <f>'AT1 Palkat, alv'!$U77/12*(1+$D77/100)</f>
        <v>206.66666666666666</v>
      </c>
      <c r="G77" s="312">
        <f>'AT1 Palkat, alv'!$U77/12*(1+$D77/100)</f>
        <v>206.66666666666666</v>
      </c>
      <c r="H77" s="312">
        <f>'AT1 Palkat, alv'!$U77/12*(1+$D77/100)</f>
        <v>206.66666666666666</v>
      </c>
      <c r="I77" s="312">
        <f>'AT1 Palkat, alv'!$U77/12*(1+$D77/100)</f>
        <v>206.66666666666666</v>
      </c>
      <c r="J77" s="312">
        <f>'AT1 Palkat, alv'!$U77/12*(1+$D77/100)</f>
        <v>206.66666666666666</v>
      </c>
      <c r="K77" s="312">
        <f>'AT1 Palkat, alv'!$U77/12*(1+$D77/100)</f>
        <v>206.66666666666666</v>
      </c>
      <c r="L77" s="312">
        <f>'AT1 Palkat, alv'!$U77/12*(1+$D77/100)</f>
        <v>206.66666666666666</v>
      </c>
      <c r="M77" s="312">
        <f>'AT1 Palkat, alv'!$U77/12*(1+$D77/100)</f>
        <v>206.66666666666666</v>
      </c>
      <c r="N77" s="312">
        <f>'AT1 Palkat, alv'!$U77/12*(1+$D77/100)</f>
        <v>206.66666666666666</v>
      </c>
      <c r="O77" s="312">
        <f>'AT1 Palkat, alv'!$U77/12*(1+$D77/100)</f>
        <v>206.66666666666666</v>
      </c>
      <c r="P77" s="312">
        <f>'AT1 Palkat, alv'!$U77/12*(1+$D77/100)</f>
        <v>206.66666666666666</v>
      </c>
      <c r="Q77" s="290">
        <f t="shared" si="31"/>
        <v>2480</v>
      </c>
      <c r="S77" s="225"/>
      <c r="T77" s="342">
        <f>U77*(1+'AT1 Palkat, alv'!D77/100)</f>
        <v>2480</v>
      </c>
      <c r="U77" s="288">
        <f>IF('K1 Kostnader'!$C$9&gt;0,(IF('K1 Kostnader'!$F$13=12,'K1 Kostnader'!$F97,IF('K1 Kostnader'!$F$13&lt;12,12*(('K1 Kostnader'!$F97+'K1 Kostnader'!$G97)/('K1 Kostnader'!$F$13+'K1 Kostnader'!$G$13)),12*'K1 Kostnader'!$F97/'K1 Kostnader'!$F$13))),(IF('FS1 Kostnader '!$F$13=12,'FS1 Kostnader '!$F97,IF('FS1 Kostnader '!$F$13&lt;12,12*(('FS1 Kostnader '!$F97+'FS1 Kostnader '!$G97)/('FS1 Kostnader '!$F$13+'FS1 Kostnader '!$G$13)),12*'FS1 Kostnader '!$F97/'FS1 Kostnader '!$F$13))))</f>
        <v>2000</v>
      </c>
      <c r="V77" s="308" t="s">
        <v>237</v>
      </c>
    </row>
    <row r="78" spans="3:22" x14ac:dyDescent="0.2">
      <c r="C78" s="351" t="s">
        <v>140</v>
      </c>
      <c r="D78" s="344">
        <f>D77</f>
        <v>24</v>
      </c>
      <c r="E78" s="312">
        <f>'AT1 Palkat, alv'!$U78/12*(1+$D78/100)</f>
        <v>0</v>
      </c>
      <c r="F78" s="312">
        <f>'AT1 Palkat, alv'!$U78/12*(1+$D78/100)</f>
        <v>0</v>
      </c>
      <c r="G78" s="312">
        <f>'AT1 Palkat, alv'!$U78/12*(1+$D78/100)</f>
        <v>0</v>
      </c>
      <c r="H78" s="312">
        <f>'AT1 Palkat, alv'!$U78/12*(1+$D78/100)</f>
        <v>0</v>
      </c>
      <c r="I78" s="312">
        <f>'AT1 Palkat, alv'!$U78/12*(1+$D78/100)</f>
        <v>0</v>
      </c>
      <c r="J78" s="312">
        <f>'AT1 Palkat, alv'!$U78/12*(1+$D78/100)</f>
        <v>0</v>
      </c>
      <c r="K78" s="312">
        <f>'AT1 Palkat, alv'!$U78/12*(1+$D78/100)</f>
        <v>0</v>
      </c>
      <c r="L78" s="312">
        <f>'AT1 Palkat, alv'!$U78/12*(1+$D78/100)</f>
        <v>0</v>
      </c>
      <c r="M78" s="312">
        <f>'AT1 Palkat, alv'!$U78/12*(1+$D78/100)</f>
        <v>0</v>
      </c>
      <c r="N78" s="312">
        <f>'AT1 Palkat, alv'!$U78/12*(1+$D78/100)</f>
        <v>0</v>
      </c>
      <c r="O78" s="312">
        <f>'AT1 Palkat, alv'!$U78/12*(1+$D78/100)</f>
        <v>0</v>
      </c>
      <c r="P78" s="312">
        <f>'AT1 Palkat, alv'!$U78/12*(1+$D78/100)</f>
        <v>0</v>
      </c>
      <c r="Q78" s="290">
        <f t="shared" si="31"/>
        <v>0</v>
      </c>
      <c r="T78" s="342">
        <f>U78*(1+'AT1 Palkat, alv'!D78/100)</f>
        <v>0</v>
      </c>
      <c r="U78" s="288">
        <f>IF('K1 Kostnader'!$C$9&gt;0,(IF('K1 Kostnader'!$F$13=12,'K1 Kostnader'!$F94,IF('K1 Kostnader'!$F$13&lt;12,12*(('K1 Kostnader'!$F94+'K1 Kostnader'!$G94)/('K1 Kostnader'!$F$13+'K1 Kostnader'!$G$13)),12*'K1 Kostnader'!$F94/'K1 Kostnader'!$F$13))),(IF('FS1 Kostnader '!$F$13=12,'FS1 Kostnader '!$F94,IF('FS1 Kostnader '!$F$13&lt;12,12*(('FS1 Kostnader '!$F94+'FS1 Kostnader '!$G94)/('FS1 Kostnader '!$F$13+'FS1 Kostnader '!$G$13)),12*'FS1 Kostnader '!$F94/'FS1 Kostnader '!$F$13))))</f>
        <v>0</v>
      </c>
      <c r="V78" s="308" t="s">
        <v>238</v>
      </c>
    </row>
    <row r="79" spans="3:22" x14ac:dyDescent="0.2">
      <c r="C79" s="739" t="str">
        <f>'K1 Kostnader'!D116</f>
        <v xml:space="preserve">Övriga Moms-avdragbara affärskostnader </v>
      </c>
      <c r="D79" s="344">
        <f>D78</f>
        <v>24</v>
      </c>
      <c r="E79" s="312">
        <f>'AT1 Palkat, alv'!$U79/12*(1+$D79/100)</f>
        <v>0</v>
      </c>
      <c r="F79" s="312">
        <f>'AT1 Palkat, alv'!$U79/12*(1+$D79/100)</f>
        <v>0</v>
      </c>
      <c r="G79" s="312">
        <f>'AT1 Palkat, alv'!$U79/12*(1+$D79/100)</f>
        <v>0</v>
      </c>
      <c r="H79" s="312">
        <f>'AT1 Palkat, alv'!$U79/12*(1+$D79/100)</f>
        <v>0</v>
      </c>
      <c r="I79" s="312">
        <f>'AT1 Palkat, alv'!$U79/12*(1+$D79/100)</f>
        <v>0</v>
      </c>
      <c r="J79" s="312">
        <f>'AT1 Palkat, alv'!$U79/12*(1+$D79/100)</f>
        <v>0</v>
      </c>
      <c r="K79" s="312">
        <f>'AT1 Palkat, alv'!$U79/12*(1+$D79/100)</f>
        <v>0</v>
      </c>
      <c r="L79" s="312">
        <f>'AT1 Palkat, alv'!$U79/12*(1+$D79/100)</f>
        <v>0</v>
      </c>
      <c r="M79" s="312">
        <f>'AT1 Palkat, alv'!$U79/12*(1+$D79/100)</f>
        <v>0</v>
      </c>
      <c r="N79" s="312">
        <f>'AT1 Palkat, alv'!$U79/12*(1+$D79/100)</f>
        <v>0</v>
      </c>
      <c r="O79" s="312">
        <f>'AT1 Palkat, alv'!$U79/12*(1+$D79/100)</f>
        <v>0</v>
      </c>
      <c r="P79" s="312">
        <f>'AT1 Palkat, alv'!$U79/12*(1+$D79/100)</f>
        <v>0</v>
      </c>
      <c r="Q79" s="290">
        <f t="shared" ref="Q79" si="32">SUM(E79:P79)</f>
        <v>0</v>
      </c>
      <c r="T79" s="342">
        <f>U79*(1+'AT1 Palkat, alv'!D79/100)</f>
        <v>0</v>
      </c>
      <c r="U79" s="288">
        <f>IF('K1 Kostnader'!$C$9&gt;0,(IF('K1 Kostnader'!$F$13=12,'K1 Kostnader'!$F116,IF('K1 Kostnader'!$F$13&lt;12,12*(('K1 Kostnader'!$F116+'K1 Kostnader'!$G116)/('K1 Kostnader'!$F$13+'K1 Kostnader'!$G$13)),12*'K1 Kostnader'!$F116/'K1 Kostnader'!$F$13))),(IF('FS1 Kostnader '!$F$13=12,'FS1 Kostnader '!$F116,IF('FS1 Kostnader '!$F$13&lt;12,12*(('FS1 Kostnader '!$F116+'FS1 Kostnader '!$G118)/('FS1 Kostnader '!$F$13+'FS1 Kostnader '!$G$13)),12*'FS1 Kostnader '!$F116/'FS1 Kostnader '!$F$13))))</f>
        <v>0</v>
      </c>
      <c r="V79" s="308" t="s">
        <v>630</v>
      </c>
    </row>
    <row r="80" spans="3:22" x14ac:dyDescent="0.2">
      <c r="C80" s="745" t="s">
        <v>142</v>
      </c>
      <c r="D80" s="742"/>
      <c r="E80" s="744">
        <f t="shared" ref="E80:Q80" si="33">SUM(E81:E87)</f>
        <v>62.5</v>
      </c>
      <c r="F80" s="744">
        <f t="shared" si="33"/>
        <v>62.5</v>
      </c>
      <c r="G80" s="744">
        <f t="shared" si="33"/>
        <v>62.5</v>
      </c>
      <c r="H80" s="744">
        <f t="shared" si="33"/>
        <v>62.5</v>
      </c>
      <c r="I80" s="744">
        <f t="shared" si="33"/>
        <v>62.5</v>
      </c>
      <c r="J80" s="744">
        <f t="shared" si="33"/>
        <v>62.5</v>
      </c>
      <c r="K80" s="744">
        <f t="shared" si="33"/>
        <v>62.5</v>
      </c>
      <c r="L80" s="744">
        <f t="shared" si="33"/>
        <v>62.5</v>
      </c>
      <c r="M80" s="744">
        <f t="shared" si="33"/>
        <v>62.5</v>
      </c>
      <c r="N80" s="744">
        <f t="shared" si="33"/>
        <v>62.5</v>
      </c>
      <c r="O80" s="744">
        <f t="shared" si="33"/>
        <v>62.5</v>
      </c>
      <c r="P80" s="744">
        <f t="shared" si="33"/>
        <v>62.5</v>
      </c>
      <c r="Q80" s="744">
        <f t="shared" si="33"/>
        <v>750</v>
      </c>
      <c r="R80" s="50" t="s">
        <v>0</v>
      </c>
      <c r="S80" s="50" t="s">
        <v>0</v>
      </c>
      <c r="T80" s="741" t="s">
        <v>0</v>
      </c>
      <c r="U80" s="50">
        <f>SUM(U81:U87)</f>
        <v>750</v>
      </c>
    </row>
    <row r="81" spans="3:22" x14ac:dyDescent="0.2">
      <c r="C81" s="346" t="s">
        <v>82</v>
      </c>
      <c r="D81" s="311"/>
      <c r="E81" s="309"/>
      <c r="F81" s="309">
        <f>U81</f>
        <v>0</v>
      </c>
      <c r="G81" s="309"/>
      <c r="H81" s="309"/>
      <c r="I81" s="309"/>
      <c r="J81" s="309"/>
      <c r="K81" s="309"/>
      <c r="L81" s="309"/>
      <c r="M81" s="309"/>
      <c r="N81" s="309"/>
      <c r="O81" s="309"/>
      <c r="P81" s="309"/>
      <c r="Q81" s="289">
        <f t="shared" ref="Q81:Q86" si="34">SUM(E81:P81)</f>
        <v>0</v>
      </c>
      <c r="R81" s="282"/>
      <c r="S81" s="225"/>
      <c r="T81" s="296"/>
      <c r="U81" s="288">
        <f>IF('K1 Kostnader'!$C$9&gt;0,(IF('K1 Kostnader'!$F$13=12,'K1 Kostnader'!$F102,IF('K1 Kostnader'!$F$13&lt;12,12*(('K1 Kostnader'!$F102+'K1 Kostnader'!$G102)/('K1 Kostnader'!$F$13+'K1 Kostnader'!$G$13)),12*'K1 Kostnader'!$F102/'K1 Kostnader'!$F$13))),(IF('FS1 Kostnader '!$F$13=12,'FS1 Kostnader '!$F102,IF('FS1 Kostnader '!$F$13&lt;12,12*(('FS1 Kostnader '!$F102+'FS1 Kostnader '!$G102)/('FS1 Kostnader '!$F$13+'FS1 Kostnader '!$G$13)),12*'FS1 Kostnader '!$F102/'FS1 Kostnader '!$F$13))))</f>
        <v>0</v>
      </c>
      <c r="V81" s="308" t="s">
        <v>239</v>
      </c>
    </row>
    <row r="82" spans="3:22" x14ac:dyDescent="0.2">
      <c r="C82" s="346" t="s">
        <v>107</v>
      </c>
      <c r="D82" s="311"/>
      <c r="E82" s="309"/>
      <c r="F82" s="309">
        <f>U82</f>
        <v>0</v>
      </c>
      <c r="G82" s="309"/>
      <c r="H82" s="309"/>
      <c r="I82" s="309">
        <v>0</v>
      </c>
      <c r="J82" s="309"/>
      <c r="K82" s="309"/>
      <c r="L82" s="309"/>
      <c r="M82" s="309"/>
      <c r="N82" s="309"/>
      <c r="O82" s="309"/>
      <c r="P82" s="309"/>
      <c r="Q82" s="289">
        <f t="shared" si="34"/>
        <v>0</v>
      </c>
      <c r="R82" s="282"/>
      <c r="S82" s="225"/>
      <c r="T82" s="296"/>
      <c r="U82" s="288">
        <f>IF('K1 Kostnader'!$C$9&gt;0,(IF('K1 Kostnader'!$F$13=12,'K1 Kostnader'!$F103,IF('K1 Kostnader'!$F$13&lt;12,12*(('K1 Kostnader'!$F103+'K1 Kostnader'!$G103)/('K1 Kostnader'!$F$13+'K1 Kostnader'!$G$13)),12*'K1 Kostnader'!$F103/'K1 Kostnader'!$F$13))),(IF('FS1 Kostnader '!$F$13=12,'FS1 Kostnader '!$F103,IF('FS1 Kostnader '!$F$13&lt;12,12*(('FS1 Kostnader '!$F103+'FS1 Kostnader '!$G103)/('FS1 Kostnader '!$F$13+'FS1 Kostnader '!$G$13)),12*'FS1 Kostnader '!$F103/'FS1 Kostnader '!$F$13))))</f>
        <v>0</v>
      </c>
      <c r="V82" s="308" t="s">
        <v>239</v>
      </c>
    </row>
    <row r="83" spans="3:22" x14ac:dyDescent="0.2">
      <c r="C83" s="346" t="s">
        <v>83</v>
      </c>
      <c r="D83" s="311"/>
      <c r="E83" s="309"/>
      <c r="F83" s="309">
        <f>U83</f>
        <v>0</v>
      </c>
      <c r="G83" s="309"/>
      <c r="H83" s="309"/>
      <c r="I83" s="309"/>
      <c r="J83" s="309"/>
      <c r="K83" s="309"/>
      <c r="L83" s="309"/>
      <c r="M83" s="309"/>
      <c r="N83" s="309"/>
      <c r="O83" s="309"/>
      <c r="P83" s="309"/>
      <c r="Q83" s="289">
        <f t="shared" si="34"/>
        <v>0</v>
      </c>
      <c r="R83" s="282"/>
      <c r="S83" s="225"/>
      <c r="T83" s="296"/>
      <c r="U83" s="288">
        <f>IF('K1 Kostnader'!$C$9&gt;0,(IF('K1 Kostnader'!$F$13=12,'K1 Kostnader'!$F104,IF('K1 Kostnader'!$F$13&lt;12,12*(('K1 Kostnader'!$F104+'K1 Kostnader'!$G104)/('K1 Kostnader'!$F$13+'K1 Kostnader'!$G$13)),12*'K1 Kostnader'!$F104/'K1 Kostnader'!$F$13))),(IF('FS1 Kostnader '!$F$13=12,'FS1 Kostnader '!$F104,IF('FS1 Kostnader '!$F$13&lt;12,12*(('FS1 Kostnader '!$F104+'FS1 Kostnader '!$G104)/('FS1 Kostnader '!$F$13+'FS1 Kostnader '!$G$13)),12*'FS1 Kostnader '!$F104/'FS1 Kostnader '!$F$13))))</f>
        <v>0</v>
      </c>
      <c r="V83" s="308" t="s">
        <v>239</v>
      </c>
    </row>
    <row r="84" spans="3:22" x14ac:dyDescent="0.2">
      <c r="C84" s="346" t="s">
        <v>105</v>
      </c>
      <c r="D84" s="311"/>
      <c r="E84" s="309">
        <f t="shared" ref="E84:P85" si="35">$U84/12</f>
        <v>0</v>
      </c>
      <c r="F84" s="309">
        <f t="shared" si="35"/>
        <v>0</v>
      </c>
      <c r="G84" s="309">
        <f t="shared" si="35"/>
        <v>0</v>
      </c>
      <c r="H84" s="309">
        <f t="shared" si="35"/>
        <v>0</v>
      </c>
      <c r="I84" s="309">
        <f t="shared" si="35"/>
        <v>0</v>
      </c>
      <c r="J84" s="309">
        <f t="shared" si="35"/>
        <v>0</v>
      </c>
      <c r="K84" s="309">
        <f t="shared" si="35"/>
        <v>0</v>
      </c>
      <c r="L84" s="309">
        <f t="shared" si="35"/>
        <v>0</v>
      </c>
      <c r="M84" s="309">
        <f t="shared" si="35"/>
        <v>0</v>
      </c>
      <c r="N84" s="309">
        <f t="shared" si="35"/>
        <v>0</v>
      </c>
      <c r="O84" s="309">
        <f t="shared" si="35"/>
        <v>0</v>
      </c>
      <c r="P84" s="309">
        <f t="shared" si="35"/>
        <v>0</v>
      </c>
      <c r="Q84" s="289">
        <f t="shared" si="34"/>
        <v>0</v>
      </c>
      <c r="R84" s="282"/>
      <c r="S84" s="225"/>
      <c r="T84" s="296"/>
      <c r="U84" s="288">
        <f>IF('K1 Kostnader'!$C$9&gt;0,(IF('K1 Kostnader'!$F$13=12,'K1 Kostnader'!$F39,IF('K1 Kostnader'!$F$13&lt;12,12*(('K1 Kostnader'!$F39+'K1 Kostnader'!$G39)/('K1 Kostnader'!$F$13+'K1 Kostnader'!$G$13)),12*'K1 Kostnader'!$F39/'K1 Kostnader'!$F$13))),(IF('FS1 Kostnader '!$F$13=12,'FS1 Kostnader '!$F39,IF('FS1 Kostnader '!$F$13&lt;12,12*(('FS1 Kostnader '!$F39+'FS1 Kostnader '!$G39)/('FS1 Kostnader '!$F$13+'FS1 Kostnader '!$G$13)),12*'FS1 Kostnader '!$F39/'FS1 Kostnader '!$F$13))))</f>
        <v>0</v>
      </c>
      <c r="V84" s="308" t="s">
        <v>240</v>
      </c>
    </row>
    <row r="85" spans="3:22" x14ac:dyDescent="0.2">
      <c r="C85" s="633" t="s">
        <v>104</v>
      </c>
      <c r="D85" s="311"/>
      <c r="E85" s="309">
        <f t="shared" si="35"/>
        <v>62.5</v>
      </c>
      <c r="F85" s="309">
        <f t="shared" si="35"/>
        <v>62.5</v>
      </c>
      <c r="G85" s="309">
        <f t="shared" si="35"/>
        <v>62.5</v>
      </c>
      <c r="H85" s="309">
        <f t="shared" si="35"/>
        <v>62.5</v>
      </c>
      <c r="I85" s="309">
        <f t="shared" si="35"/>
        <v>62.5</v>
      </c>
      <c r="J85" s="309">
        <f t="shared" si="35"/>
        <v>62.5</v>
      </c>
      <c r="K85" s="309">
        <f t="shared" si="35"/>
        <v>62.5</v>
      </c>
      <c r="L85" s="309">
        <f t="shared" si="35"/>
        <v>62.5</v>
      </c>
      <c r="M85" s="309">
        <f t="shared" si="35"/>
        <v>62.5</v>
      </c>
      <c r="N85" s="309">
        <f t="shared" si="35"/>
        <v>62.5</v>
      </c>
      <c r="O85" s="309">
        <f t="shared" si="35"/>
        <v>62.5</v>
      </c>
      <c r="P85" s="309">
        <f t="shared" si="35"/>
        <v>62.5</v>
      </c>
      <c r="Q85" s="289">
        <f t="shared" si="34"/>
        <v>750</v>
      </c>
      <c r="R85" s="282"/>
      <c r="S85" s="225"/>
      <c r="T85" s="296"/>
      <c r="U85" s="288">
        <f>IF('K1 Kostnader'!$C$9&gt;0,(IF('K1 Kostnader'!$F$13=12,'K1 Kostnader'!$F42+'K1 Kostnader'!F43+'K1 Kostnader'!F44+'K1 Kostnader'!F46,IF('K1 Kostnader'!$F$13&lt;12,12*(('K1 Kostnader'!$F42+'K1 Kostnader'!$G42+'K1 Kostnader'!F43+'K1 Kostnader'!G43+'K1 Kostnader'!F44+'K1 Kostnader'!G44+'K1 Kostnader'!F46+'K1 Kostnader'!G46)/('K1 Kostnader'!$F$13+'K1 Kostnader'!$G$13)),12*('K1 Kostnader'!$F42+'K1 Kostnader'!F43+'K1 Kostnader'!F44+'K1 Kostnader'!F46)/'K1 Kostnader'!$F$13))),(IF('FS1 Kostnader '!$F$13=12,'FS1 Kostnader '!$F42+'FS1 Kostnader '!F43+'FS1 Kostnader '!F44+'FS1 Kostnader '!F46,IF('FS1 Kostnader '!$F$13&lt;12,12*(('FS1 Kostnader '!$F42+'FS1 Kostnader '!$G42+'FS1 Kostnader '!F43+'FS1 Kostnader '!G43+'FS1 Kostnader '!F44+'FS1 Kostnader '!G44+'FS1 Kostnader '!F46+'FS1 Kostnader '!G46)/('FS1 Kostnader '!$F$13+'FS1 Kostnader '!$G$13)),12*('FS1 Kostnader '!$F42+'FS1 Kostnader '!F43+'FS1 Kostnader '!F44+'FS1 Kostnader '!F46)/'FS1 Kostnader '!$F$13))))</f>
        <v>750</v>
      </c>
      <c r="V85" s="308" t="s">
        <v>634</v>
      </c>
    </row>
    <row r="86" spans="3:22" x14ac:dyDescent="0.2">
      <c r="C86" s="633" t="s">
        <v>141</v>
      </c>
      <c r="D86" s="226"/>
      <c r="E86" s="309">
        <f>$U86/12</f>
        <v>0</v>
      </c>
      <c r="F86" s="309">
        <f t="shared" ref="F86:P87" si="36">$U86/12</f>
        <v>0</v>
      </c>
      <c r="G86" s="309">
        <f t="shared" si="36"/>
        <v>0</v>
      </c>
      <c r="H86" s="309">
        <f t="shared" si="36"/>
        <v>0</v>
      </c>
      <c r="I86" s="309">
        <f t="shared" si="36"/>
        <v>0</v>
      </c>
      <c r="J86" s="309">
        <f t="shared" si="36"/>
        <v>0</v>
      </c>
      <c r="K86" s="309">
        <f t="shared" si="36"/>
        <v>0</v>
      </c>
      <c r="L86" s="309">
        <f t="shared" si="36"/>
        <v>0</v>
      </c>
      <c r="M86" s="309">
        <f t="shared" si="36"/>
        <v>0</v>
      </c>
      <c r="N86" s="309">
        <f t="shared" si="36"/>
        <v>0</v>
      </c>
      <c r="O86" s="309">
        <f t="shared" si="36"/>
        <v>0</v>
      </c>
      <c r="P86" s="309">
        <f t="shared" si="36"/>
        <v>0</v>
      </c>
      <c r="Q86" s="289">
        <f t="shared" si="34"/>
        <v>0</v>
      </c>
      <c r="U86" s="288">
        <f>IF('K1 Kostnader'!$C$9&gt;0,(IF('K1 Kostnader'!$F$13=12,'K1 Kostnader'!$F87,IF('K1 Kostnader'!$F$13&lt;12,12*(('K1 Kostnader'!$F87+'K1 Kostnader'!$G87)/('K1 Kostnader'!$F$13+'K1 Kostnader'!$G$13)),12*'K1 Kostnader'!$F87/'K1 Kostnader'!$F$13))),(IF('FS1 Kostnader '!$F$13=12,'FS1 Kostnader '!$F87,IF('FS1 Kostnader '!$F$13&lt;12,12*(('FS1 Kostnader '!$F87+'FS1 Kostnader '!$G87)/('FS1 Kostnader '!$F$13+'FS1 Kostnader '!$G$13)),12*'FS1 Kostnader '!$F87/'FS1 Kostnader '!$F$13))))</f>
        <v>0</v>
      </c>
      <c r="V86" s="308" t="s">
        <v>241</v>
      </c>
    </row>
    <row r="87" spans="3:22" x14ac:dyDescent="0.2">
      <c r="C87" s="739" t="str">
        <f>'K1 Kostnader'!D117</f>
        <v xml:space="preserve">Övriga inte Moms-avdragbara affärskostnader </v>
      </c>
      <c r="E87" s="309">
        <f>$U87/12</f>
        <v>0</v>
      </c>
      <c r="F87" s="309">
        <f t="shared" si="36"/>
        <v>0</v>
      </c>
      <c r="G87" s="309">
        <f t="shared" si="36"/>
        <v>0</v>
      </c>
      <c r="H87" s="309">
        <f t="shared" si="36"/>
        <v>0</v>
      </c>
      <c r="I87" s="309">
        <f t="shared" si="36"/>
        <v>0</v>
      </c>
      <c r="J87" s="309">
        <f t="shared" si="36"/>
        <v>0</v>
      </c>
      <c r="K87" s="309">
        <f t="shared" si="36"/>
        <v>0</v>
      </c>
      <c r="L87" s="309">
        <f t="shared" si="36"/>
        <v>0</v>
      </c>
      <c r="M87" s="309">
        <f t="shared" si="36"/>
        <v>0</v>
      </c>
      <c r="N87" s="309">
        <f t="shared" si="36"/>
        <v>0</v>
      </c>
      <c r="O87" s="309">
        <f t="shared" si="36"/>
        <v>0</v>
      </c>
      <c r="P87" s="309">
        <f t="shared" si="36"/>
        <v>0</v>
      </c>
      <c r="Q87" s="289">
        <f t="shared" ref="Q87" si="37">SUM(E87:P87)</f>
        <v>0</v>
      </c>
      <c r="U87" s="288">
        <f>IF('K1 Kostnader'!$C$9&gt;0,(IF('K1 Kostnader'!$F$13=12,'K1 Kostnader'!$F117,IF('K1 Kostnader'!$F$13&lt;12,12*(('K1 Kostnader'!$F117+'K1 Kostnader'!$G117)/('K1 Kostnader'!$F$13+'K1 Kostnader'!$G$13)),12*'K1 Kostnader'!$F117/'K1 Kostnader'!$F$13))),(IF('FS1 Kostnader '!$F$13=12,'FS1 Kostnader '!$F117,IF('FS1 Kostnader '!$F$13&lt;12,12*(('FS1 Kostnader '!$F117+'FS1 Kostnader '!$G117)/('FS1 Kostnader '!$F$13+'FS1 Kostnader '!$G$13)),12*'FS1 Kostnader '!$F117/'FS1 Kostnader '!$F$13))))</f>
        <v>0</v>
      </c>
      <c r="V87" s="308" t="s">
        <v>633</v>
      </c>
    </row>
  </sheetData>
  <sheetProtection algorithmName="SHA-512" hashValue="UVwefQAwIXQMPakZx8YYHdk7cQLRISVHR712BlqtQU4mCTU1NoCAZFnFHCxrNsrOtPCq4dUWEnyPQgNEJ73wSQ==" saltValue="30jQJpfx+Dzz9NTlLeRWyA==" spinCount="100000" sheet="1" objects="1" scenarios="1" selectLockedCells="1" selectUnlockedCells="1"/>
  <mergeCells count="8">
    <mergeCell ref="E10:F10"/>
    <mergeCell ref="H10:I10"/>
    <mergeCell ref="R9:S9"/>
    <mergeCell ref="T9:U9"/>
    <mergeCell ref="E26:F26"/>
    <mergeCell ref="H26:I26"/>
    <mergeCell ref="R25:S25"/>
    <mergeCell ref="T25:U25"/>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J46"/>
  <sheetViews>
    <sheetView workbookViewId="0">
      <selection activeCell="H43" sqref="H43"/>
    </sheetView>
  </sheetViews>
  <sheetFormatPr defaultRowHeight="12.75" x14ac:dyDescent="0.2"/>
  <cols>
    <col min="1" max="1" width="25.85546875" customWidth="1"/>
    <col min="2" max="2" width="13.28515625" customWidth="1"/>
    <col min="8" max="10" width="14.85546875" customWidth="1"/>
  </cols>
  <sheetData>
    <row r="2" spans="1:10" ht="13.5" thickBot="1" x14ac:dyDescent="0.25"/>
    <row r="3" spans="1:10" ht="13.5" thickBot="1" x14ac:dyDescent="0.25">
      <c r="A3" s="6" t="s">
        <v>3</v>
      </c>
      <c r="G3" s="11">
        <v>0</v>
      </c>
      <c r="H3" s="11">
        <v>0</v>
      </c>
      <c r="I3" s="11">
        <v>958.61685826359553</v>
      </c>
    </row>
    <row r="4" spans="1:10" x14ac:dyDescent="0.2">
      <c r="A4" s="2" t="s">
        <v>15</v>
      </c>
      <c r="B4" s="2"/>
      <c r="C4" s="2"/>
      <c r="D4" s="2"/>
      <c r="E4" s="2"/>
      <c r="F4" s="2"/>
      <c r="G4" s="2" t="s">
        <v>16</v>
      </c>
      <c r="H4" s="2"/>
    </row>
    <row r="5" spans="1:10" x14ac:dyDescent="0.2">
      <c r="A5" s="300" t="s">
        <v>833</v>
      </c>
      <c r="G5" s="300" t="s">
        <v>833</v>
      </c>
    </row>
    <row r="6" spans="1:10" ht="13.5" thickBot="1" x14ac:dyDescent="0.25">
      <c r="A6" t="s">
        <v>0</v>
      </c>
    </row>
    <row r="7" spans="1:10" x14ac:dyDescent="0.2">
      <c r="B7" s="15" t="s">
        <v>1</v>
      </c>
      <c r="C7" s="16" t="s">
        <v>2</v>
      </c>
      <c r="D7" s="16" t="s">
        <v>14</v>
      </c>
      <c r="H7" s="15" t="s">
        <v>1</v>
      </c>
      <c r="I7" s="16" t="s">
        <v>2</v>
      </c>
      <c r="J7" s="16" t="s">
        <v>14</v>
      </c>
    </row>
    <row r="8" spans="1:10" x14ac:dyDescent="0.2">
      <c r="A8" s="9" t="s">
        <v>4</v>
      </c>
      <c r="B8" s="31">
        <f>('K2 Försäljning'!C18*'K2 Försäljning'!C15)</f>
        <v>29166.666666666668</v>
      </c>
      <c r="C8" s="31">
        <f>('K2 Försäljning'!D18*'K2 Försäljning'!D15)</f>
        <v>33045.833333333328</v>
      </c>
      <c r="D8" s="31">
        <f>('K2 Försäljning'!E18*'K2 Försäljning'!E15)</f>
        <v>36419.812916666662</v>
      </c>
      <c r="G8" s="9" t="s">
        <v>4</v>
      </c>
      <c r="H8" s="31">
        <f>'FS2 Försäljning '!C16*'FS2 Försäljning '!C15</f>
        <v>0</v>
      </c>
      <c r="I8" s="31">
        <f>'FS2 Försäljning '!D16*'FS2 Försäljning '!D15</f>
        <v>0</v>
      </c>
      <c r="J8" s="31">
        <f>'FS2 Försäljning '!E16*'FS2 Försäljning '!E15</f>
        <v>0</v>
      </c>
    </row>
    <row r="9" spans="1:10" x14ac:dyDescent="0.2">
      <c r="A9" s="10" t="s">
        <v>5</v>
      </c>
      <c r="B9" s="31">
        <f>('K2 Försäljning'!C28)*'K2 Försäljning'!C25</f>
        <v>3389.4736842105262</v>
      </c>
      <c r="C9" s="31">
        <f>('K2 Försäljning'!D28)*'K2 Försäljning'!D25</f>
        <v>4014.8315789473681</v>
      </c>
      <c r="D9" s="31">
        <f>('K2 Försäljning'!E28)*'K2 Försäljning'!E25</f>
        <v>4755.5680052631578</v>
      </c>
      <c r="G9" s="10" t="s">
        <v>5</v>
      </c>
      <c r="H9" s="31">
        <f>'FS2 Försäljning '!C21*'FS2 Försäljning '!C20</f>
        <v>0</v>
      </c>
      <c r="I9" s="31">
        <f>'FS2 Försäljning '!D21*'FS2 Försäljning '!D20</f>
        <v>0</v>
      </c>
      <c r="J9" s="31">
        <f>'FS2 Försäljning '!E21*'FS2 Försäljning '!E20</f>
        <v>0</v>
      </c>
    </row>
    <row r="10" spans="1:10" x14ac:dyDescent="0.2">
      <c r="A10" s="10" t="s">
        <v>6</v>
      </c>
      <c r="B10" s="31">
        <f>('K2 Försäljning'!C38)*'K2 Försäljning'!C35</f>
        <v>2554.3859649122805</v>
      </c>
      <c r="C10" s="31">
        <f>('K2 Försäljning'!D38)*'K2 Försäljning'!D35</f>
        <v>2631.0175438596493</v>
      </c>
      <c r="D10" s="31">
        <f>('K2 Försäljning'!E38)*'K2 Försäljning'!E35</f>
        <v>2709.9480701754392</v>
      </c>
      <c r="G10" s="10" t="s">
        <v>6</v>
      </c>
      <c r="H10" s="31">
        <f>'FS2 Försäljning '!C26*'FS2 Försäljning '!C25</f>
        <v>0</v>
      </c>
      <c r="I10" s="31">
        <f>'FS2 Försäljning '!D26*'FS2 Försäljning '!D25</f>
        <v>0</v>
      </c>
      <c r="J10" s="31">
        <f>'FS2 Försäljning '!E26*'FS2 Försäljning '!E25</f>
        <v>0</v>
      </c>
    </row>
    <row r="11" spans="1:10" x14ac:dyDescent="0.2">
      <c r="A11" s="10" t="s">
        <v>7</v>
      </c>
      <c r="B11" s="31">
        <f>('K2 Försäljning'!C48)*'K2 Försäljning'!C45</f>
        <v>1657.8947368421052</v>
      </c>
      <c r="C11" s="31">
        <f>('K2 Försäljning'!D48)*'K2 Försäljning'!D45</f>
        <v>1963.7763157894738</v>
      </c>
      <c r="D11" s="31">
        <f>('K2 Försäljning'!E48)*'K2 Försäljning'!E45</f>
        <v>2326.0930460526315</v>
      </c>
      <c r="G11" s="10" t="s">
        <v>7</v>
      </c>
      <c r="H11" s="31">
        <f>'FS2 Försäljning '!C31*'FS2 Försäljning '!C20</f>
        <v>0</v>
      </c>
      <c r="I11" s="31">
        <f>'FS2 Försäljning '!D31*'FS2 Försäljning '!D20</f>
        <v>0</v>
      </c>
      <c r="J11" s="31">
        <f>'FS2 Försäljning '!E31*'FS2 Försäljning '!E20</f>
        <v>0</v>
      </c>
    </row>
    <row r="12" spans="1:10" ht="13.5" thickBot="1" x14ac:dyDescent="0.25">
      <c r="A12" s="113" t="s">
        <v>799</v>
      </c>
      <c r="B12" s="31">
        <f>B33*'K2 Försäljning'!C55</f>
        <v>0</v>
      </c>
      <c r="C12" s="31">
        <f>C33*'K2 Försäljning'!D55</f>
        <v>0</v>
      </c>
      <c r="D12" s="31">
        <f>D33*'K2 Försäljning'!E55</f>
        <v>0</v>
      </c>
      <c r="G12" s="10" t="s">
        <v>8</v>
      </c>
      <c r="H12" s="31">
        <f>'FS2 Försäljning '!C36*'FS2 Försäljning '!C35</f>
        <v>0</v>
      </c>
      <c r="I12" s="31">
        <f>'FS2 Försäljning '!D36*'FS2 Försäljning '!D35</f>
        <v>0</v>
      </c>
      <c r="J12" s="31">
        <f>'FS2 Försäljning '!E36*'FS2 Försäljning '!E35</f>
        <v>0</v>
      </c>
    </row>
    <row r="13" spans="1:10" ht="13.5" thickBot="1" x14ac:dyDescent="0.25">
      <c r="A13" s="115" t="s">
        <v>43</v>
      </c>
      <c r="B13" s="111">
        <f>SUM(B8:B12)</f>
        <v>36768.42105263158</v>
      </c>
      <c r="C13" s="111">
        <f>SUM(C8:C12)</f>
        <v>41655.458771929822</v>
      </c>
      <c r="D13" s="112">
        <f>SUM(D8:D12)</f>
        <v>46211.422038157885</v>
      </c>
      <c r="G13" s="10" t="s">
        <v>50</v>
      </c>
      <c r="H13" s="31">
        <f>'FS2 Försäljning '!C40*'FS2 Försäljning '!C41</f>
        <v>0</v>
      </c>
      <c r="I13" s="31">
        <f>'FS2 Försäljning '!D40*'FS2 Försäljning '!D41</f>
        <v>0</v>
      </c>
      <c r="J13" s="31">
        <f>'FS2 Försäljning '!E40*'FS2 Försäljning '!E41</f>
        <v>0</v>
      </c>
    </row>
    <row r="14" spans="1:10" x14ac:dyDescent="0.2">
      <c r="A14" s="114" t="s">
        <v>9</v>
      </c>
      <c r="B14" s="31">
        <f>('K2 Försäljning'!C78)*'K2 Försäljning'!C75</f>
        <v>389.05263157894746</v>
      </c>
      <c r="C14" s="31">
        <f>('K2 Försäljning'!D78)*'K2 Försäljning'!D75</f>
        <v>400.72421052631586</v>
      </c>
      <c r="D14" s="31">
        <f>('K2 Försäljning'!E78)*'K2 Försäljning'!E75</f>
        <v>412.74593684210532</v>
      </c>
      <c r="G14" s="10" t="s">
        <v>5</v>
      </c>
      <c r="H14" s="31">
        <f>'FS2 Försäljning '!C47*'FS2 Försäljning '!C48</f>
        <v>0</v>
      </c>
      <c r="I14" s="31">
        <f>'FS2 Försäljning '!D47*'FS2 Försäljning '!D48</f>
        <v>0</v>
      </c>
      <c r="J14" s="31">
        <f>'FS2 Försäljning '!E47*'FS2 Försäljning '!E48</f>
        <v>0</v>
      </c>
    </row>
    <row r="15" spans="1:10" x14ac:dyDescent="0.2">
      <c r="A15" s="10" t="s">
        <v>10</v>
      </c>
      <c r="B15" s="31">
        <f>('K2 Försäljning'!C88)*'K2 Försäljning'!C85</f>
        <v>767.54385964912285</v>
      </c>
      <c r="C15" s="31">
        <f>('K2 Försäljning'!D88)*'K2 Försäljning'!D85</f>
        <v>790.57017543859649</v>
      </c>
      <c r="D15" s="31">
        <f>('K2 Försäljning'!E88)*'K2 Försäljning'!E85</f>
        <v>814.28728070175453</v>
      </c>
      <c r="G15" s="10" t="s">
        <v>6</v>
      </c>
      <c r="H15" s="31">
        <f>'FS2 Försäljning '!C54*'FS2 Försäljning '!C55</f>
        <v>0</v>
      </c>
      <c r="I15" s="31">
        <f>'FS2 Försäljning '!D54*'FS2 Försäljning '!D55</f>
        <v>0</v>
      </c>
      <c r="J15" s="31">
        <f>'FS2 Försäljning '!E54*'FS2 Försäljning '!E55</f>
        <v>0</v>
      </c>
    </row>
    <row r="16" spans="1:10" x14ac:dyDescent="0.2">
      <c r="A16" s="10" t="s">
        <v>11</v>
      </c>
      <c r="B16" s="31">
        <f>('K2 Försäljning'!C98)*'K2 Försäljning'!C95</f>
        <v>0</v>
      </c>
      <c r="C16" s="31">
        <f>('K2 Försäljning'!D98)*'K2 Försäljning'!D95</f>
        <v>0</v>
      </c>
      <c r="D16" s="31">
        <f>('K2 Försäljning'!E98)*'K2 Försäljning'!E95</f>
        <v>0</v>
      </c>
      <c r="G16" s="10" t="s">
        <v>7</v>
      </c>
      <c r="H16" s="31">
        <f>'FS2 Försäljning '!C61*'FS2 Försäljning '!C62</f>
        <v>0</v>
      </c>
      <c r="I16" s="31">
        <f>'FS2 Försäljning '!D61*'FS2 Försäljning '!D62</f>
        <v>0</v>
      </c>
      <c r="J16" s="31">
        <f>'FS2 Försäljning '!E61*'FS2 Försäljning '!E62</f>
        <v>0</v>
      </c>
    </row>
    <row r="17" spans="1:10" ht="13.5" thickBot="1" x14ac:dyDescent="0.25">
      <c r="A17" s="10" t="s">
        <v>12</v>
      </c>
      <c r="B17" s="31">
        <f>('K2 Försäljning'!C108)*'K2 Försäljning'!C105</f>
        <v>0</v>
      </c>
      <c r="C17" s="31">
        <f>('K2 Försäljning'!D108)*'K2 Försäljning'!D105</f>
        <v>0</v>
      </c>
      <c r="D17" s="31">
        <f>('K2 Försäljning'!E108)*'K2 Försäljning'!E105</f>
        <v>0</v>
      </c>
      <c r="G17" s="18" t="s">
        <v>8</v>
      </c>
      <c r="H17" s="31">
        <f>'FS2 Försäljning '!C68*'FS2 Försäljning '!C69</f>
        <v>0</v>
      </c>
      <c r="I17" s="31">
        <f>'FS2 Försäljning '!D68*'FS2 Försäljning '!D69</f>
        <v>0</v>
      </c>
      <c r="J17" s="31">
        <f>'FS2 Försäljning '!E68*'FS2 Försäljning '!E69</f>
        <v>0</v>
      </c>
    </row>
    <row r="18" spans="1:10" ht="13.5" thickBot="1" x14ac:dyDescent="0.25">
      <c r="A18" s="18" t="s">
        <v>13</v>
      </c>
      <c r="B18" s="31">
        <f>('K2 Försäljning'!C118)*'K2 Försäljning'!C115</f>
        <v>0</v>
      </c>
      <c r="C18" s="31">
        <f>('K2 Försäljning'!D118)*'K2 Försäljning'!D115</f>
        <v>0</v>
      </c>
      <c r="D18" s="31">
        <f>('K2 Försäljning'!E118)*'K2 Försäljning'!E115</f>
        <v>0</v>
      </c>
      <c r="G18" s="110" t="s">
        <v>48</v>
      </c>
      <c r="H18" s="111">
        <f>SUM(H8:H17)</f>
        <v>0</v>
      </c>
      <c r="I18" s="111">
        <f>SUM(I8:I17)</f>
        <v>0</v>
      </c>
      <c r="J18" s="112">
        <f>SUM(J8:J17)</f>
        <v>0</v>
      </c>
    </row>
    <row r="19" spans="1:10" ht="13.5" thickBot="1" x14ac:dyDescent="0.25">
      <c r="A19" s="18" t="s">
        <v>800</v>
      </c>
      <c r="B19" s="31">
        <f>B36*'K2 Försäljning'!C125</f>
        <v>0</v>
      </c>
      <c r="C19" s="31">
        <f>C36*'K2 Försäljning'!D125</f>
        <v>0</v>
      </c>
      <c r="D19" s="31">
        <f>D36*'K2 Försäljning'!E125</f>
        <v>0</v>
      </c>
      <c r="G19" s="18" t="s">
        <v>46</v>
      </c>
      <c r="H19" s="31">
        <f>'FS2 Försäljning '!C84*'FS2 Försäljning '!C85</f>
        <v>0</v>
      </c>
      <c r="I19" s="31">
        <f>'FS2 Försäljning '!D84*'FS2 Försäljning '!D85</f>
        <v>0</v>
      </c>
      <c r="J19" s="31">
        <f>'FS2 Försäljning '!E84*'FS2 Försäljning '!E85</f>
        <v>0</v>
      </c>
    </row>
    <row r="20" spans="1:10" ht="13.5" thickBot="1" x14ac:dyDescent="0.25">
      <c r="A20" s="116" t="s">
        <v>44</v>
      </c>
      <c r="B20" s="111">
        <f>B13+B14+B15+B16+B17+B18+B19</f>
        <v>37925.017543859649</v>
      </c>
      <c r="C20" s="111">
        <f>C13+C14+C15+C16+C17+C18+C19</f>
        <v>42846.753157894731</v>
      </c>
      <c r="D20" s="112">
        <f>D13+D14+D15+D16+D17+D18+D19</f>
        <v>47438.455255701745</v>
      </c>
      <c r="G20" s="18">
        <v>7</v>
      </c>
      <c r="H20" s="31">
        <f>'FS2 Försäljning '!C89*'FS2 Försäljning '!C90</f>
        <v>0</v>
      </c>
      <c r="I20" s="31">
        <f>'FS2 Försäljning '!D89*'FS2 Försäljning '!D90</f>
        <v>0</v>
      </c>
      <c r="J20" s="31">
        <f>'FS2 Försäljning '!E89*'FS2 Försäljning '!E90</f>
        <v>0</v>
      </c>
    </row>
    <row r="21" spans="1:10" x14ac:dyDescent="0.2">
      <c r="A21" s="18">
        <v>12</v>
      </c>
      <c r="B21" s="31">
        <f>('K2 Försäljning'!C148)*'K2 Försäljning'!C145</f>
        <v>0</v>
      </c>
      <c r="C21" s="31">
        <f>('K2 Försäljning'!D148)*'K2 Försäljning'!D145</f>
        <v>0</v>
      </c>
      <c r="D21" s="31">
        <f>('K2 Försäljning'!E148)*'K2 Försäljning'!E145</f>
        <v>0</v>
      </c>
      <c r="G21" s="18">
        <v>8</v>
      </c>
      <c r="H21" s="31">
        <f>'FS2 Försäljning '!C94*'FS2 Försäljning '!C95</f>
        <v>0</v>
      </c>
      <c r="I21" s="31">
        <f>'FS2 Försäljning '!D94*'FS2 Försäljning '!D95</f>
        <v>0</v>
      </c>
      <c r="J21" s="31">
        <f>'FS2 Försäljning '!E94*'FS2 Försäljning '!E95</f>
        <v>0</v>
      </c>
    </row>
    <row r="22" spans="1:10" x14ac:dyDescent="0.2">
      <c r="A22" s="18">
        <v>13</v>
      </c>
      <c r="B22" s="31">
        <f>('K2 Försäljning'!C158)*'K2 Försäljning'!C155</f>
        <v>0</v>
      </c>
      <c r="C22" s="31">
        <f>('K2 Försäljning'!D158)*'K2 Försäljning'!D155</f>
        <v>0</v>
      </c>
      <c r="D22" s="31">
        <f>('K2 Försäljning'!E158)*'K2 Försäljning'!E155</f>
        <v>0</v>
      </c>
      <c r="G22" s="18">
        <v>9</v>
      </c>
      <c r="H22" s="31">
        <f>'FS2 Försäljning '!C99*'FS2 Försäljning '!C100</f>
        <v>0</v>
      </c>
      <c r="I22" s="31">
        <f>'FS2 Försäljning '!D99*'FS2 Försäljning '!D100</f>
        <v>0</v>
      </c>
      <c r="J22" s="31">
        <f>'FS2 Försäljning '!E99*'FS2 Försäljning '!E100</f>
        <v>0</v>
      </c>
    </row>
    <row r="23" spans="1:10" x14ac:dyDescent="0.2">
      <c r="A23" s="18">
        <v>14</v>
      </c>
      <c r="B23" s="31">
        <f>('K2 Försäljning'!C168)*'K2 Försäljning'!C165</f>
        <v>0</v>
      </c>
      <c r="C23" s="31">
        <f>('K2 Försäljning'!D168)*'K2 Försäljning'!D165</f>
        <v>0</v>
      </c>
      <c r="D23" s="31">
        <f>('K2 Försäljning'!E168)*'K2 Försäljning'!E165</f>
        <v>0</v>
      </c>
      <c r="G23" s="18">
        <v>10</v>
      </c>
      <c r="H23" s="31">
        <f>'FS2 Försäljning '!C104*'FS2 Försäljning '!C105</f>
        <v>0</v>
      </c>
      <c r="I23" s="31">
        <f>'FS2 Försäljning '!D104*'FS2 Försäljning '!D105</f>
        <v>0</v>
      </c>
      <c r="J23" s="31">
        <f>'FS2 Försäljning '!E104*'FS2 Försäljning '!E105</f>
        <v>0</v>
      </c>
    </row>
    <row r="24" spans="1:10" x14ac:dyDescent="0.2">
      <c r="A24" s="18">
        <v>15</v>
      </c>
      <c r="B24" s="31">
        <f>('K2 Försäljning'!C178)*'K2 Försäljning'!C175</f>
        <v>0</v>
      </c>
      <c r="C24" s="31">
        <f>('K2 Försäljning'!D178)*'K2 Försäljning'!D175</f>
        <v>0</v>
      </c>
      <c r="D24" s="31">
        <f>('K2 Försäljning'!E178)*'K2 Försäljning'!E175</f>
        <v>0</v>
      </c>
      <c r="G24" s="18">
        <v>11</v>
      </c>
      <c r="H24" s="31">
        <f>'FS2 Försäljning '!C109*'FS2 Försäljning '!C110</f>
        <v>0</v>
      </c>
      <c r="I24" s="31">
        <f>'FS2 Försäljning '!D109*'FS2 Försäljning '!D110</f>
        <v>0</v>
      </c>
      <c r="J24" s="31">
        <f>'FS2 Försäljning '!E109*'FS2 Försäljning '!E110</f>
        <v>0</v>
      </c>
    </row>
    <row r="25" spans="1:10" x14ac:dyDescent="0.2">
      <c r="A25" s="18">
        <v>16</v>
      </c>
      <c r="B25" s="31">
        <f>('K2 Försäljning'!C188)*'K2 Försäljning'!C185</f>
        <v>0</v>
      </c>
      <c r="C25" s="31">
        <f>('K2 Försäljning'!D188)*'K2 Försäljning'!D185</f>
        <v>0</v>
      </c>
      <c r="D25" s="31">
        <f>('K2 Försäljning'!E188)*'K2 Försäljning'!E185</f>
        <v>0</v>
      </c>
      <c r="G25" s="18" t="s">
        <v>51</v>
      </c>
      <c r="H25" s="31">
        <f>'FS2 Försäljning '!C114*'FS2 Försäljning '!C115</f>
        <v>0</v>
      </c>
      <c r="I25" s="31">
        <f>'FS2 Försäljning '!D114*'FS2 Försäljning '!D115</f>
        <v>0</v>
      </c>
      <c r="J25" s="31">
        <f>'FS2 Försäljning '!E114*'FS2 Försäljning '!E115</f>
        <v>0</v>
      </c>
    </row>
    <row r="26" spans="1:10" ht="13.5" thickBot="1" x14ac:dyDescent="0.25">
      <c r="A26" s="18" t="s">
        <v>801</v>
      </c>
      <c r="B26" s="31">
        <f>B39*'K2 Försäljning'!C195</f>
        <v>0</v>
      </c>
      <c r="C26" s="31">
        <f>C39*'K2 Försäljning'!D195</f>
        <v>0</v>
      </c>
      <c r="D26" s="31">
        <f>D39*'K2 Försäljning'!E195</f>
        <v>0</v>
      </c>
      <c r="G26" s="18">
        <v>7</v>
      </c>
      <c r="H26" s="31">
        <f>'FS2 Försäljning '!C121*'FS2 Försäljning '!C122</f>
        <v>0</v>
      </c>
      <c r="I26" s="31">
        <f>'FS2 Försäljning '!D121*'FS2 Försäljning '!D122</f>
        <v>0</v>
      </c>
      <c r="J26" s="31">
        <f>'FS2 Försäljning '!E121*'FS2 Försäljning '!E122</f>
        <v>0</v>
      </c>
    </row>
    <row r="27" spans="1:10" ht="13.5" thickBot="1" x14ac:dyDescent="0.25">
      <c r="A27" s="116" t="s">
        <v>45</v>
      </c>
      <c r="B27" s="111">
        <f>B20+B21+B22+B23+B24+B25+B26</f>
        <v>37925.017543859649</v>
      </c>
      <c r="C27" s="111">
        <f>C20+C21+C22+C23+C24+C25+C26</f>
        <v>42846.753157894731</v>
      </c>
      <c r="D27" s="112">
        <f>D20+D21+D22+D23+D24+D25+D26</f>
        <v>47438.455255701745</v>
      </c>
      <c r="G27" s="18">
        <v>8</v>
      </c>
      <c r="H27" s="31">
        <f>'FS2 Försäljning '!C128*'FS2 Försäljning '!C129</f>
        <v>0</v>
      </c>
      <c r="I27" s="31">
        <f>'FS2 Försäljning '!D128*'FS2 Försäljning '!D129</f>
        <v>0</v>
      </c>
      <c r="J27" s="31">
        <f>'FS2 Försäljning '!E128*'FS2 Försäljning '!E129</f>
        <v>0</v>
      </c>
    </row>
    <row r="28" spans="1:10" x14ac:dyDescent="0.2">
      <c r="A28" s="18" t="s">
        <v>0</v>
      </c>
      <c r="G28" s="18">
        <v>9</v>
      </c>
      <c r="H28" s="31">
        <f>'FS2 Försäljning '!C135*'FS2 Försäljning '!C136</f>
        <v>0</v>
      </c>
      <c r="I28" s="31">
        <f>'FS2 Försäljning '!D135*'FS2 Försäljning '!D136</f>
        <v>0</v>
      </c>
      <c r="J28" s="31">
        <f>'FS2 Försäljning '!E135*'FS2 Försäljning '!E136</f>
        <v>0</v>
      </c>
    </row>
    <row r="29" spans="1:10" x14ac:dyDescent="0.2">
      <c r="A29" s="1402" t="s">
        <v>802</v>
      </c>
      <c r="B29" s="50">
        <f>'K2 Försäljning'!C205</f>
        <v>308818</v>
      </c>
      <c r="C29" s="50">
        <f>'K2 Försäljning'!D205</f>
        <v>348894.99</v>
      </c>
      <c r="D29" s="50">
        <f>'K2 Försäljning'!E205</f>
        <v>386284.56422500004</v>
      </c>
      <c r="G29" s="18">
        <v>10</v>
      </c>
      <c r="H29" s="31">
        <f>'FS2 Försäljning '!C142*'FS2 Försäljning '!C143</f>
        <v>0</v>
      </c>
      <c r="I29" s="31">
        <f>'FS2 Försäljning '!D142*'FS2 Försäljning '!D143</f>
        <v>0</v>
      </c>
      <c r="J29" s="31">
        <f>'FS2 Försäljning '!E142*'FS2 Försäljning '!E143</f>
        <v>0</v>
      </c>
    </row>
    <row r="30" spans="1:10" ht="13.5" thickBot="1" x14ac:dyDescent="0.25">
      <c r="A30" s="18" t="s">
        <v>714</v>
      </c>
      <c r="B30" s="123">
        <f>IF(B27=0,0,'AT2 Myynnin alv'!B27/'K2 Försäljning'!C205)</f>
        <v>0.12280701754385964</v>
      </c>
      <c r="C30" s="123">
        <f>IF(C27=0,0,'AT2 Myynnin alv'!C27/'K2 Försäljning'!D205)</f>
        <v>0.12280701754385964</v>
      </c>
      <c r="D30" s="123">
        <f>IF(D27=0,0,'AT2 Myynnin alv'!D27/'K2 Försäljning'!E205)</f>
        <v>0.12280701754385961</v>
      </c>
      <c r="G30" s="109">
        <v>11</v>
      </c>
      <c r="H30" s="31">
        <f>'FS2 Försäljning '!C149*'FS2 Försäljning '!C150</f>
        <v>0</v>
      </c>
      <c r="I30" s="31">
        <f>'FS2 Försäljning '!D149*'FS2 Försäljning '!D150</f>
        <v>0</v>
      </c>
      <c r="J30" s="31">
        <f>'FS2 Försäljning '!E149*'FS2 Försäljning '!E150</f>
        <v>0</v>
      </c>
    </row>
    <row r="31" spans="1:10" ht="13.5" thickBot="1" x14ac:dyDescent="0.25">
      <c r="A31" t="s">
        <v>803</v>
      </c>
      <c r="B31" t="s">
        <v>0</v>
      </c>
      <c r="G31" s="110" t="s">
        <v>49</v>
      </c>
      <c r="H31" s="111">
        <f>SUM(H19:H30)+H18</f>
        <v>0</v>
      </c>
      <c r="I31" s="111">
        <f>SUM(I19:I30)+I18</f>
        <v>0</v>
      </c>
      <c r="J31" s="111">
        <f>SUM(J19:J30)+J18</f>
        <v>0</v>
      </c>
    </row>
    <row r="32" spans="1:10" x14ac:dyDescent="0.2">
      <c r="A32" t="s">
        <v>804</v>
      </c>
      <c r="B32">
        <f>('K2 Försäljning'!C56-'K2 Försäljning'!C58)*'K2 Försäljning'!C57</f>
        <v>0</v>
      </c>
      <c r="C32" s="1397">
        <f>('K2 Försäljning'!D56-'K2 Försäljning'!D58)*'K2 Försäljning'!D57</f>
        <v>0</v>
      </c>
      <c r="D32" s="1397">
        <f>('K2 Försäljning'!E56-'K2 Försäljning'!E58)*'K2 Försäljning'!E57</f>
        <v>0</v>
      </c>
      <c r="G32" s="18" t="s">
        <v>47</v>
      </c>
      <c r="H32" s="50">
        <f>'FS2 Försäljning '!C165*'FS2 Försäljning '!C166</f>
        <v>0</v>
      </c>
      <c r="I32" s="50">
        <f>'FS2 Försäljning '!D165*'FS2 Försäljning '!D166</f>
        <v>0</v>
      </c>
      <c r="J32" s="50">
        <f>'FS2 Försäljning '!E165*'FS2 Försäljning '!E166</f>
        <v>0</v>
      </c>
    </row>
    <row r="33" spans="1:10" x14ac:dyDescent="0.2">
      <c r="A33" s="18" t="s">
        <v>809</v>
      </c>
      <c r="B33" s="31">
        <f>B32-B32*('K2 Försäljning'!C55*100/(100+'K2 Försäljning'!C55*100))</f>
        <v>0</v>
      </c>
      <c r="C33" s="31">
        <f>C32-C32*('K2 Försäljning'!D55*100/(100+'K2 Försäljning'!D55*100))</f>
        <v>0</v>
      </c>
      <c r="D33" s="31">
        <f>D32-D32*('K2 Försäljning'!E55*100/(100+'K2 Försäljning'!E55*100))</f>
        <v>0</v>
      </c>
      <c r="G33" s="18">
        <v>13</v>
      </c>
      <c r="H33" s="50">
        <f>'FS2 Försäljning '!C170*'FS2 Försäljning '!C171</f>
        <v>0</v>
      </c>
      <c r="I33" s="50">
        <f>'FS2 Försäljning '!D170*'FS2 Försäljning '!D171</f>
        <v>0</v>
      </c>
      <c r="J33" s="50">
        <f>'FS2 Försäljning '!E170*'FS2 Försäljning '!E171</f>
        <v>0</v>
      </c>
    </row>
    <row r="34" spans="1:10" x14ac:dyDescent="0.2">
      <c r="G34" s="18">
        <v>14</v>
      </c>
      <c r="H34" s="50">
        <f>'FS2 Försäljning '!C175*'FS2 Försäljning '!C176</f>
        <v>0</v>
      </c>
      <c r="I34" s="50">
        <f>'FS2 Försäljning '!D175*'FS2 Försäljning '!D176</f>
        <v>0</v>
      </c>
      <c r="J34" s="50">
        <f>'FS2 Försäljning '!E175*'FS2 Försäljning '!E176</f>
        <v>0</v>
      </c>
    </row>
    <row r="35" spans="1:10" x14ac:dyDescent="0.2">
      <c r="A35" t="s">
        <v>805</v>
      </c>
      <c r="B35">
        <f>('K2 Försäljning'!C126-'K2 Försäljning'!C128)*'K2 Försäljning'!C127</f>
        <v>0</v>
      </c>
      <c r="C35" s="1397">
        <f>('K2 Försäljning'!D126-'K2 Försäljning'!D128)*'K2 Försäljning'!D127</f>
        <v>0</v>
      </c>
      <c r="D35" s="1397">
        <f>('K2 Försäljning'!E126-'K2 Försäljning'!E128)*'K2 Försäljning'!E127</f>
        <v>0</v>
      </c>
      <c r="G35" s="18">
        <v>15</v>
      </c>
      <c r="H35" s="50">
        <f>'FS2 Försäljning '!C180*'FS2 Försäljning '!C181</f>
        <v>0</v>
      </c>
      <c r="I35" s="50">
        <f>'FS2 Försäljning '!D180*'FS2 Försäljning '!D181</f>
        <v>0</v>
      </c>
      <c r="J35" s="50">
        <f>'FS2 Försäljning '!E180*'FS2 Försäljning '!E181</f>
        <v>0</v>
      </c>
    </row>
    <row r="36" spans="1:10" x14ac:dyDescent="0.2">
      <c r="A36" t="s">
        <v>806</v>
      </c>
      <c r="B36" s="31">
        <f>B35-B35*('K2 Försäljning'!C125*100/(100+'K2 Försäljning'!C125*100))</f>
        <v>0</v>
      </c>
      <c r="C36" s="31">
        <f>C35-C35*('K2 Försäljning'!D125*100/(100+'K2 Försäljning'!D125*100))</f>
        <v>0</v>
      </c>
      <c r="D36" s="31">
        <f>D35-D35*('K2 Försäljning'!E125*100/(100+'K2 Försäljning'!E125*100))</f>
        <v>0</v>
      </c>
      <c r="G36" s="18">
        <v>16</v>
      </c>
      <c r="H36" s="50">
        <f>'FS2 Försäljning '!C185*'FS2 Försäljning '!C186</f>
        <v>0</v>
      </c>
      <c r="I36" s="50">
        <f>'FS2 Försäljning '!D185*'FS2 Försäljning '!D186</f>
        <v>0</v>
      </c>
      <c r="J36" s="50">
        <f>'FS2 Försäljning '!E185*'FS2 Försäljning '!E186</f>
        <v>0</v>
      </c>
    </row>
    <row r="37" spans="1:10" x14ac:dyDescent="0.2">
      <c r="G37" s="18">
        <v>17</v>
      </c>
      <c r="H37" s="50">
        <f>'FS2 Försäljning '!C190*'FS2 Försäljning '!C191</f>
        <v>0</v>
      </c>
      <c r="I37" s="50">
        <f>'FS2 Försäljning '!D190*'FS2 Försäljning '!D191</f>
        <v>0</v>
      </c>
      <c r="J37" s="50">
        <f>'FS2 Försäljning '!E190*'FS2 Försäljning '!E191</f>
        <v>0</v>
      </c>
    </row>
    <row r="38" spans="1:10" x14ac:dyDescent="0.2">
      <c r="A38" t="s">
        <v>807</v>
      </c>
      <c r="B38">
        <f>('K2 Försäljning'!C196-'K2 Försäljning'!C198)*'K2 Försäljning'!C197</f>
        <v>0</v>
      </c>
      <c r="C38" s="1397">
        <f>('K2 Försäljning'!D196-'K2 Försäljning'!D198)*'K2 Försäljning'!D197</f>
        <v>0</v>
      </c>
      <c r="D38" s="1397">
        <f>('K2 Försäljning'!E196-'K2 Försäljning'!E198)*'K2 Försäljning'!E197</f>
        <v>0</v>
      </c>
      <c r="G38" s="18" t="s">
        <v>52</v>
      </c>
      <c r="H38" s="50">
        <f>'FS2 Försäljning '!C195*'FS2 Försäljning '!C196</f>
        <v>0</v>
      </c>
      <c r="I38" s="50">
        <f>'FS2 Försäljning '!D195*'FS2 Försäljning '!D196</f>
        <v>0</v>
      </c>
      <c r="J38" s="50">
        <f>'FS2 Försäljning '!E195*'FS2 Försäljning '!E196</f>
        <v>0</v>
      </c>
    </row>
    <row r="39" spans="1:10" x14ac:dyDescent="0.2">
      <c r="A39" t="s">
        <v>808</v>
      </c>
      <c r="B39" s="31">
        <f>B38-B38*('K2 Försäljning'!C195*100/(100+'K2 Försäljning'!C195*100))</f>
        <v>0</v>
      </c>
      <c r="C39" s="31">
        <f>C38-C38*('K2 Försäljning'!D195*100/(100+'K2 Försäljning'!D195*100))</f>
        <v>0</v>
      </c>
      <c r="D39" s="31">
        <f>D38-D38*('K2 Försäljning'!E195*100/(100+'K2 Försäljning'!E195*100))</f>
        <v>0</v>
      </c>
      <c r="G39" s="18">
        <v>13</v>
      </c>
      <c r="H39" s="50">
        <f>'FS2 Försäljning '!C202*'FS2 Försäljning '!C203</f>
        <v>0</v>
      </c>
      <c r="I39" s="50">
        <f>'FS2 Försäljning '!D202*'FS2 Försäljning '!D203</f>
        <v>0</v>
      </c>
      <c r="J39" s="50">
        <f>'FS2 Försäljning '!E202*'FS2 Försäljning '!E203</f>
        <v>0</v>
      </c>
    </row>
    <row r="40" spans="1:10" x14ac:dyDescent="0.2">
      <c r="G40" s="18">
        <v>14</v>
      </c>
      <c r="H40" s="50">
        <f>'FS2 Försäljning '!C209*'FS2 Försäljning '!C210</f>
        <v>0</v>
      </c>
      <c r="I40" s="50">
        <f>'FS2 Försäljning '!D209*'FS2 Försäljning '!D210</f>
        <v>0</v>
      </c>
      <c r="J40" s="50">
        <f>'FS2 Försäljning '!E209*'FS2 Försäljning '!E210</f>
        <v>0</v>
      </c>
    </row>
    <row r="41" spans="1:10" x14ac:dyDescent="0.2">
      <c r="G41" s="18">
        <v>15</v>
      </c>
      <c r="H41" s="50">
        <f>'FS2 Försäljning '!C216*'FS2 Försäljning '!C217</f>
        <v>0</v>
      </c>
      <c r="I41" s="50">
        <f>'FS2 Försäljning '!D216*'FS2 Försäljning '!D217</f>
        <v>0</v>
      </c>
      <c r="J41" s="50">
        <f>'FS2 Försäljning '!E216*'FS2 Försäljning '!E217</f>
        <v>0</v>
      </c>
    </row>
    <row r="42" spans="1:10" x14ac:dyDescent="0.2">
      <c r="G42" s="18">
        <v>16</v>
      </c>
      <c r="H42" s="50">
        <f>'FS2 Försäljning '!C223*'FS2 Försäljning '!C224</f>
        <v>0</v>
      </c>
      <c r="I42" s="50">
        <f>'FS2 Försäljning '!D223*'FS2 Försäljning '!D224</f>
        <v>0</v>
      </c>
      <c r="J42" s="50">
        <f>'FS2 Försäljning '!E223*'FS2 Försäljning '!E224</f>
        <v>0</v>
      </c>
    </row>
    <row r="43" spans="1:10" ht="13.5" thickBot="1" x14ac:dyDescent="0.25">
      <c r="G43" s="18">
        <v>17</v>
      </c>
      <c r="H43" s="50">
        <f>'FS2 Försäljning '!C230*'FS2 Försäljning '!C231</f>
        <v>0</v>
      </c>
      <c r="I43" s="50">
        <f>'FS2 Försäljning '!D230*'FS2 Försäljning '!D231</f>
        <v>0</v>
      </c>
      <c r="J43" s="50">
        <f>'FS2 Försäljning '!E230*'FS2 Försäljning '!E231</f>
        <v>0</v>
      </c>
    </row>
    <row r="44" spans="1:10" ht="13.5" thickBot="1" x14ac:dyDescent="0.25">
      <c r="G44" s="117" t="s">
        <v>53</v>
      </c>
      <c r="H44" s="111">
        <f>SUM(H32:H43)+H31</f>
        <v>0</v>
      </c>
      <c r="I44" s="111">
        <f>SUM(I32:I43)+I31</f>
        <v>0</v>
      </c>
      <c r="J44" s="111">
        <f>SUM(J32:J43)+J31</f>
        <v>0</v>
      </c>
    </row>
    <row r="46" spans="1:10" x14ac:dyDescent="0.2">
      <c r="G46" s="18" t="s">
        <v>714</v>
      </c>
      <c r="H46" s="123">
        <f>IF('FS2 Försäljning '!C237=0,0,'AT2 Myynnin alv'!H44/'FS2 Försäljning '!C237)</f>
        <v>0</v>
      </c>
      <c r="I46" s="123">
        <f>IF('FS2 Försäljning '!D237=0,0,'AT2 Myynnin alv'!I44/'FS2 Försäljning '!D237)</f>
        <v>0</v>
      </c>
      <c r="J46" s="123">
        <f>IF('FS2 Försäljning '!E237=0,0,'AT2 Myynnin alv'!J44/'FS2 Försäljning '!E237)</f>
        <v>0</v>
      </c>
    </row>
  </sheetData>
  <sheetProtection algorithmName="SHA-512" hashValue="K7BXiRrU6x7FWpihuGxeQflPAEChs8HGPTs+c2r8G/XQETxyM3YH+Ks7uUyDYCSg7hea+VzxZsguwPHVDxTDkw==" saltValue="LSKB7jUGIo/tCaSUhZXU6Q==" spinCount="100000" sheet="1" objects="1" scenarios="1" selectLockedCells="1" selectUnlockedCells="1"/>
  <phoneticPr fontId="30" type="noConversion"/>
  <pageMargins left="0.7" right="0.7" top="0.75" bottom="0.75" header="0.3" footer="0.3"/>
  <pageSetup paperSize="9" orientation="portrait" horizontalDpi="120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0"/>
  <sheetViews>
    <sheetView topLeftCell="A70" zoomScaleNormal="100" workbookViewId="0">
      <pane xSplit="1" ySplit="1" topLeftCell="M168" activePane="bottomRight" state="frozen"/>
      <selection activeCell="A70" sqref="A70"/>
      <selection pane="topRight" activeCell="B70" sqref="B70"/>
      <selection pane="bottomLeft" activeCell="A71" sqref="A71"/>
      <selection pane="bottomRight" activeCell="P194" sqref="P194"/>
    </sheetView>
  </sheetViews>
  <sheetFormatPr defaultRowHeight="12.75" x14ac:dyDescent="0.2"/>
  <cols>
    <col min="1" max="1" width="18.85546875" customWidth="1"/>
    <col min="2" max="2" width="18.28515625" customWidth="1"/>
    <col min="3" max="3" width="10.5703125" customWidth="1"/>
    <col min="4" max="4" width="12.85546875" customWidth="1"/>
    <col min="5" max="5" width="11.140625" customWidth="1"/>
    <col min="6" max="6" width="16.7109375" customWidth="1"/>
    <col min="7" max="7" width="10.7109375" customWidth="1"/>
    <col min="8" max="8" width="10.28515625" customWidth="1"/>
    <col min="9" max="9" width="10.140625" customWidth="1"/>
    <col min="10" max="10" width="17.28515625" customWidth="1"/>
    <col min="11" max="11" width="13" customWidth="1"/>
    <col min="12" max="12" width="11.7109375" customWidth="1"/>
    <col min="13" max="23" width="11.140625" customWidth="1"/>
  </cols>
  <sheetData>
    <row r="2" spans="1:16" x14ac:dyDescent="0.2">
      <c r="B2" s="52"/>
      <c r="C2" s="52"/>
      <c r="D2" s="52"/>
      <c r="E2" s="52"/>
      <c r="F2" s="52"/>
      <c r="G2" s="52"/>
      <c r="H2" s="52"/>
    </row>
    <row r="3" spans="1:16" x14ac:dyDescent="0.2">
      <c r="B3" s="66" t="s">
        <v>17</v>
      </c>
      <c r="C3" s="67"/>
      <c r="D3" s="67"/>
      <c r="E3" s="68"/>
      <c r="F3" s="56">
        <f>G41+G42</f>
        <v>0</v>
      </c>
      <c r="G3" s="56">
        <f>F3-F5</f>
        <v>0</v>
      </c>
      <c r="H3" s="56">
        <f>G3-G5</f>
        <v>0</v>
      </c>
    </row>
    <row r="4" spans="1:16" x14ac:dyDescent="0.2">
      <c r="B4" s="2016" t="s">
        <v>18</v>
      </c>
      <c r="C4" s="2017"/>
      <c r="D4" s="2017"/>
      <c r="E4" s="2018"/>
      <c r="F4" s="69">
        <f>'FS3 Resultat'!F55</f>
        <v>7.0000000000000007E-2</v>
      </c>
      <c r="G4" s="69">
        <f>'FS3 Resultat'!H55</f>
        <v>7.0000000000000007E-2</v>
      </c>
      <c r="H4" s="69">
        <f>'FS3 Resultat'!K55</f>
        <v>7.0000000000000007E-2</v>
      </c>
    </row>
    <row r="5" spans="1:16" x14ac:dyDescent="0.2">
      <c r="B5" s="2016" t="s">
        <v>24</v>
      </c>
      <c r="C5" s="2017"/>
      <c r="D5" s="67"/>
      <c r="E5" s="68"/>
      <c r="F5" s="56">
        <f>F3*F4</f>
        <v>0</v>
      </c>
      <c r="G5" s="56">
        <f>G3*G4</f>
        <v>0</v>
      </c>
      <c r="H5" s="56">
        <f>H3*H4</f>
        <v>0</v>
      </c>
    </row>
    <row r="6" spans="1:16" x14ac:dyDescent="0.2">
      <c r="B6" s="246" t="s">
        <v>22</v>
      </c>
      <c r="C6" s="57"/>
      <c r="D6" s="67"/>
      <c r="E6" s="68"/>
      <c r="F6" s="56">
        <f>F3-F5</f>
        <v>0</v>
      </c>
      <c r="G6" s="56">
        <f>G3-G5</f>
        <v>0</v>
      </c>
      <c r="H6" s="56">
        <f>H3-H5</f>
        <v>0</v>
      </c>
    </row>
    <row r="7" spans="1:16" x14ac:dyDescent="0.2">
      <c r="B7" s="2016" t="s">
        <v>19</v>
      </c>
      <c r="C7" s="2017"/>
      <c r="D7" s="2017"/>
      <c r="E7" s="2018"/>
      <c r="F7" s="56">
        <f>IF(G53&lt;0,0,G53)</f>
        <v>0</v>
      </c>
      <c r="G7" s="56">
        <f>F7-F9</f>
        <v>0</v>
      </c>
      <c r="H7" s="56">
        <f>G7-G9</f>
        <v>0</v>
      </c>
    </row>
    <row r="8" spans="1:16" x14ac:dyDescent="0.2">
      <c r="B8" s="2016" t="s">
        <v>20</v>
      </c>
      <c r="C8" s="2017"/>
      <c r="D8" s="2017"/>
      <c r="E8" s="2018"/>
      <c r="F8" s="69">
        <f>'FS3 Resultat'!F56</f>
        <v>0.2</v>
      </c>
      <c r="G8" s="69">
        <f>'FS3 Resultat'!H56</f>
        <v>0.2</v>
      </c>
      <c r="H8" s="69">
        <f>'FS3 Resultat'!K56</f>
        <v>0.2</v>
      </c>
    </row>
    <row r="9" spans="1:16" x14ac:dyDescent="0.2">
      <c r="B9" s="2016" t="s">
        <v>25</v>
      </c>
      <c r="C9" s="2017"/>
      <c r="D9" s="2017"/>
      <c r="E9" s="2018"/>
      <c r="F9" s="56">
        <f>F7*F8</f>
        <v>0</v>
      </c>
      <c r="G9" s="56">
        <f>G7*G8</f>
        <v>0</v>
      </c>
      <c r="H9" s="56">
        <f>H7*H8</f>
        <v>0</v>
      </c>
    </row>
    <row r="10" spans="1:16" x14ac:dyDescent="0.2">
      <c r="B10" s="2016" t="s">
        <v>23</v>
      </c>
      <c r="C10" s="2017"/>
      <c r="D10" s="2017"/>
      <c r="E10" s="2018"/>
      <c r="F10" s="56">
        <f>F7-F9</f>
        <v>0</v>
      </c>
      <c r="G10" s="56">
        <f>G7-G9</f>
        <v>0</v>
      </c>
      <c r="H10" s="56">
        <f>H7-H9</f>
        <v>0</v>
      </c>
    </row>
    <row r="11" spans="1:16" x14ac:dyDescent="0.2">
      <c r="B11" s="52"/>
      <c r="C11" s="52"/>
      <c r="D11" s="52"/>
      <c r="E11" s="52"/>
      <c r="F11" s="52"/>
      <c r="G11" s="52"/>
      <c r="H11" s="52"/>
    </row>
    <row r="12" spans="1:16" x14ac:dyDescent="0.2">
      <c r="B12" s="52"/>
      <c r="C12" s="52"/>
      <c r="D12" s="52"/>
      <c r="E12" s="52"/>
      <c r="F12" s="52"/>
      <c r="G12" s="52"/>
      <c r="H12" s="52"/>
    </row>
    <row r="13" spans="1:16" ht="15.75" x14ac:dyDescent="0.25">
      <c r="A13" s="52"/>
      <c r="B13" s="147" t="s">
        <v>77</v>
      </c>
      <c r="F13" s="52"/>
      <c r="G13" s="1709" t="s">
        <v>34</v>
      </c>
      <c r="H13" s="1709"/>
      <c r="I13" s="1709"/>
      <c r="J13" s="130"/>
      <c r="K13" s="131" t="s">
        <v>69</v>
      </c>
      <c r="L13" s="132"/>
      <c r="M13" s="132"/>
      <c r="N13" s="132"/>
      <c r="O13" s="132"/>
      <c r="P13" s="133"/>
    </row>
    <row r="14" spans="1:16" x14ac:dyDescent="0.2">
      <c r="C14" s="97"/>
      <c r="D14" s="97"/>
      <c r="E14" s="97"/>
      <c r="F14" s="52" t="s">
        <v>31</v>
      </c>
      <c r="G14" s="97" t="s">
        <v>1</v>
      </c>
      <c r="H14" s="97" t="s">
        <v>35</v>
      </c>
      <c r="I14" s="97" t="s">
        <v>14</v>
      </c>
      <c r="J14" s="134"/>
      <c r="K14" s="97" t="s">
        <v>70</v>
      </c>
      <c r="L14" s="135">
        <f>'FS3 Resultat'!H22/12</f>
        <v>0</v>
      </c>
      <c r="P14" s="136"/>
    </row>
    <row r="15" spans="1:16" x14ac:dyDescent="0.2">
      <c r="C15" s="96"/>
      <c r="D15" s="96"/>
      <c r="E15" s="96"/>
      <c r="F15" s="52" t="s">
        <v>30</v>
      </c>
      <c r="G15" s="98">
        <f>IF('FS3 Resultat'!$I18=2,'FS3 Resultat'!$K18*'FS3 Resultat'!$H18,IF('FS3 Resultat'!$I18=1,'FS3 Resultat'!$K18*'FS3 Resultat'!$H18,('YP Lainat ja avustukset'!$B23-0.5*'YP Lainat ja avustukset'!$E23)*'FS3 Resultat'!$H18))</f>
        <v>0</v>
      </c>
      <c r="H15" s="98">
        <f>IF('FS3 Resultat'!$I18=2,'FS3 Resultat'!$K18*'FS3 Resultat'!$H18,IF('FS3 Resultat'!$I18=1,('FS3 Resultat'!$K18-0.5*D23)*'FS3 Resultat'!$H18,('YP Lainat ja avustukset'!$B23-1.5*'YP Lainat ja avustukset'!$E23)*'FS3 Resultat'!$H18))</f>
        <v>0</v>
      </c>
      <c r="I15" s="98">
        <f>IF('FS3 Resultat'!$I18=2,('FS3 Resultat'!$K18-0.5*D23)*'FS3 Resultat'!$H18,IF('FS3 Resultat'!$I18=1,('FS3 Resultat'!$K18-1.5*C23)*'FS3 Resultat'!$H18,('YP Lainat ja avustukset'!$B23-2.5*'YP Lainat ja avustukset'!$E23)*'FS3 Resultat'!$H18))</f>
        <v>0</v>
      </c>
      <c r="J15" s="134"/>
      <c r="K15" s="1" t="s">
        <v>71</v>
      </c>
      <c r="L15">
        <f>'FS3 Resultat'!I22*12</f>
        <v>0</v>
      </c>
      <c r="P15" s="136"/>
    </row>
    <row r="16" spans="1:16" x14ac:dyDescent="0.2">
      <c r="C16" s="96"/>
      <c r="D16" s="96"/>
      <c r="E16" s="96"/>
      <c r="F16" s="52" t="s">
        <v>32</v>
      </c>
      <c r="G16" s="98">
        <f>IF('FS3 Resultat'!$I19=2,'FS3 Resultat'!$K19*'FS3 Resultat'!$H19,IF('FS3 Resultat'!$I19=1,'FS3 Resultat'!$K19*'FS3 Resultat'!$H19,('YP Lainat ja avustukset'!$B24-0.5*'YP Lainat ja avustukset'!$E24)*'FS3 Resultat'!$H19))</f>
        <v>0</v>
      </c>
      <c r="H16" s="98">
        <f>IF('FS3 Resultat'!$I19=2,'FS3 Resultat'!$K19*'FS3 Resultat'!$H19,IF('FS3 Resultat'!$I19=1,('FS3 Resultat'!$K19-0.5*D24)*'FS3 Resultat'!$H19,('YP Lainat ja avustukset'!$B24-1.5*'YP Lainat ja avustukset'!$E24)*'FS3 Resultat'!$H19))</f>
        <v>0</v>
      </c>
      <c r="I16" s="98">
        <f>IF('FS3 Resultat'!$I19=2,('FS3 Resultat'!$K19-0.5*D24)*'FS3 Resultat'!$H19,IF('FS3 Resultat'!$I19=1,('FS3 Resultat'!$K19-1.5*C24)*'FS3 Resultat'!$H19,('YP Lainat ja avustukset'!$B24-2.5*'YP Lainat ja avustukset'!$E24)*'FS3 Resultat'!$H19))</f>
        <v>0</v>
      </c>
      <c r="J16" s="134"/>
      <c r="K16" s="1" t="s">
        <v>29</v>
      </c>
      <c r="L16" s="50">
        <f>'FS3 Resultat'!K22</f>
        <v>0</v>
      </c>
      <c r="P16" s="136"/>
    </row>
    <row r="17" spans="1:23" x14ac:dyDescent="0.2">
      <c r="C17" s="96"/>
      <c r="D17" s="96"/>
      <c r="E17" s="96"/>
      <c r="F17" s="52" t="s">
        <v>33</v>
      </c>
      <c r="G17" s="98">
        <f>IF('FS3 Resultat'!$I20=2,'FS3 Resultat'!$K20*'FS3 Resultat'!$H20,IF('FS3 Resultat'!$I20=1,'FS3 Resultat'!$K20*'FS3 Resultat'!$H20,('YP Lainat ja avustukset'!$B25-0.5*'YP Lainat ja avustukset'!$E25)*'FS3 Resultat'!$H20))</f>
        <v>0</v>
      </c>
      <c r="H17" s="98">
        <f>IF('FS3 Resultat'!$I20=2,'FS3 Resultat'!$K20*'FS3 Resultat'!$H20,IF('FS3 Resultat'!$I20=1,('FS3 Resultat'!$K20-0.5*D25)*'FS3 Resultat'!$H20,('YP Lainat ja avustukset'!$B25-1.5*'YP Lainat ja avustukset'!$E25)*'FS3 Resultat'!$H20))</f>
        <v>0</v>
      </c>
      <c r="I17" s="98">
        <f>IF('FS3 Resultat'!$I20=2,('FS3 Resultat'!$K20-0.5*D25)*'FS3 Resultat'!$H20,IF('FS3 Resultat'!$I20=1,('FS3 Resultat'!$K20-1.5*C25)*'FS3 Resultat'!$H20,('YP Lainat ja avustukset'!$B25-2.5*'YP Lainat ja avustukset'!$E25)*'FS3 Resultat'!$H20))</f>
        <v>0</v>
      </c>
      <c r="J17" s="134"/>
      <c r="K17" s="1" t="s">
        <v>72</v>
      </c>
      <c r="L17" s="137">
        <f>IF(L14=0,0,-PMT(L14,L15,L16)*12)</f>
        <v>0</v>
      </c>
      <c r="P17" s="136"/>
    </row>
    <row r="18" spans="1:23" x14ac:dyDescent="0.2">
      <c r="C18" s="7"/>
      <c r="D18" s="7"/>
      <c r="E18" s="7"/>
      <c r="F18" s="70"/>
      <c r="G18" s="98"/>
      <c r="H18" s="98"/>
      <c r="I18" s="98"/>
      <c r="J18" s="134"/>
      <c r="K18" s="300" t="s">
        <v>220</v>
      </c>
      <c r="L18" s="137">
        <f>L17/4</f>
        <v>0</v>
      </c>
      <c r="P18" s="136"/>
    </row>
    <row r="19" spans="1:23" x14ac:dyDescent="0.2">
      <c r="C19" s="7"/>
      <c r="D19" s="7"/>
      <c r="E19" s="7"/>
      <c r="F19" s="52" t="s">
        <v>21</v>
      </c>
      <c r="G19" s="98">
        <f>SUM(G15:G18)</f>
        <v>0</v>
      </c>
      <c r="H19" s="98">
        <f>SUM(H15:H18)</f>
        <v>0</v>
      </c>
      <c r="I19" s="98">
        <f>SUM(I15:I18)</f>
        <v>0</v>
      </c>
      <c r="J19" s="134"/>
      <c r="K19" s="536" t="s">
        <v>201</v>
      </c>
      <c r="L19" s="536" t="s">
        <v>207</v>
      </c>
      <c r="M19" s="536" t="s">
        <v>208</v>
      </c>
      <c r="N19" s="536" t="s">
        <v>209</v>
      </c>
      <c r="O19" s="536" t="s">
        <v>210</v>
      </c>
      <c r="P19" s="546" t="s">
        <v>211</v>
      </c>
      <c r="Q19" s="536" t="s">
        <v>212</v>
      </c>
      <c r="R19" s="536" t="s">
        <v>213</v>
      </c>
      <c r="S19" s="536" t="s">
        <v>214</v>
      </c>
      <c r="T19" s="536" t="s">
        <v>215</v>
      </c>
      <c r="U19" s="536" t="s">
        <v>216</v>
      </c>
      <c r="V19" s="536" t="s">
        <v>217</v>
      </c>
      <c r="W19" s="536" t="s">
        <v>218</v>
      </c>
    </row>
    <row r="20" spans="1:23" x14ac:dyDescent="0.2">
      <c r="A20" s="52"/>
      <c r="B20" s="52"/>
      <c r="C20" s="52"/>
      <c r="D20" s="52"/>
      <c r="E20" s="52"/>
      <c r="F20" s="52"/>
      <c r="G20" s="52"/>
      <c r="H20" s="52"/>
      <c r="I20" s="52"/>
      <c r="J20" s="138" t="s">
        <v>73</v>
      </c>
      <c r="K20" s="101">
        <v>3</v>
      </c>
      <c r="L20" s="101">
        <v>8</v>
      </c>
      <c r="M20" s="101">
        <v>11</v>
      </c>
      <c r="N20" s="101">
        <v>14</v>
      </c>
      <c r="O20" s="101">
        <v>17</v>
      </c>
      <c r="P20" s="101">
        <v>20</v>
      </c>
      <c r="Q20" s="101">
        <v>23</v>
      </c>
      <c r="R20" s="101">
        <v>26</v>
      </c>
      <c r="S20" s="101">
        <v>29</v>
      </c>
      <c r="T20" s="101">
        <v>32</v>
      </c>
      <c r="U20" s="101">
        <v>35</v>
      </c>
      <c r="V20" s="101">
        <v>38</v>
      </c>
      <c r="W20" s="101">
        <v>41</v>
      </c>
    </row>
    <row r="21" spans="1:23" x14ac:dyDescent="0.2">
      <c r="C21" s="1710" t="s">
        <v>39</v>
      </c>
      <c r="D21" s="1710"/>
      <c r="E21" s="1710"/>
      <c r="G21" s="1710" t="s">
        <v>40</v>
      </c>
      <c r="H21" s="1710"/>
      <c r="I21" s="1710"/>
      <c r="J21" s="545" t="s">
        <v>200</v>
      </c>
      <c r="K21" s="137">
        <f>IF(K20&gt;$L15,0,-IPMT($L14,K20,$L15,$L16))</f>
        <v>0</v>
      </c>
      <c r="L21" s="137">
        <f>IF(L20&gt;$L15,0,-IPMT($L14,L20,$L15,$L16))</f>
        <v>0</v>
      </c>
      <c r="M21" s="137">
        <f t="shared" ref="M21:P21" si="0">IF(M20&gt;$L15,0,-IPMT($L14,M20,$L15,$L16))</f>
        <v>0</v>
      </c>
      <c r="N21" s="137">
        <f t="shared" si="0"/>
        <v>0</v>
      </c>
      <c r="O21" s="137">
        <f t="shared" si="0"/>
        <v>0</v>
      </c>
      <c r="P21" s="137">
        <f t="shared" si="0"/>
        <v>0</v>
      </c>
      <c r="Q21" s="137">
        <f t="shared" ref="Q21:W21" si="1">IF(Q20&gt;$L15,0,-IPMT($L14,Q20,$L15,$L16))</f>
        <v>0</v>
      </c>
      <c r="R21" s="137">
        <f t="shared" si="1"/>
        <v>0</v>
      </c>
      <c r="S21" s="137">
        <f t="shared" si="1"/>
        <v>0</v>
      </c>
      <c r="T21" s="137">
        <f t="shared" si="1"/>
        <v>0</v>
      </c>
      <c r="U21" s="137">
        <f t="shared" si="1"/>
        <v>0</v>
      </c>
      <c r="V21" s="137">
        <f t="shared" si="1"/>
        <v>0</v>
      </c>
      <c r="W21" s="137">
        <f t="shared" si="1"/>
        <v>0</v>
      </c>
    </row>
    <row r="22" spans="1:23" x14ac:dyDescent="0.2">
      <c r="A22" s="52" t="s">
        <v>31</v>
      </c>
      <c r="B22" s="1" t="s">
        <v>29</v>
      </c>
      <c r="C22" s="97" t="s">
        <v>36</v>
      </c>
      <c r="D22" s="97" t="s">
        <v>37</v>
      </c>
      <c r="E22" s="97" t="s">
        <v>38</v>
      </c>
      <c r="F22" s="52" t="s">
        <v>31</v>
      </c>
      <c r="G22" s="97" t="s">
        <v>1</v>
      </c>
      <c r="H22" s="97" t="s">
        <v>35</v>
      </c>
      <c r="I22" s="97" t="s">
        <v>14</v>
      </c>
      <c r="J22" s="545" t="s">
        <v>219</v>
      </c>
      <c r="K22" s="137">
        <f>6*K21</f>
        <v>0</v>
      </c>
      <c r="L22" s="137">
        <f>3*L21</f>
        <v>0</v>
      </c>
      <c r="M22" s="137">
        <f t="shared" ref="M22:W22" si="2">3*M21</f>
        <v>0</v>
      </c>
      <c r="N22" s="137">
        <f t="shared" si="2"/>
        <v>0</v>
      </c>
      <c r="O22" s="137">
        <f t="shared" si="2"/>
        <v>0</v>
      </c>
      <c r="P22" s="137">
        <f t="shared" si="2"/>
        <v>0</v>
      </c>
      <c r="Q22" s="137">
        <f t="shared" si="2"/>
        <v>0</v>
      </c>
      <c r="R22" s="137">
        <f t="shared" si="2"/>
        <v>0</v>
      </c>
      <c r="S22" s="137">
        <f t="shared" si="2"/>
        <v>0</v>
      </c>
      <c r="T22" s="137">
        <f t="shared" si="2"/>
        <v>0</v>
      </c>
      <c r="U22" s="137">
        <f t="shared" si="2"/>
        <v>0</v>
      </c>
      <c r="V22" s="137">
        <f t="shared" si="2"/>
        <v>0</v>
      </c>
      <c r="W22" s="137">
        <f t="shared" si="2"/>
        <v>0</v>
      </c>
    </row>
    <row r="23" spans="1:23" x14ac:dyDescent="0.2">
      <c r="A23" s="52" t="s">
        <v>30</v>
      </c>
      <c r="B23" s="50">
        <f>'FS3 Resultat'!K18</f>
        <v>0</v>
      </c>
      <c r="C23" s="7">
        <f>IF('FS3 Resultat'!$J18=0,0,$B23/('FS3 Resultat'!$J18-1))</f>
        <v>0</v>
      </c>
      <c r="D23" s="7">
        <f>IF('FS3 Resultat'!$J18=0,0,$B23/('FS3 Resultat'!$J18-2))</f>
        <v>0</v>
      </c>
      <c r="E23" s="7">
        <f>IF('FS3 Resultat'!$J18=0,0,$B23/'FS3 Resultat'!$J18)</f>
        <v>0</v>
      </c>
      <c r="F23" s="52" t="s">
        <v>30</v>
      </c>
      <c r="G23" s="96">
        <f>IF('FS3 Resultat'!$I18=2,'YP Lainat ja avustukset'!G15,IF('FS3 Resultat'!$I18=1,'YP Lainat ja avustukset'!$G15,'YP Lainat ja avustukset'!$E23+$G15))</f>
        <v>0</v>
      </c>
      <c r="H23" s="96">
        <f>IF('FS3 Resultat'!$I18=2,'YP Lainat ja avustukset'!H15,IF('FS3 Resultat'!$I18=1,H15+C23,'YP Lainat ja avustukset'!$E23+H15))</f>
        <v>0</v>
      </c>
      <c r="I23" s="96">
        <f>IF('FS3 Resultat'!$I18=2,'YP Lainat ja avustukset'!I15+D23,IF('FS3 Resultat'!$I18=1,I15+C23,'YP Lainat ja avustukset'!$E23+I15))</f>
        <v>0</v>
      </c>
      <c r="J23" s="612" t="s">
        <v>225</v>
      </c>
      <c r="K23" s="137">
        <f>2*$L18-K22</f>
        <v>0</v>
      </c>
      <c r="L23" s="137">
        <f>$L18-L22</f>
        <v>0</v>
      </c>
      <c r="M23" s="137">
        <f t="shared" ref="M23:W23" si="3">$L18-M22</f>
        <v>0</v>
      </c>
      <c r="N23" s="137">
        <f t="shared" si="3"/>
        <v>0</v>
      </c>
      <c r="O23" s="137">
        <f t="shared" si="3"/>
        <v>0</v>
      </c>
      <c r="P23" s="137">
        <f t="shared" si="3"/>
        <v>0</v>
      </c>
      <c r="Q23" s="137">
        <f t="shared" si="3"/>
        <v>0</v>
      </c>
      <c r="R23" s="137">
        <f t="shared" si="3"/>
        <v>0</v>
      </c>
      <c r="S23" s="137">
        <f t="shared" si="3"/>
        <v>0</v>
      </c>
      <c r="T23" s="137">
        <f t="shared" si="3"/>
        <v>0</v>
      </c>
      <c r="U23" s="137">
        <f t="shared" si="3"/>
        <v>0</v>
      </c>
      <c r="V23" s="137">
        <f t="shared" si="3"/>
        <v>0</v>
      </c>
      <c r="W23" s="137">
        <f t="shared" si="3"/>
        <v>0</v>
      </c>
    </row>
    <row r="24" spans="1:23" x14ac:dyDescent="0.2">
      <c r="A24" s="52" t="s">
        <v>32</v>
      </c>
      <c r="B24" s="50">
        <f>'FS3 Resultat'!K19</f>
        <v>0</v>
      </c>
      <c r="C24" s="7">
        <f>IF('FS3 Resultat'!$J19=0,0,$B24/('FS3 Resultat'!$J19-1))</f>
        <v>0</v>
      </c>
      <c r="D24" s="7">
        <f>IF('FS3 Resultat'!$J19=0,0,$B24/('FS3 Resultat'!$J19-2))</f>
        <v>0</v>
      </c>
      <c r="E24" s="7">
        <f>IF('FS3 Resultat'!$J19=0,0,$B24/'FS3 Resultat'!$J19)</f>
        <v>0</v>
      </c>
      <c r="F24" s="52" t="s">
        <v>32</v>
      </c>
      <c r="G24" s="96">
        <f>IF('FS3 Resultat'!$I19=2,'YP Lainat ja avustukset'!G16,IF('FS3 Resultat'!$I19=1,'YP Lainat ja avustukset'!$G16,'YP Lainat ja avustukset'!$E24+$G16))</f>
        <v>0</v>
      </c>
      <c r="H24" s="96">
        <f>IF('FS3 Resultat'!$I19=2,'YP Lainat ja avustukset'!H16,IF('FS3 Resultat'!$I19=1,H16+C24,'YP Lainat ja avustukset'!$E24+H16))</f>
        <v>0</v>
      </c>
      <c r="I24" s="96">
        <f>IF('FS3 Resultat'!$I19=2,'YP Lainat ja avustukset'!I16+D24,IF('FS3 Resultat'!$I19=1,I16+C24,'YP Lainat ja avustukset'!$E24+I16))</f>
        <v>0</v>
      </c>
      <c r="J24" s="134"/>
      <c r="P24" s="136"/>
    </row>
    <row r="25" spans="1:23" x14ac:dyDescent="0.2">
      <c r="A25" s="52" t="s">
        <v>33</v>
      </c>
      <c r="B25" s="50">
        <f>'FS3 Resultat'!K20</f>
        <v>0</v>
      </c>
      <c r="C25" s="7">
        <f>IF('FS3 Resultat'!$J20=0,0,$B25/('FS3 Resultat'!$J20-1))</f>
        <v>0</v>
      </c>
      <c r="D25" s="7">
        <f>IF('FS3 Resultat'!$J20=0,0,$B25/('FS3 Resultat'!$J20-2))</f>
        <v>0</v>
      </c>
      <c r="E25" s="7">
        <f>IF('FS3 Resultat'!$J20=0,0,$B25/'FS3 Resultat'!$J20)</f>
        <v>0</v>
      </c>
      <c r="F25" s="52" t="s">
        <v>33</v>
      </c>
      <c r="G25" s="96">
        <f>IF('FS3 Resultat'!$I20=2,'YP Lainat ja avustukset'!G17,IF('FS3 Resultat'!$I20=1,'YP Lainat ja avustukset'!$G17,'YP Lainat ja avustukset'!$E25+$G17))</f>
        <v>0</v>
      </c>
      <c r="H25" s="96">
        <f>IF('FS3 Resultat'!$I20=2,'YP Lainat ja avustukset'!H17,IF('FS3 Resultat'!$I20=1,H17+C25,'YP Lainat ja avustukset'!$E25+H17))</f>
        <v>0</v>
      </c>
      <c r="I25" s="96">
        <f>IF('FS3 Resultat'!$I20=2,'YP Lainat ja avustukset'!I17+D25,IF('FS3 Resultat'!$I20=1,I17+C25,'YP Lainat ja avustukset'!$E25+I17))</f>
        <v>0</v>
      </c>
      <c r="J25" s="134"/>
      <c r="P25" s="136"/>
    </row>
    <row r="26" spans="1:23" x14ac:dyDescent="0.2">
      <c r="A26" s="70"/>
      <c r="B26" s="50"/>
      <c r="C26" s="7"/>
      <c r="D26" s="7"/>
      <c r="E26" s="7"/>
      <c r="F26" s="70"/>
      <c r="G26" s="96"/>
      <c r="H26" s="96"/>
      <c r="I26" s="96"/>
      <c r="J26" s="134"/>
      <c r="P26" s="136"/>
    </row>
    <row r="27" spans="1:23" x14ac:dyDescent="0.2">
      <c r="A27" s="52" t="s">
        <v>21</v>
      </c>
      <c r="B27" s="99">
        <f>SUM(B23:B26)</f>
        <v>0</v>
      </c>
      <c r="C27" s="7">
        <f>SUM(C23:C26)</f>
        <v>0</v>
      </c>
      <c r="D27" s="7">
        <f>SUM(D23:D26)</f>
        <v>0</v>
      </c>
      <c r="E27" s="7">
        <f>SUM(E23:E26)</f>
        <v>0</v>
      </c>
      <c r="F27" s="52" t="s">
        <v>21</v>
      </c>
      <c r="G27" s="7">
        <f>SUM(G23:G26)</f>
        <v>0</v>
      </c>
      <c r="H27" s="7">
        <f>SUM(H23:H26)</f>
        <v>0</v>
      </c>
      <c r="I27" s="7">
        <f>SUM(I23:I26)</f>
        <v>0</v>
      </c>
      <c r="J27" s="134"/>
      <c r="P27" s="136"/>
    </row>
    <row r="28" spans="1:23" x14ac:dyDescent="0.2">
      <c r="J28" s="139"/>
      <c r="K28" s="140"/>
      <c r="L28" s="140"/>
      <c r="M28" s="140"/>
      <c r="N28" s="140"/>
      <c r="O28" s="140"/>
      <c r="P28" s="141"/>
    </row>
    <row r="31" spans="1:23" x14ac:dyDescent="0.2">
      <c r="G31" s="70" t="s">
        <v>41</v>
      </c>
      <c r="H31" s="52"/>
      <c r="I31" s="52"/>
    </row>
    <row r="32" spans="1:23" x14ac:dyDescent="0.2">
      <c r="F32" s="70" t="s">
        <v>0</v>
      </c>
      <c r="G32" s="97" t="s">
        <v>1</v>
      </c>
      <c r="H32" s="97" t="s">
        <v>35</v>
      </c>
      <c r="I32" s="97" t="s">
        <v>14</v>
      </c>
    </row>
    <row r="33" spans="2:10" x14ac:dyDescent="0.2">
      <c r="F33" s="52" t="s">
        <v>30</v>
      </c>
      <c r="G33" s="50">
        <f>IF('FS3 Resultat'!$I18=2,'YP Lainat ja avustukset'!$B23,IF('FS3 Resultat'!$I18=1,'YP Lainat ja avustukset'!$B23,'YP Lainat ja avustukset'!$B23-'YP Lainat ja avustukset'!$E23))</f>
        <v>0</v>
      </c>
      <c r="H33" s="50">
        <f>IF('FS3 Resultat'!$I18=2,'YP Lainat ja avustukset'!$B23,IF('FS3 Resultat'!$I18=1,'YP Lainat ja avustukset'!$B23-$C23,'YP Lainat ja avustukset'!$B23-2*'YP Lainat ja avustukset'!$E23))</f>
        <v>0</v>
      </c>
      <c r="I33" s="50">
        <f>IF('FS3 Resultat'!$I18=2,'YP Lainat ja avustukset'!$B23-D23,IF('FS3 Resultat'!$I18=1,'YP Lainat ja avustukset'!$B23-2*$C23,'YP Lainat ja avustukset'!$B23-3*'YP Lainat ja avustukset'!$E23))</f>
        <v>0</v>
      </c>
    </row>
    <row r="34" spans="2:10" x14ac:dyDescent="0.2">
      <c r="F34" s="52" t="s">
        <v>32</v>
      </c>
      <c r="G34" s="50">
        <f>IF('FS3 Resultat'!$I19=2,'YP Lainat ja avustukset'!$B24,IF('FS3 Resultat'!$I19=1,'YP Lainat ja avustukset'!$B24,'YP Lainat ja avustukset'!$B24-'YP Lainat ja avustukset'!$E24))</f>
        <v>0</v>
      </c>
      <c r="H34" s="50">
        <f>IF('FS3 Resultat'!$I19=2,'YP Lainat ja avustukset'!$B24,IF('FS3 Resultat'!$I19=1,'YP Lainat ja avustukset'!$B24-$C24,'YP Lainat ja avustukset'!$B24-2*'YP Lainat ja avustukset'!$E24))</f>
        <v>0</v>
      </c>
      <c r="I34" s="50">
        <f>IF('FS3 Resultat'!$I19=2,'YP Lainat ja avustukset'!$B24-D24,IF('FS3 Resultat'!$I19=1,'YP Lainat ja avustukset'!$B24-2*$C24,'YP Lainat ja avustukset'!$B24-3*'YP Lainat ja avustukset'!$E24))</f>
        <v>0</v>
      </c>
    </row>
    <row r="35" spans="2:10" x14ac:dyDescent="0.2">
      <c r="F35" s="52" t="s">
        <v>33</v>
      </c>
      <c r="G35" s="50">
        <f>IF('FS3 Resultat'!$I20=2,'YP Lainat ja avustukset'!$B25,IF('FS3 Resultat'!$I20=1,'YP Lainat ja avustukset'!$B25,'YP Lainat ja avustukset'!$B25-'YP Lainat ja avustukset'!$E25))</f>
        <v>0</v>
      </c>
      <c r="H35" s="50">
        <f>IF('FS3 Resultat'!$I20=2,'YP Lainat ja avustukset'!$B25,IF('FS3 Resultat'!$I20=1,'YP Lainat ja avustukset'!$B25-$C25,'YP Lainat ja avustukset'!$B25-2*'YP Lainat ja avustukset'!$E25))</f>
        <v>0</v>
      </c>
      <c r="I35" s="50">
        <f>IF('FS3 Resultat'!$I20=2,'YP Lainat ja avustukset'!$B25-D25,IF('FS3 Resultat'!$I20=1,'YP Lainat ja avustukset'!$B25-2*$C25,'YP Lainat ja avustukset'!$B25-3*'YP Lainat ja avustukset'!$E25))</f>
        <v>0</v>
      </c>
    </row>
    <row r="36" spans="2:10" x14ac:dyDescent="0.2">
      <c r="F36" s="70"/>
      <c r="G36" s="50"/>
      <c r="H36" s="50"/>
      <c r="I36" s="50"/>
    </row>
    <row r="37" spans="2:10" ht="13.5" thickBot="1" x14ac:dyDescent="0.25">
      <c r="F37" s="52" t="s">
        <v>21</v>
      </c>
      <c r="G37" s="50">
        <f>SUM(G33:G36)</f>
        <v>0</v>
      </c>
      <c r="H37" s="50">
        <f>SUM(H33:H36)</f>
        <v>0</v>
      </c>
      <c r="I37" s="50">
        <f>SUM(I33:I36)</f>
        <v>0</v>
      </c>
    </row>
    <row r="38" spans="2:10" ht="15.75" x14ac:dyDescent="0.25">
      <c r="B38" s="142" t="s">
        <v>74</v>
      </c>
      <c r="F38" s="240"/>
      <c r="G38" s="165"/>
      <c r="H38" s="165"/>
      <c r="I38" s="165"/>
      <c r="J38" s="157"/>
    </row>
    <row r="39" spans="2:10" ht="15.75" x14ac:dyDescent="0.25">
      <c r="B39" s="2" t="s">
        <v>66</v>
      </c>
      <c r="C39" s="101" t="s">
        <v>42</v>
      </c>
      <c r="D39" s="128" t="s">
        <v>29</v>
      </c>
      <c r="E39" s="1" t="s">
        <v>56</v>
      </c>
      <c r="F39" s="241"/>
      <c r="G39" s="148" t="s">
        <v>76</v>
      </c>
      <c r="H39" s="50"/>
      <c r="I39" s="50"/>
      <c r="J39" s="158"/>
    </row>
    <row r="40" spans="2:10" x14ac:dyDescent="0.2">
      <c r="B40" s="239" t="s">
        <v>26</v>
      </c>
      <c r="C40" s="250">
        <f>'FS3 Resultat'!D17</f>
        <v>0</v>
      </c>
      <c r="D40" s="227">
        <f>'FS3 Resultat'!E17</f>
        <v>0</v>
      </c>
      <c r="E40" s="226">
        <f>C40*D40</f>
        <v>0</v>
      </c>
      <c r="F40" s="239" t="s">
        <v>26</v>
      </c>
      <c r="G40" s="99">
        <f>D40-E40</f>
        <v>0</v>
      </c>
      <c r="H40" s="50"/>
      <c r="I40" s="50"/>
      <c r="J40" s="158"/>
    </row>
    <row r="41" spans="2:10" x14ac:dyDescent="0.2">
      <c r="B41" s="239" t="s">
        <v>27</v>
      </c>
      <c r="C41" s="250">
        <f>'FS3 Resultat'!D18</f>
        <v>0</v>
      </c>
      <c r="D41" s="227">
        <f>'FS3 Resultat'!E18</f>
        <v>0</v>
      </c>
      <c r="E41" s="226">
        <f>C41*D41</f>
        <v>0</v>
      </c>
      <c r="F41" s="239" t="s">
        <v>27</v>
      </c>
      <c r="G41" s="99">
        <f>D41-E41</f>
        <v>0</v>
      </c>
      <c r="H41" s="50"/>
      <c r="I41" s="50"/>
      <c r="J41" s="158"/>
    </row>
    <row r="42" spans="2:10" x14ac:dyDescent="0.2">
      <c r="B42" s="239" t="s">
        <v>65</v>
      </c>
      <c r="C42" s="250">
        <f>'FS3 Resultat'!D19</f>
        <v>0</v>
      </c>
      <c r="D42" s="227">
        <f>'FS3 Resultat'!E19</f>
        <v>0</v>
      </c>
      <c r="E42" s="251">
        <f>C42*D42/1.24</f>
        <v>0</v>
      </c>
      <c r="F42" s="239" t="s">
        <v>65</v>
      </c>
      <c r="G42" s="153">
        <f>D42/1.24-E42</f>
        <v>0</v>
      </c>
      <c r="H42" s="50"/>
      <c r="I42" s="50"/>
      <c r="J42" s="158"/>
    </row>
    <row r="43" spans="2:10" x14ac:dyDescent="0.2">
      <c r="B43" s="2"/>
      <c r="C43" s="2"/>
      <c r="D43" s="2" t="s">
        <v>21</v>
      </c>
      <c r="E43" s="127">
        <f>SUM(E40:E42)</f>
        <v>0</v>
      </c>
      <c r="F43" s="242"/>
      <c r="J43" s="158"/>
    </row>
    <row r="44" spans="2:10" x14ac:dyDescent="0.2">
      <c r="B44" t="s">
        <v>54</v>
      </c>
      <c r="C44" s="101" t="s">
        <v>42</v>
      </c>
      <c r="D44" s="101" t="s">
        <v>55</v>
      </c>
      <c r="E44" s="101" t="s">
        <v>56</v>
      </c>
      <c r="F44" s="241" t="s">
        <v>54</v>
      </c>
      <c r="G44" s="70" t="s">
        <v>76</v>
      </c>
      <c r="J44" s="158"/>
    </row>
    <row r="45" spans="2:10" x14ac:dyDescent="0.2">
      <c r="B45" s="226">
        <v>1</v>
      </c>
      <c r="C45" s="252">
        <f>'FS3 Resultat'!D21</f>
        <v>0</v>
      </c>
      <c r="D45" s="253">
        <f>'FS3 Resultat'!E21/1.24</f>
        <v>0</v>
      </c>
      <c r="E45" s="254">
        <f>C45*D45</f>
        <v>0</v>
      </c>
      <c r="F45">
        <v>1</v>
      </c>
      <c r="G45" s="99">
        <f>D45-E45</f>
        <v>0</v>
      </c>
      <c r="J45" s="158"/>
    </row>
    <row r="46" spans="2:10" x14ac:dyDescent="0.2">
      <c r="B46" s="226">
        <v>2</v>
      </c>
      <c r="C46" s="252">
        <f>'FS3 Resultat'!D22</f>
        <v>0</v>
      </c>
      <c r="D46" s="253">
        <f>'FS3 Resultat'!E22/1.24</f>
        <v>0</v>
      </c>
      <c r="E46" s="254">
        <f>C46*D46</f>
        <v>0</v>
      </c>
      <c r="F46">
        <v>2</v>
      </c>
      <c r="G46" s="99">
        <f>D46-E46</f>
        <v>0</v>
      </c>
      <c r="J46" s="158"/>
    </row>
    <row r="47" spans="2:10" x14ac:dyDescent="0.2">
      <c r="B47" s="226">
        <v>3</v>
      </c>
      <c r="C47" s="252">
        <f>'FS3 Resultat'!D23</f>
        <v>0</v>
      </c>
      <c r="D47" s="253">
        <f>'FS3 Resultat'!E23/1.24</f>
        <v>0</v>
      </c>
      <c r="E47" s="254">
        <f>C47*D47</f>
        <v>0</v>
      </c>
      <c r="F47">
        <v>3</v>
      </c>
      <c r="G47" s="99">
        <f>D47-E47</f>
        <v>0</v>
      </c>
      <c r="J47" s="158"/>
    </row>
    <row r="48" spans="2:10" x14ac:dyDescent="0.2">
      <c r="B48" s="226"/>
      <c r="C48" s="252"/>
      <c r="D48" s="253"/>
      <c r="E48" s="254"/>
      <c r="G48" s="99"/>
      <c r="J48" s="158"/>
    </row>
    <row r="49" spans="2:12" x14ac:dyDescent="0.2">
      <c r="C49" s="120"/>
      <c r="D49" s="50"/>
      <c r="E49" s="31"/>
      <c r="F49" s="241"/>
      <c r="G49" s="99"/>
      <c r="J49" s="158"/>
    </row>
    <row r="50" spans="2:12" x14ac:dyDescent="0.2">
      <c r="B50" s="1" t="s">
        <v>64</v>
      </c>
      <c r="C50" s="123">
        <f>IF(D50=0,0,(E50/D50))</f>
        <v>0</v>
      </c>
      <c r="D50" s="50">
        <f>SUM(D45:D49)</f>
        <v>0</v>
      </c>
      <c r="E50" s="31">
        <f>SUM(E45:E49)</f>
        <v>0</v>
      </c>
      <c r="F50" s="241"/>
      <c r="G50" s="44" t="s">
        <v>0</v>
      </c>
      <c r="J50" s="158"/>
      <c r="K50">
        <f>-IF($F39=6,'YP Lainat ja avustukset'!Z188,IF($F39=7,'YP Lainat ja avustukset'!AA189,IF($F39=8,'YP Lainat ja avustukset'!AB190,IF($F39=9,'YP Lainat ja avustukset'!AC191,IF($F39=10,'YP Lainat ja avustukset'!AD192,IF($F39=11,'YP Lainat ja avustukset'!AE193,IF($F39=12,'YP Lainat ja avustukset'!AF194,IF($F39=13,'YP Lainat ja avustukset'!AG195,IF($F39=14,'YP Lainat ja avustukset'!AH196,IF($F39=15,'YP Lainat ja avustukset'!AJ185,IF($F39=16,'YP Lainat ja avustukset'!AA198,IF($F39=17,'YP Lainat ja avustukset'!AB199,'YP Lainat ja avustukset'!AC200))))))))))))</f>
        <v>0</v>
      </c>
    </row>
    <row r="51" spans="2:12" x14ac:dyDescent="0.2">
      <c r="B51" s="1" t="s">
        <v>67</v>
      </c>
      <c r="C51" s="122">
        <f>'FS3 Resultat'!D26</f>
        <v>0</v>
      </c>
      <c r="D51" s="50">
        <f>'FS3 Resultat'!E26</f>
        <v>0</v>
      </c>
      <c r="E51">
        <f>C51*D51</f>
        <v>0</v>
      </c>
      <c r="F51" s="243" t="s">
        <v>106</v>
      </c>
      <c r="G51" s="99">
        <f>D51-E51</f>
        <v>0</v>
      </c>
      <c r="J51" s="158"/>
    </row>
    <row r="52" spans="2:12" x14ac:dyDescent="0.2">
      <c r="B52" s="1" t="s">
        <v>57</v>
      </c>
      <c r="D52" s="44">
        <f>B57</f>
        <v>0</v>
      </c>
      <c r="E52" s="31">
        <v>0</v>
      </c>
      <c r="F52" s="1" t="s">
        <v>57</v>
      </c>
      <c r="G52" s="50">
        <f>-D52</f>
        <v>0</v>
      </c>
      <c r="J52" s="158"/>
    </row>
    <row r="53" spans="2:12" ht="13.5" thickBot="1" x14ac:dyDescent="0.25">
      <c r="B53" s="2" t="s">
        <v>68</v>
      </c>
      <c r="C53" s="149" t="s">
        <v>227</v>
      </c>
      <c r="D53" s="2"/>
      <c r="E53" s="127">
        <f>E43+IF(E50+E51+E52&lt;0,0,E50+E51+E52)</f>
        <v>0</v>
      </c>
      <c r="F53" s="244" t="s">
        <v>21</v>
      </c>
      <c r="G53" s="245">
        <f>SUM(G45:G52)</f>
        <v>0</v>
      </c>
      <c r="H53" s="166"/>
      <c r="I53" s="166"/>
      <c r="J53" s="159"/>
    </row>
    <row r="55" spans="2:12" x14ac:dyDescent="0.2">
      <c r="B55" s="1" t="s">
        <v>60</v>
      </c>
    </row>
    <row r="56" spans="2:12" x14ac:dyDescent="0.2">
      <c r="B56" s="101" t="s">
        <v>29</v>
      </c>
      <c r="C56" s="101" t="s">
        <v>28</v>
      </c>
      <c r="D56" t="s">
        <v>59</v>
      </c>
      <c r="E56" s="1" t="s">
        <v>62</v>
      </c>
      <c r="F56" s="1" t="s">
        <v>61</v>
      </c>
      <c r="G56" s="1" t="s">
        <v>63</v>
      </c>
      <c r="L56" t="s">
        <v>132</v>
      </c>
    </row>
    <row r="57" spans="2:12" x14ac:dyDescent="0.2">
      <c r="B57" s="50">
        <f>'FS3 Resultat'!K21</f>
        <v>0</v>
      </c>
      <c r="C57" s="122">
        <f>'FS3 Resultat'!H21</f>
        <v>0</v>
      </c>
      <c r="D57" s="50">
        <f>'FS3 Resultat'!I21</f>
        <v>0</v>
      </c>
      <c r="E57" s="125">
        <f>'FS1 Kostnader '!E59</f>
        <v>0.3</v>
      </c>
      <c r="F57">
        <f>B57*E57</f>
        <v>0</v>
      </c>
      <c r="G57" s="96">
        <f>IF(B57=0,0,-PMT(C57,D57,B57-F57)+12*L57)</f>
        <v>0</v>
      </c>
      <c r="H57" s="1" t="s">
        <v>79</v>
      </c>
      <c r="L57">
        <v>10</v>
      </c>
    </row>
    <row r="58" spans="2:12" x14ac:dyDescent="0.2">
      <c r="B58" s="50">
        <f>B57</f>
        <v>0</v>
      </c>
      <c r="C58" s="122">
        <f>C57</f>
        <v>0</v>
      </c>
      <c r="D58" s="50">
        <f>D57</f>
        <v>0</v>
      </c>
      <c r="E58" s="125">
        <f>E57</f>
        <v>0.3</v>
      </c>
      <c r="F58" s="50">
        <f>F57</f>
        <v>0</v>
      </c>
      <c r="G58" s="124">
        <f>IF(D58=0,0,(C58*F58))</f>
        <v>0</v>
      </c>
      <c r="H58" s="300" t="s">
        <v>131</v>
      </c>
    </row>
    <row r="59" spans="2:12" x14ac:dyDescent="0.2">
      <c r="B59" s="50"/>
      <c r="C59" s="122"/>
      <c r="D59" s="50"/>
      <c r="E59" s="50"/>
      <c r="F59" s="50"/>
      <c r="G59" s="50"/>
      <c r="H59" s="1"/>
    </row>
    <row r="60" spans="2:12" x14ac:dyDescent="0.2">
      <c r="F60" s="128"/>
      <c r="G60" s="50">
        <f>G57+G58</f>
        <v>0</v>
      </c>
      <c r="H60" s="1" t="s">
        <v>108</v>
      </c>
    </row>
    <row r="61" spans="2:12" x14ac:dyDescent="0.2">
      <c r="B61" s="1"/>
      <c r="C61" s="1"/>
      <c r="E61" s="128"/>
      <c r="F61" s="126"/>
      <c r="G61" s="50"/>
      <c r="H61" s="1"/>
    </row>
    <row r="62" spans="2:12" x14ac:dyDescent="0.2">
      <c r="C62" s="31"/>
      <c r="D62" s="31"/>
      <c r="E62" s="31"/>
      <c r="F62" s="1"/>
      <c r="G62" s="31"/>
      <c r="H62" s="1"/>
    </row>
    <row r="63" spans="2:12" x14ac:dyDescent="0.2">
      <c r="B63" s="167"/>
      <c r="C63" s="44"/>
      <c r="D63" s="50"/>
      <c r="E63" s="44"/>
      <c r="F63" s="126"/>
      <c r="G63" s="31"/>
      <c r="H63" s="1"/>
    </row>
    <row r="64" spans="2:12" x14ac:dyDescent="0.2">
      <c r="B64" s="167"/>
      <c r="C64" s="44"/>
      <c r="D64" s="50"/>
      <c r="E64" s="44"/>
    </row>
    <row r="65" spans="1:38" x14ac:dyDescent="0.2">
      <c r="B65" s="167"/>
      <c r="C65" s="44"/>
      <c r="D65" s="50"/>
      <c r="E65" s="44"/>
    </row>
    <row r="66" spans="1:38" x14ac:dyDescent="0.2">
      <c r="B66" s="167"/>
      <c r="C66" s="44"/>
      <c r="D66" s="50"/>
      <c r="E66" s="44"/>
    </row>
    <row r="67" spans="1:38" x14ac:dyDescent="0.2">
      <c r="B67" s="167"/>
      <c r="C67" s="44"/>
      <c r="D67" s="50"/>
      <c r="E67" s="44"/>
    </row>
    <row r="68" spans="1:38" x14ac:dyDescent="0.2">
      <c r="B68" s="167"/>
      <c r="C68" s="47"/>
      <c r="D68" s="281"/>
      <c r="E68" s="47"/>
    </row>
    <row r="69" spans="1:38" ht="13.5" thickBot="1" x14ac:dyDescent="0.25">
      <c r="A69" s="683" t="s">
        <v>31</v>
      </c>
      <c r="B69" s="575"/>
      <c r="C69" s="575"/>
      <c r="D69" s="576"/>
      <c r="E69" s="576"/>
      <c r="F69" s="576"/>
      <c r="G69" s="576"/>
      <c r="H69" s="576"/>
      <c r="I69" s="576"/>
      <c r="J69" s="576"/>
      <c r="K69" s="576"/>
      <c r="L69" s="576"/>
      <c r="M69" s="576"/>
      <c r="N69" s="576"/>
      <c r="O69" s="576"/>
      <c r="P69" s="577"/>
      <c r="Q69" s="578"/>
      <c r="R69" s="578"/>
      <c r="S69" s="578"/>
      <c r="T69" s="578"/>
      <c r="U69" s="578"/>
      <c r="V69" s="578"/>
      <c r="W69" s="578"/>
      <c r="X69" s="578"/>
      <c r="Y69" s="578"/>
      <c r="Z69" s="578"/>
      <c r="AA69" s="578"/>
      <c r="AB69" s="578"/>
      <c r="AC69" s="578"/>
      <c r="AD69" s="578"/>
      <c r="AE69" s="578"/>
      <c r="AF69" s="578"/>
      <c r="AG69" s="578"/>
      <c r="AH69" s="578"/>
      <c r="AI69" s="578"/>
      <c r="AJ69" s="578"/>
      <c r="AK69" s="578"/>
      <c r="AL69" s="578"/>
    </row>
    <row r="70" spans="1:38" ht="13.5" thickBot="1" x14ac:dyDescent="0.25">
      <c r="A70" s="679" t="s">
        <v>186</v>
      </c>
      <c r="B70" s="680">
        <v>6</v>
      </c>
      <c r="C70" s="681">
        <v>7</v>
      </c>
      <c r="D70" s="681">
        <v>8</v>
      </c>
      <c r="E70" s="681">
        <v>9</v>
      </c>
      <c r="F70" s="681">
        <v>10</v>
      </c>
      <c r="G70" s="681">
        <v>11</v>
      </c>
      <c r="H70" s="681">
        <v>12</v>
      </c>
      <c r="I70" s="681">
        <v>13</v>
      </c>
      <c r="J70" s="681">
        <v>14</v>
      </c>
      <c r="K70" s="681">
        <v>15</v>
      </c>
      <c r="L70" s="681">
        <v>16</v>
      </c>
      <c r="M70" s="681">
        <v>17</v>
      </c>
      <c r="N70" s="681">
        <v>18</v>
      </c>
      <c r="O70" s="681">
        <v>19</v>
      </c>
      <c r="P70" s="681">
        <v>20</v>
      </c>
      <c r="Q70" s="681">
        <v>21</v>
      </c>
      <c r="R70" s="681">
        <v>22</v>
      </c>
      <c r="S70" s="681">
        <v>23</v>
      </c>
      <c r="T70" s="681">
        <v>24</v>
      </c>
      <c r="U70" s="681">
        <v>25</v>
      </c>
      <c r="V70" s="681">
        <v>26</v>
      </c>
      <c r="W70" s="681">
        <v>27</v>
      </c>
      <c r="X70" s="681">
        <v>28</v>
      </c>
      <c r="Y70" s="681">
        <v>29</v>
      </c>
      <c r="Z70" s="681">
        <v>30</v>
      </c>
      <c r="AA70" s="681">
        <v>31</v>
      </c>
      <c r="AB70" s="681">
        <v>32</v>
      </c>
      <c r="AC70" s="681">
        <v>33</v>
      </c>
      <c r="AD70" s="681">
        <v>34</v>
      </c>
      <c r="AE70" s="681">
        <v>35</v>
      </c>
      <c r="AF70" s="681">
        <v>36</v>
      </c>
      <c r="AG70" s="681">
        <v>37</v>
      </c>
      <c r="AH70" s="681">
        <v>38</v>
      </c>
      <c r="AI70" s="681">
        <v>39</v>
      </c>
      <c r="AJ70" s="681">
        <v>40</v>
      </c>
      <c r="AK70" s="681">
        <v>41</v>
      </c>
      <c r="AL70" s="682">
        <v>42</v>
      </c>
    </row>
    <row r="71" spans="1:38" x14ac:dyDescent="0.2">
      <c r="A71" s="582" t="s">
        <v>183</v>
      </c>
      <c r="B71" s="583">
        <f>'FS3 Resultat'!K18</f>
        <v>0</v>
      </c>
      <c r="C71" s="607">
        <f>B71-B72</f>
        <v>0</v>
      </c>
      <c r="D71" s="607">
        <f t="shared" ref="D71:AL71" si="4">C71-C72</f>
        <v>0</v>
      </c>
      <c r="E71" s="607">
        <f t="shared" si="4"/>
        <v>0</v>
      </c>
      <c r="F71" s="607">
        <f t="shared" si="4"/>
        <v>0</v>
      </c>
      <c r="G71" s="607">
        <f t="shared" si="4"/>
        <v>0</v>
      </c>
      <c r="H71" s="607">
        <f t="shared" si="4"/>
        <v>0</v>
      </c>
      <c r="I71" s="607">
        <f t="shared" si="4"/>
        <v>0</v>
      </c>
      <c r="J71" s="607">
        <f t="shared" si="4"/>
        <v>0</v>
      </c>
      <c r="K71" s="607">
        <f t="shared" si="4"/>
        <v>0</v>
      </c>
      <c r="L71" s="607">
        <f t="shared" si="4"/>
        <v>0</v>
      </c>
      <c r="M71" s="607">
        <f t="shared" si="4"/>
        <v>0</v>
      </c>
      <c r="N71" s="607">
        <f t="shared" si="4"/>
        <v>0</v>
      </c>
      <c r="O71" s="607">
        <f t="shared" si="4"/>
        <v>0</v>
      </c>
      <c r="P71" s="607">
        <f t="shared" si="4"/>
        <v>0</v>
      </c>
      <c r="Q71" s="607">
        <f t="shared" si="4"/>
        <v>0</v>
      </c>
      <c r="R71" s="607">
        <f t="shared" si="4"/>
        <v>0</v>
      </c>
      <c r="S71" s="607">
        <f t="shared" si="4"/>
        <v>0</v>
      </c>
      <c r="T71" s="607">
        <f t="shared" si="4"/>
        <v>0</v>
      </c>
      <c r="U71" s="607">
        <f t="shared" si="4"/>
        <v>0</v>
      </c>
      <c r="V71" s="607">
        <f t="shared" si="4"/>
        <v>0</v>
      </c>
      <c r="W71" s="607">
        <f t="shared" si="4"/>
        <v>0</v>
      </c>
      <c r="X71" s="607">
        <f t="shared" si="4"/>
        <v>0</v>
      </c>
      <c r="Y71" s="607">
        <f t="shared" si="4"/>
        <v>0</v>
      </c>
      <c r="Z71" s="607">
        <f t="shared" si="4"/>
        <v>0</v>
      </c>
      <c r="AA71" s="607">
        <f t="shared" si="4"/>
        <v>0</v>
      </c>
      <c r="AB71" s="607">
        <f t="shared" si="4"/>
        <v>0</v>
      </c>
      <c r="AC71" s="607">
        <f t="shared" si="4"/>
        <v>0</v>
      </c>
      <c r="AD71" s="607">
        <f t="shared" si="4"/>
        <v>0</v>
      </c>
      <c r="AE71" s="607">
        <f t="shared" si="4"/>
        <v>0</v>
      </c>
      <c r="AF71" s="607">
        <f t="shared" si="4"/>
        <v>0</v>
      </c>
      <c r="AG71" s="607">
        <f t="shared" si="4"/>
        <v>0</v>
      </c>
      <c r="AH71" s="607">
        <f t="shared" si="4"/>
        <v>0</v>
      </c>
      <c r="AI71" s="607">
        <f t="shared" si="4"/>
        <v>0</v>
      </c>
      <c r="AJ71" s="607">
        <f t="shared" si="4"/>
        <v>0</v>
      </c>
      <c r="AK71" s="607">
        <f t="shared" si="4"/>
        <v>0</v>
      </c>
      <c r="AL71" s="608">
        <f t="shared" si="4"/>
        <v>0</v>
      </c>
    </row>
    <row r="72" spans="1:38" x14ac:dyDescent="0.2">
      <c r="A72" s="584" t="s">
        <v>184</v>
      </c>
      <c r="B72" s="70">
        <f>IF(B71=0,0,IF('FS3 Resultat'!$I18=2,0,IF('FS3 Resultat'!$I18=1,0,'FS3 Resultat'!$K18/(2*'FS3 Resultat'!$J18))))</f>
        <v>0</v>
      </c>
      <c r="C72" s="210"/>
      <c r="D72" s="211"/>
      <c r="E72" s="211"/>
      <c r="F72" s="211"/>
      <c r="G72" s="211"/>
      <c r="H72" s="70">
        <f>IF(H71=0,0,IF('FS3 Resultat'!$I18=2,0,IF('FS3 Resultat'!$I18=1,0,'FS3 Resultat'!$K18/(2*'FS3 Resultat'!$J18))))</f>
        <v>0</v>
      </c>
      <c r="I72" s="211"/>
      <c r="J72" s="211"/>
      <c r="K72" s="211"/>
      <c r="L72" s="211"/>
      <c r="M72" s="211"/>
      <c r="N72" s="70">
        <f>IF(N71=0,0,IF('FS3 Resultat'!$I18=2,0,IF('FS3 Resultat'!$I18=1,'FS3 Resultat'!$K18/(2*'FS3 Resultat'!$J18-2),'FS3 Resultat'!$K18/(2*'FS3 Resultat'!$J18))))</f>
        <v>0</v>
      </c>
      <c r="O72" s="211"/>
      <c r="P72" s="99"/>
      <c r="T72" s="70">
        <f>IF(T71=0,0,IF('FS3 Resultat'!$I18=2,0,IF('FS3 Resultat'!$I18=1,'FS3 Resultat'!$K18/(2*'FS3 Resultat'!$J18-2),'FS3 Resultat'!$K18/(2*'FS3 Resultat'!$J18))))</f>
        <v>0</v>
      </c>
      <c r="Z72" s="70">
        <f>IF(Z71=0,0,IF('FS3 Resultat'!$I18=2,'FS3 Resultat'!$K18/(2*'FS3 Resultat'!$J18-4),IF('FS3 Resultat'!$I18=1,'FS3 Resultat'!$K18/(2*'FS3 Resultat'!$J18-2),'FS3 Resultat'!$K18/(2*'FS3 Resultat'!$J18))))</f>
        <v>0</v>
      </c>
      <c r="AF72" s="70">
        <f>IF(AF71=0,0,IF('FS3 Resultat'!$I18=2,'FS3 Resultat'!$K18/(2*'FS3 Resultat'!$J18-4),IF('FS3 Resultat'!$I18=1,'FS3 Resultat'!$K18/(2*'FS3 Resultat'!$J18-2),'FS3 Resultat'!$K18/(2*'FS3 Resultat'!$J18))))</f>
        <v>0</v>
      </c>
      <c r="AL72" s="609">
        <f>IF(AL71=0,0,IF('FS3 Resultat'!$I18=2,'FS3 Resultat'!$K18/(2*'FS3 Resultat'!$J18-4),IF('FS3 Resultat'!$I18=1,'FS3 Resultat'!$K18/(2*'FS3 Resultat'!$J18-2),'FS3 Resultat'!$K18/(2*'FS3 Resultat'!$J18))))</f>
        <v>0</v>
      </c>
    </row>
    <row r="73" spans="1:38" s="621" customFormat="1" x14ac:dyDescent="0.2">
      <c r="A73" s="619" t="s">
        <v>228</v>
      </c>
      <c r="B73" s="620">
        <f>B71-B72</f>
        <v>0</v>
      </c>
      <c r="C73" s="620">
        <f t="shared" ref="C73:AL73" si="5">C71-C72</f>
        <v>0</v>
      </c>
      <c r="D73" s="620">
        <f t="shared" si="5"/>
        <v>0</v>
      </c>
      <c r="E73" s="620">
        <f t="shared" si="5"/>
        <v>0</v>
      </c>
      <c r="F73" s="620">
        <f t="shared" si="5"/>
        <v>0</v>
      </c>
      <c r="G73" s="620">
        <f t="shared" si="5"/>
        <v>0</v>
      </c>
      <c r="H73" s="620">
        <f t="shared" si="5"/>
        <v>0</v>
      </c>
      <c r="I73" s="620">
        <f t="shared" si="5"/>
        <v>0</v>
      </c>
      <c r="J73" s="620">
        <f t="shared" si="5"/>
        <v>0</v>
      </c>
      <c r="K73" s="620">
        <f t="shared" si="5"/>
        <v>0</v>
      </c>
      <c r="L73" s="620">
        <f t="shared" si="5"/>
        <v>0</v>
      </c>
      <c r="M73" s="620">
        <f t="shared" si="5"/>
        <v>0</v>
      </c>
      <c r="N73" s="620">
        <f t="shared" si="5"/>
        <v>0</v>
      </c>
      <c r="O73" s="620">
        <f t="shared" si="5"/>
        <v>0</v>
      </c>
      <c r="P73" s="620">
        <f t="shared" si="5"/>
        <v>0</v>
      </c>
      <c r="Q73" s="620">
        <f t="shared" si="5"/>
        <v>0</v>
      </c>
      <c r="R73" s="620">
        <f t="shared" si="5"/>
        <v>0</v>
      </c>
      <c r="S73" s="620">
        <f t="shared" si="5"/>
        <v>0</v>
      </c>
      <c r="T73" s="620">
        <f t="shared" si="5"/>
        <v>0</v>
      </c>
      <c r="U73" s="620">
        <f t="shared" si="5"/>
        <v>0</v>
      </c>
      <c r="V73" s="620">
        <f t="shared" si="5"/>
        <v>0</v>
      </c>
      <c r="W73" s="620">
        <f t="shared" si="5"/>
        <v>0</v>
      </c>
      <c r="X73" s="620">
        <f t="shared" si="5"/>
        <v>0</v>
      </c>
      <c r="Y73" s="620">
        <f t="shared" si="5"/>
        <v>0</v>
      </c>
      <c r="Z73" s="620">
        <f t="shared" si="5"/>
        <v>0</v>
      </c>
      <c r="AA73" s="620">
        <f t="shared" si="5"/>
        <v>0</v>
      </c>
      <c r="AB73" s="620">
        <f t="shared" si="5"/>
        <v>0</v>
      </c>
      <c r="AC73" s="620">
        <f t="shared" si="5"/>
        <v>0</v>
      </c>
      <c r="AD73" s="620">
        <f t="shared" si="5"/>
        <v>0</v>
      </c>
      <c r="AE73" s="620">
        <f t="shared" si="5"/>
        <v>0</v>
      </c>
      <c r="AF73" s="620">
        <f t="shared" si="5"/>
        <v>0</v>
      </c>
      <c r="AG73" s="620">
        <f t="shared" si="5"/>
        <v>0</v>
      </c>
      <c r="AH73" s="620">
        <f t="shared" si="5"/>
        <v>0</v>
      </c>
      <c r="AI73" s="620">
        <f t="shared" si="5"/>
        <v>0</v>
      </c>
      <c r="AJ73" s="620">
        <f t="shared" si="5"/>
        <v>0</v>
      </c>
      <c r="AK73" s="620">
        <f t="shared" si="5"/>
        <v>0</v>
      </c>
      <c r="AL73" s="673">
        <f t="shared" si="5"/>
        <v>0</v>
      </c>
    </row>
    <row r="74" spans="1:38" x14ac:dyDescent="0.2">
      <c r="A74" s="584" t="s">
        <v>28</v>
      </c>
      <c r="B74" s="538">
        <f>'FS3 Resultat'!H18</f>
        <v>0</v>
      </c>
      <c r="C74" s="539">
        <f>B74</f>
        <v>0</v>
      </c>
      <c r="D74" s="539">
        <f t="shared" ref="D74:AL74" si="6">C74</f>
        <v>0</v>
      </c>
      <c r="E74" s="539">
        <f t="shared" si="6"/>
        <v>0</v>
      </c>
      <c r="F74" s="539">
        <f t="shared" si="6"/>
        <v>0</v>
      </c>
      <c r="G74" s="539">
        <f t="shared" si="6"/>
        <v>0</v>
      </c>
      <c r="H74" s="539">
        <f t="shared" si="6"/>
        <v>0</v>
      </c>
      <c r="I74" s="539">
        <f t="shared" si="6"/>
        <v>0</v>
      </c>
      <c r="J74" s="539">
        <f t="shared" si="6"/>
        <v>0</v>
      </c>
      <c r="K74" s="539">
        <f t="shared" si="6"/>
        <v>0</v>
      </c>
      <c r="L74" s="539">
        <f t="shared" si="6"/>
        <v>0</v>
      </c>
      <c r="M74" s="539">
        <f t="shared" si="6"/>
        <v>0</v>
      </c>
      <c r="N74" s="539">
        <f t="shared" si="6"/>
        <v>0</v>
      </c>
      <c r="O74" s="539">
        <f t="shared" si="6"/>
        <v>0</v>
      </c>
      <c r="P74" s="539">
        <f t="shared" si="6"/>
        <v>0</v>
      </c>
      <c r="Q74" s="539">
        <f t="shared" si="6"/>
        <v>0</v>
      </c>
      <c r="R74" s="539">
        <f t="shared" si="6"/>
        <v>0</v>
      </c>
      <c r="S74" s="539">
        <f t="shared" si="6"/>
        <v>0</v>
      </c>
      <c r="T74" s="539">
        <f t="shared" si="6"/>
        <v>0</v>
      </c>
      <c r="U74" s="539">
        <f t="shared" si="6"/>
        <v>0</v>
      </c>
      <c r="V74" s="539">
        <f t="shared" si="6"/>
        <v>0</v>
      </c>
      <c r="W74" s="539">
        <f t="shared" si="6"/>
        <v>0</v>
      </c>
      <c r="X74" s="539">
        <f t="shared" si="6"/>
        <v>0</v>
      </c>
      <c r="Y74" s="539">
        <f t="shared" si="6"/>
        <v>0</v>
      </c>
      <c r="Z74" s="539">
        <f t="shared" si="6"/>
        <v>0</v>
      </c>
      <c r="AA74" s="539">
        <f t="shared" si="6"/>
        <v>0</v>
      </c>
      <c r="AB74" s="539">
        <f t="shared" si="6"/>
        <v>0</v>
      </c>
      <c r="AC74" s="539">
        <f t="shared" si="6"/>
        <v>0</v>
      </c>
      <c r="AD74" s="539">
        <f t="shared" si="6"/>
        <v>0</v>
      </c>
      <c r="AE74" s="539">
        <f t="shared" si="6"/>
        <v>0</v>
      </c>
      <c r="AF74" s="539">
        <f t="shared" si="6"/>
        <v>0</v>
      </c>
      <c r="AG74" s="539">
        <f t="shared" si="6"/>
        <v>0</v>
      </c>
      <c r="AH74" s="539">
        <f t="shared" si="6"/>
        <v>0</v>
      </c>
      <c r="AI74" s="539">
        <f t="shared" si="6"/>
        <v>0</v>
      </c>
      <c r="AJ74" s="539">
        <f t="shared" si="6"/>
        <v>0</v>
      </c>
      <c r="AK74" s="539">
        <f t="shared" si="6"/>
        <v>0</v>
      </c>
      <c r="AL74" s="610">
        <f t="shared" si="6"/>
        <v>0</v>
      </c>
    </row>
    <row r="75" spans="1:38" x14ac:dyDescent="0.2">
      <c r="A75" s="584" t="s">
        <v>185</v>
      </c>
      <c r="B75" s="540">
        <f>(B71)*B74/2</f>
        <v>0</v>
      </c>
      <c r="C75" s="540">
        <f>(C71)*C74/12</f>
        <v>0</v>
      </c>
      <c r="D75" s="540">
        <f t="shared" ref="D75:AL75" si="7">(D71)*D74/12</f>
        <v>0</v>
      </c>
      <c r="E75" s="540">
        <f t="shared" si="7"/>
        <v>0</v>
      </c>
      <c r="F75" s="540">
        <f t="shared" si="7"/>
        <v>0</v>
      </c>
      <c r="G75" s="540">
        <f t="shared" si="7"/>
        <v>0</v>
      </c>
      <c r="H75" s="540">
        <f t="shared" si="7"/>
        <v>0</v>
      </c>
      <c r="I75" s="540">
        <f t="shared" si="7"/>
        <v>0</v>
      </c>
      <c r="J75" s="540">
        <f t="shared" si="7"/>
        <v>0</v>
      </c>
      <c r="K75" s="540">
        <f t="shared" si="7"/>
        <v>0</v>
      </c>
      <c r="L75" s="540">
        <f t="shared" si="7"/>
        <v>0</v>
      </c>
      <c r="M75" s="540">
        <f t="shared" si="7"/>
        <v>0</v>
      </c>
      <c r="N75" s="540">
        <f t="shared" si="7"/>
        <v>0</v>
      </c>
      <c r="O75" s="540">
        <f t="shared" si="7"/>
        <v>0</v>
      </c>
      <c r="P75" s="540">
        <f t="shared" si="7"/>
        <v>0</v>
      </c>
      <c r="Q75" s="540">
        <f t="shared" si="7"/>
        <v>0</v>
      </c>
      <c r="R75" s="540">
        <f t="shared" si="7"/>
        <v>0</v>
      </c>
      <c r="S75" s="540">
        <f t="shared" si="7"/>
        <v>0</v>
      </c>
      <c r="T75" s="540">
        <f t="shared" si="7"/>
        <v>0</v>
      </c>
      <c r="U75" s="540">
        <f t="shared" si="7"/>
        <v>0</v>
      </c>
      <c r="V75" s="540">
        <f t="shared" si="7"/>
        <v>0</v>
      </c>
      <c r="W75" s="540">
        <f t="shared" si="7"/>
        <v>0</v>
      </c>
      <c r="X75" s="540">
        <f t="shared" si="7"/>
        <v>0</v>
      </c>
      <c r="Y75" s="540">
        <f t="shared" si="7"/>
        <v>0</v>
      </c>
      <c r="Z75" s="540">
        <f t="shared" si="7"/>
        <v>0</v>
      </c>
      <c r="AA75" s="540">
        <f t="shared" si="7"/>
        <v>0</v>
      </c>
      <c r="AB75" s="540">
        <f t="shared" si="7"/>
        <v>0</v>
      </c>
      <c r="AC75" s="540">
        <f t="shared" si="7"/>
        <v>0</v>
      </c>
      <c r="AD75" s="540">
        <f t="shared" si="7"/>
        <v>0</v>
      </c>
      <c r="AE75" s="540">
        <f t="shared" si="7"/>
        <v>0</v>
      </c>
      <c r="AF75" s="540">
        <f t="shared" si="7"/>
        <v>0</v>
      </c>
      <c r="AG75" s="540">
        <f t="shared" si="7"/>
        <v>0</v>
      </c>
      <c r="AH75" s="540">
        <f t="shared" si="7"/>
        <v>0</v>
      </c>
      <c r="AI75" s="540">
        <f t="shared" si="7"/>
        <v>0</v>
      </c>
      <c r="AJ75" s="540">
        <f t="shared" si="7"/>
        <v>0</v>
      </c>
      <c r="AK75" s="540">
        <f t="shared" si="7"/>
        <v>0</v>
      </c>
      <c r="AL75" s="611">
        <f t="shared" si="7"/>
        <v>0</v>
      </c>
    </row>
    <row r="76" spans="1:38" x14ac:dyDescent="0.2">
      <c r="A76" s="585" t="s">
        <v>187</v>
      </c>
      <c r="B76" s="549">
        <f>B75</f>
        <v>0</v>
      </c>
      <c r="C76" s="210"/>
      <c r="D76" s="211"/>
      <c r="E76" s="211"/>
      <c r="F76" s="211"/>
      <c r="G76" s="211"/>
      <c r="H76" s="211"/>
      <c r="I76" s="211"/>
      <c r="J76" s="211"/>
      <c r="K76" s="211"/>
      <c r="L76" s="211"/>
      <c r="M76" s="211"/>
      <c r="N76" s="550">
        <f>SUM(C75:N75)</f>
        <v>0</v>
      </c>
      <c r="O76" s="211"/>
      <c r="P76" s="99"/>
      <c r="Z76" s="550">
        <f>SUM(O75:Z75)</f>
        <v>0</v>
      </c>
      <c r="AL76" s="158"/>
    </row>
    <row r="77" spans="1:38" x14ac:dyDescent="0.2">
      <c r="A77" s="586" t="s">
        <v>188</v>
      </c>
      <c r="B77" s="70"/>
      <c r="C77" s="551">
        <f>B76+C75</f>
        <v>0</v>
      </c>
      <c r="D77" s="211"/>
      <c r="E77" s="211"/>
      <c r="F77" s="211"/>
      <c r="G77" s="211"/>
      <c r="H77" s="211"/>
      <c r="I77" s="211"/>
      <c r="J77" s="211"/>
      <c r="K77" s="211"/>
      <c r="L77" s="211"/>
      <c r="M77" s="211"/>
      <c r="O77" s="552">
        <f>SUM(D75:O75)</f>
        <v>0</v>
      </c>
      <c r="P77" s="99"/>
      <c r="AA77" s="552">
        <f>SUM(P75:AA75)</f>
        <v>0</v>
      </c>
      <c r="AB77" s="99"/>
      <c r="AL77" s="158"/>
    </row>
    <row r="78" spans="1:38" x14ac:dyDescent="0.2">
      <c r="A78" s="587" t="s">
        <v>199</v>
      </c>
      <c r="B78" s="52"/>
      <c r="C78" s="52"/>
      <c r="D78" s="553">
        <f>SUM(B75:D75)</f>
        <v>0</v>
      </c>
      <c r="E78" s="541"/>
      <c r="F78" s="541"/>
      <c r="G78" s="541"/>
      <c r="H78" s="541"/>
      <c r="I78" s="541"/>
      <c r="J78" s="541"/>
      <c r="K78" s="541"/>
      <c r="L78" s="541"/>
      <c r="M78" s="541"/>
      <c r="N78" s="541"/>
      <c r="O78" s="211"/>
      <c r="P78" s="554">
        <f>SUM(E75:P75)</f>
        <v>0</v>
      </c>
      <c r="AA78" s="211"/>
      <c r="AB78" s="554">
        <f>SUM(Q75:AB75)</f>
        <v>0</v>
      </c>
      <c r="AL78" s="158"/>
    </row>
    <row r="79" spans="1:38" x14ac:dyDescent="0.2">
      <c r="A79" s="632" t="s">
        <v>198</v>
      </c>
      <c r="B79" s="70"/>
      <c r="C79" s="210"/>
      <c r="D79" s="541"/>
      <c r="E79" s="556">
        <f>SUM(B75:E75)</f>
        <v>0</v>
      </c>
      <c r="F79" s="541"/>
      <c r="G79" s="541"/>
      <c r="H79" s="541"/>
      <c r="I79" s="541"/>
      <c r="J79" s="541"/>
      <c r="K79" s="541"/>
      <c r="L79" s="541"/>
      <c r="M79" s="541"/>
      <c r="N79" s="541"/>
      <c r="O79" s="211"/>
      <c r="P79" s="99"/>
      <c r="Q79" s="555">
        <f>SUM(F75:Q75)</f>
        <v>0</v>
      </c>
      <c r="AA79" s="211"/>
      <c r="AB79" s="99"/>
      <c r="AC79" s="555">
        <f>SUM(R75:AC75)</f>
        <v>0</v>
      </c>
      <c r="AL79" s="158"/>
    </row>
    <row r="80" spans="1:38" x14ac:dyDescent="0.2">
      <c r="A80" s="588" t="s">
        <v>189</v>
      </c>
      <c r="B80" s="70"/>
      <c r="C80" s="210"/>
      <c r="D80" s="541"/>
      <c r="E80" s="541"/>
      <c r="F80" s="557">
        <f>SUM(B75:F75)</f>
        <v>0</v>
      </c>
      <c r="G80" s="541"/>
      <c r="H80" s="541"/>
      <c r="I80" s="541"/>
      <c r="J80" s="541"/>
      <c r="K80" s="541"/>
      <c r="L80" s="541"/>
      <c r="M80" s="541"/>
      <c r="N80" s="541"/>
      <c r="O80" s="211"/>
      <c r="P80" s="99"/>
      <c r="R80" s="558">
        <f>SUM(G75:R75)</f>
        <v>0</v>
      </c>
      <c r="AA80" s="211"/>
      <c r="AB80" s="99"/>
      <c r="AD80" s="558">
        <f>SUM(S75:AD75)</f>
        <v>0</v>
      </c>
      <c r="AL80" s="158"/>
    </row>
    <row r="81" spans="1:38" x14ac:dyDescent="0.2">
      <c r="A81" s="589" t="s">
        <v>190</v>
      </c>
      <c r="B81" s="52"/>
      <c r="C81" s="52"/>
      <c r="D81" s="541"/>
      <c r="E81" s="541"/>
      <c r="F81" s="541"/>
      <c r="G81" s="560">
        <f>SUM(B75:G75)</f>
        <v>0</v>
      </c>
      <c r="H81" s="541"/>
      <c r="I81" s="541"/>
      <c r="J81" s="541"/>
      <c r="K81" s="541"/>
      <c r="L81" s="541"/>
      <c r="M81" s="541"/>
      <c r="N81" s="541"/>
      <c r="O81" s="211"/>
      <c r="P81" s="99"/>
      <c r="S81" s="559">
        <f>SUM(H75:S75)</f>
        <v>0</v>
      </c>
      <c r="AA81" s="211"/>
      <c r="AB81" s="99"/>
      <c r="AE81" s="559">
        <f>SUM(T75:AE75)</f>
        <v>0</v>
      </c>
      <c r="AL81" s="158"/>
    </row>
    <row r="82" spans="1:38" x14ac:dyDescent="0.2">
      <c r="A82" s="590" t="s">
        <v>191</v>
      </c>
      <c r="B82" s="70"/>
      <c r="C82" s="210"/>
      <c r="D82" s="541"/>
      <c r="E82" s="541"/>
      <c r="F82" s="541"/>
      <c r="G82" s="541"/>
      <c r="H82" s="561">
        <f>SUM(B75:H75)</f>
        <v>0</v>
      </c>
      <c r="I82" s="541"/>
      <c r="J82" s="541"/>
      <c r="K82" s="541"/>
      <c r="L82" s="541"/>
      <c r="M82" s="541"/>
      <c r="N82" s="541"/>
      <c r="O82" s="211"/>
      <c r="P82" s="99"/>
      <c r="T82" s="562">
        <f>SUM(I75:T75)</f>
        <v>0</v>
      </c>
      <c r="AA82" s="211"/>
      <c r="AB82" s="99"/>
      <c r="AF82" s="562">
        <f>SUM(U75:AF75)</f>
        <v>0</v>
      </c>
      <c r="AL82" s="158"/>
    </row>
    <row r="83" spans="1:38" x14ac:dyDescent="0.2">
      <c r="A83" s="591" t="s">
        <v>192</v>
      </c>
      <c r="B83" s="52"/>
      <c r="C83" s="52"/>
      <c r="D83" s="541"/>
      <c r="E83" s="541"/>
      <c r="F83" s="541"/>
      <c r="G83" s="541"/>
      <c r="H83" s="541"/>
      <c r="I83" s="567">
        <f>SUM(B75:I75)</f>
        <v>0</v>
      </c>
      <c r="J83" s="541"/>
      <c r="K83" s="541"/>
      <c r="L83" s="541"/>
      <c r="M83" s="541"/>
      <c r="N83" s="541"/>
      <c r="O83" s="211"/>
      <c r="P83" s="99"/>
      <c r="U83" s="563">
        <f>SUM(J75:U75)</f>
        <v>0</v>
      </c>
      <c r="AA83" s="211"/>
      <c r="AB83" s="99"/>
      <c r="AG83" s="563">
        <f>SUM(V75:AG75)</f>
        <v>0</v>
      </c>
      <c r="AL83" s="158"/>
    </row>
    <row r="84" spans="1:38" x14ac:dyDescent="0.2">
      <c r="A84" s="592" t="s">
        <v>193</v>
      </c>
      <c r="B84" s="70"/>
      <c r="C84" s="210"/>
      <c r="D84" s="541"/>
      <c r="E84" s="541"/>
      <c r="F84" s="541"/>
      <c r="G84" s="541"/>
      <c r="H84" s="541"/>
      <c r="I84" s="541"/>
      <c r="J84" s="568">
        <f>SUM(B75:J75)</f>
        <v>0</v>
      </c>
      <c r="K84" s="541"/>
      <c r="L84" s="541"/>
      <c r="M84" s="541"/>
      <c r="N84" s="541"/>
      <c r="O84" s="211"/>
      <c r="P84" s="99"/>
      <c r="V84" s="564">
        <f>SUM(K75:V75)</f>
        <v>0</v>
      </c>
      <c r="AA84" s="211"/>
      <c r="AB84" s="99"/>
      <c r="AH84" s="564">
        <f>SUM(W75:AH75)</f>
        <v>0</v>
      </c>
      <c r="AL84" s="158"/>
    </row>
    <row r="85" spans="1:38" x14ac:dyDescent="0.2">
      <c r="A85" s="593" t="s">
        <v>194</v>
      </c>
      <c r="B85" s="52"/>
      <c r="C85" s="52"/>
      <c r="D85" s="541"/>
      <c r="E85" s="541"/>
      <c r="F85" s="541"/>
      <c r="G85" s="541"/>
      <c r="H85" s="541"/>
      <c r="I85" s="541"/>
      <c r="J85" s="541"/>
      <c r="K85" s="569">
        <f>SUM(B75:K75)</f>
        <v>0</v>
      </c>
      <c r="L85" s="541"/>
      <c r="M85" s="541"/>
      <c r="N85" s="541"/>
      <c r="O85" s="211"/>
      <c r="P85" s="99"/>
      <c r="W85" s="565">
        <f>SUM(L75:W75)</f>
        <v>0</v>
      </c>
      <c r="AA85" s="211"/>
      <c r="AB85" s="99"/>
      <c r="AI85" s="565">
        <f>SUM(X75:AI75)</f>
        <v>0</v>
      </c>
      <c r="AL85" s="158"/>
    </row>
    <row r="86" spans="1:38" x14ac:dyDescent="0.2">
      <c r="A86" s="594" t="s">
        <v>195</v>
      </c>
      <c r="B86" s="70"/>
      <c r="C86" s="210"/>
      <c r="D86" s="541"/>
      <c r="E86" s="541"/>
      <c r="F86" s="541"/>
      <c r="G86" s="541"/>
      <c r="H86" s="541"/>
      <c r="I86" s="541"/>
      <c r="J86" s="541"/>
      <c r="K86" s="541"/>
      <c r="L86" s="570">
        <f>SUM(B75:L75)</f>
        <v>0</v>
      </c>
      <c r="M86" s="541"/>
      <c r="N86" s="541"/>
      <c r="O86" s="211"/>
      <c r="P86" s="99"/>
      <c r="X86" s="566">
        <f>SUM(M75:X75)</f>
        <v>0</v>
      </c>
      <c r="AA86" s="211"/>
      <c r="AB86" s="99"/>
      <c r="AJ86" s="566">
        <f>SUM(Y75:AJ75)</f>
        <v>0</v>
      </c>
      <c r="AL86" s="158"/>
    </row>
    <row r="87" spans="1:38" x14ac:dyDescent="0.2">
      <c r="A87" s="595" t="s">
        <v>196</v>
      </c>
      <c r="B87" s="52"/>
      <c r="C87" s="52"/>
      <c r="D87" s="541"/>
      <c r="E87" s="541"/>
      <c r="F87" s="541"/>
      <c r="G87" s="541"/>
      <c r="H87" s="541"/>
      <c r="I87" s="541"/>
      <c r="J87" s="541"/>
      <c r="K87" s="541"/>
      <c r="L87" s="541"/>
      <c r="M87" s="572">
        <f>SUM(B75:M75)</f>
        <v>0</v>
      </c>
      <c r="N87" s="541"/>
      <c r="O87" s="211"/>
      <c r="P87" s="99"/>
      <c r="Y87" s="571">
        <f>SUM(N75:Y75)</f>
        <v>0</v>
      </c>
      <c r="AA87" s="211"/>
      <c r="AB87" s="99"/>
      <c r="AK87" s="571">
        <f>SUM(Z75:AK75)</f>
        <v>0</v>
      </c>
      <c r="AL87" s="158"/>
    </row>
    <row r="88" spans="1:38" ht="13.5" thickBot="1" x14ac:dyDescent="0.25">
      <c r="A88" s="596" t="s">
        <v>197</v>
      </c>
      <c r="B88" s="597"/>
      <c r="C88" s="213"/>
      <c r="D88" s="598"/>
      <c r="E88" s="598"/>
      <c r="F88" s="598"/>
      <c r="G88" s="598"/>
      <c r="H88" s="598"/>
      <c r="I88" s="598"/>
      <c r="J88" s="598"/>
      <c r="K88" s="598"/>
      <c r="L88" s="598"/>
      <c r="M88" s="598"/>
      <c r="N88" s="599">
        <f>SUM(B75:N75)</f>
        <v>0</v>
      </c>
      <c r="O88" s="318"/>
      <c r="P88" s="600"/>
      <c r="Q88" s="166"/>
      <c r="R88" s="166"/>
      <c r="S88" s="166"/>
      <c r="T88" s="166"/>
      <c r="U88" s="166"/>
      <c r="V88" s="166"/>
      <c r="W88" s="166"/>
      <c r="X88" s="166"/>
      <c r="Y88" s="166"/>
      <c r="Z88" s="601">
        <f>SUM(O75:Z75)</f>
        <v>0</v>
      </c>
      <c r="AA88" s="318"/>
      <c r="AB88" s="600"/>
      <c r="AC88" s="166"/>
      <c r="AD88" s="166"/>
      <c r="AE88" s="166"/>
      <c r="AF88" s="166"/>
      <c r="AG88" s="166"/>
      <c r="AH88" s="166"/>
      <c r="AI88" s="166"/>
      <c r="AJ88" s="166"/>
      <c r="AK88" s="166"/>
      <c r="AL88" s="602">
        <f>SUM(AA75:AL75)</f>
        <v>0</v>
      </c>
    </row>
    <row r="89" spans="1:38" x14ac:dyDescent="0.2">
      <c r="A89" s="582" t="s">
        <v>202</v>
      </c>
      <c r="B89" s="583">
        <f>'FS3 Resultat'!K19</f>
        <v>0</v>
      </c>
      <c r="C89" s="607">
        <f>B89-B90</f>
        <v>0</v>
      </c>
      <c r="D89" s="607">
        <f t="shared" ref="D89:AL89" si="8">C89-C90</f>
        <v>0</v>
      </c>
      <c r="E89" s="607">
        <f t="shared" si="8"/>
        <v>0</v>
      </c>
      <c r="F89" s="607">
        <f t="shared" si="8"/>
        <v>0</v>
      </c>
      <c r="G89" s="607">
        <f t="shared" si="8"/>
        <v>0</v>
      </c>
      <c r="H89" s="607">
        <f t="shared" si="8"/>
        <v>0</v>
      </c>
      <c r="I89" s="607">
        <f t="shared" si="8"/>
        <v>0</v>
      </c>
      <c r="J89" s="607">
        <f t="shared" si="8"/>
        <v>0</v>
      </c>
      <c r="K89" s="607">
        <f t="shared" si="8"/>
        <v>0</v>
      </c>
      <c r="L89" s="607">
        <f t="shared" si="8"/>
        <v>0</v>
      </c>
      <c r="M89" s="607">
        <f t="shared" si="8"/>
        <v>0</v>
      </c>
      <c r="N89" s="607">
        <f t="shared" si="8"/>
        <v>0</v>
      </c>
      <c r="O89" s="607">
        <f t="shared" si="8"/>
        <v>0</v>
      </c>
      <c r="P89" s="607">
        <f t="shared" si="8"/>
        <v>0</v>
      </c>
      <c r="Q89" s="607">
        <f t="shared" si="8"/>
        <v>0</v>
      </c>
      <c r="R89" s="607">
        <f t="shared" si="8"/>
        <v>0</v>
      </c>
      <c r="S89" s="607">
        <f t="shared" si="8"/>
        <v>0</v>
      </c>
      <c r="T89" s="607">
        <f t="shared" si="8"/>
        <v>0</v>
      </c>
      <c r="U89" s="607">
        <f t="shared" si="8"/>
        <v>0</v>
      </c>
      <c r="V89" s="607">
        <f t="shared" si="8"/>
        <v>0</v>
      </c>
      <c r="W89" s="607">
        <f t="shared" si="8"/>
        <v>0</v>
      </c>
      <c r="X89" s="607">
        <f t="shared" si="8"/>
        <v>0</v>
      </c>
      <c r="Y89" s="607">
        <f t="shared" si="8"/>
        <v>0</v>
      </c>
      <c r="Z89" s="607">
        <f t="shared" si="8"/>
        <v>0</v>
      </c>
      <c r="AA89" s="607">
        <f t="shared" si="8"/>
        <v>0</v>
      </c>
      <c r="AB89" s="607">
        <f t="shared" si="8"/>
        <v>0</v>
      </c>
      <c r="AC89" s="607">
        <f t="shared" si="8"/>
        <v>0</v>
      </c>
      <c r="AD89" s="607">
        <f t="shared" si="8"/>
        <v>0</v>
      </c>
      <c r="AE89" s="607">
        <f t="shared" si="8"/>
        <v>0</v>
      </c>
      <c r="AF89" s="607">
        <f t="shared" si="8"/>
        <v>0</v>
      </c>
      <c r="AG89" s="607">
        <f t="shared" si="8"/>
        <v>0</v>
      </c>
      <c r="AH89" s="607">
        <f t="shared" si="8"/>
        <v>0</v>
      </c>
      <c r="AI89" s="607">
        <f t="shared" si="8"/>
        <v>0</v>
      </c>
      <c r="AJ89" s="607">
        <f t="shared" si="8"/>
        <v>0</v>
      </c>
      <c r="AK89" s="607">
        <f t="shared" si="8"/>
        <v>0</v>
      </c>
      <c r="AL89" s="608">
        <f t="shared" si="8"/>
        <v>0</v>
      </c>
    </row>
    <row r="90" spans="1:38" x14ac:dyDescent="0.2">
      <c r="A90" s="584" t="s">
        <v>184</v>
      </c>
      <c r="B90" s="70">
        <f>IF(B89=0,0,IF('FS3 Resultat'!$I19=2,0,IF('FS3 Resultat'!$I19=1,0,'FS3 Resultat'!$K19/(2*'FS3 Resultat'!$J19))))</f>
        <v>0</v>
      </c>
      <c r="C90" s="210"/>
      <c r="D90" s="211"/>
      <c r="E90" s="211"/>
      <c r="F90" s="211"/>
      <c r="G90" s="211"/>
      <c r="H90" s="70">
        <f>IF(H89=0,0,IF('FS3 Resultat'!$I19=2,0,IF('FS3 Resultat'!$I19=1,0,'FS3 Resultat'!$K19/(2*'FS3 Resultat'!$J19))))</f>
        <v>0</v>
      </c>
      <c r="I90" s="211"/>
      <c r="J90" s="211"/>
      <c r="K90" s="211"/>
      <c r="L90" s="211"/>
      <c r="M90" s="211"/>
      <c r="N90" s="70">
        <f>IF(N89=0,0,IF('FS3 Resultat'!$I19=2,0,IF('FS3 Resultat'!$I19=1,'FS3 Resultat'!$K19/(2*'FS3 Resultat'!$J19-2),'FS3 Resultat'!$K19/(2*'FS3 Resultat'!$J19))))</f>
        <v>0</v>
      </c>
      <c r="O90" s="211"/>
      <c r="P90" s="99"/>
      <c r="T90" s="70">
        <f>IF(T89=0,0,IF('FS3 Resultat'!$I19=2,0,IF('FS3 Resultat'!$I19=1,'FS3 Resultat'!$K19/(2*'FS3 Resultat'!$J19-2),'FS3 Resultat'!$K19/(2*'FS3 Resultat'!$J19))))</f>
        <v>0</v>
      </c>
      <c r="Z90" s="70">
        <f>IF(Z89=0,0,IF('FS3 Resultat'!$I19=2,'FS3 Resultat'!$K19/(2*'FS3 Resultat'!$J19-4),IF('FS3 Resultat'!$I19=1,'FS3 Resultat'!$K19/(2*'FS3 Resultat'!$J19-2),'FS3 Resultat'!$K19/(2*'FS3 Resultat'!$J19))))</f>
        <v>0</v>
      </c>
      <c r="AF90" s="70">
        <f>IF(AF89=0,0,IF('FS3 Resultat'!$I19=2,'FS3 Resultat'!$K19/(2*'FS3 Resultat'!$J19-4),IF('FS3 Resultat'!$I19=1,'FS3 Resultat'!$K19/(2*'FS3 Resultat'!$J19-2),'FS3 Resultat'!$K19/(2*'FS3 Resultat'!$J19))))</f>
        <v>0</v>
      </c>
      <c r="AL90" s="609">
        <f>IF(AL89=0,0,IF('FS3 Resultat'!$I19=2,'FS3 Resultat'!$K19/(2*'FS3 Resultat'!$J19-4),IF('FS3 Resultat'!$I19=1,'FS3 Resultat'!$K19/(2*'FS3 Resultat'!$J19-2),'FS3 Resultat'!$K19/(2*'FS3 Resultat'!$J19))))</f>
        <v>0</v>
      </c>
    </row>
    <row r="91" spans="1:38" x14ac:dyDescent="0.2">
      <c r="A91" s="584" t="s">
        <v>28</v>
      </c>
      <c r="B91" s="538">
        <f>'FS3 Resultat'!H19</f>
        <v>0</v>
      </c>
      <c r="C91" s="539">
        <f>B91</f>
        <v>0</v>
      </c>
      <c r="D91" s="539">
        <f t="shared" ref="D91:AL91" si="9">C91</f>
        <v>0</v>
      </c>
      <c r="E91" s="539">
        <f t="shared" si="9"/>
        <v>0</v>
      </c>
      <c r="F91" s="539">
        <f t="shared" si="9"/>
        <v>0</v>
      </c>
      <c r="G91" s="539">
        <f t="shared" si="9"/>
        <v>0</v>
      </c>
      <c r="H91" s="539">
        <f t="shared" si="9"/>
        <v>0</v>
      </c>
      <c r="I91" s="539">
        <f t="shared" si="9"/>
        <v>0</v>
      </c>
      <c r="J91" s="539">
        <f t="shared" si="9"/>
        <v>0</v>
      </c>
      <c r="K91" s="539">
        <f t="shared" si="9"/>
        <v>0</v>
      </c>
      <c r="L91" s="539">
        <f t="shared" si="9"/>
        <v>0</v>
      </c>
      <c r="M91" s="539">
        <f t="shared" si="9"/>
        <v>0</v>
      </c>
      <c r="N91" s="539">
        <f t="shared" si="9"/>
        <v>0</v>
      </c>
      <c r="O91" s="539">
        <f t="shared" si="9"/>
        <v>0</v>
      </c>
      <c r="P91" s="539">
        <f t="shared" si="9"/>
        <v>0</v>
      </c>
      <c r="Q91" s="539">
        <f t="shared" si="9"/>
        <v>0</v>
      </c>
      <c r="R91" s="539">
        <f t="shared" si="9"/>
        <v>0</v>
      </c>
      <c r="S91" s="539">
        <f t="shared" si="9"/>
        <v>0</v>
      </c>
      <c r="T91" s="539">
        <f t="shared" si="9"/>
        <v>0</v>
      </c>
      <c r="U91" s="539">
        <f t="shared" si="9"/>
        <v>0</v>
      </c>
      <c r="V91" s="539">
        <f t="shared" si="9"/>
        <v>0</v>
      </c>
      <c r="W91" s="539">
        <f t="shared" si="9"/>
        <v>0</v>
      </c>
      <c r="X91" s="539">
        <f t="shared" si="9"/>
        <v>0</v>
      </c>
      <c r="Y91" s="539">
        <f t="shared" si="9"/>
        <v>0</v>
      </c>
      <c r="Z91" s="539">
        <f t="shared" si="9"/>
        <v>0</v>
      </c>
      <c r="AA91" s="539">
        <f t="shared" si="9"/>
        <v>0</v>
      </c>
      <c r="AB91" s="539">
        <f t="shared" si="9"/>
        <v>0</v>
      </c>
      <c r="AC91" s="539">
        <f t="shared" si="9"/>
        <v>0</v>
      </c>
      <c r="AD91" s="539">
        <f t="shared" si="9"/>
        <v>0</v>
      </c>
      <c r="AE91" s="539">
        <f t="shared" si="9"/>
        <v>0</v>
      </c>
      <c r="AF91" s="539">
        <f t="shared" si="9"/>
        <v>0</v>
      </c>
      <c r="AG91" s="539">
        <f t="shared" si="9"/>
        <v>0</v>
      </c>
      <c r="AH91" s="539">
        <f t="shared" si="9"/>
        <v>0</v>
      </c>
      <c r="AI91" s="539">
        <f t="shared" si="9"/>
        <v>0</v>
      </c>
      <c r="AJ91" s="539">
        <f t="shared" si="9"/>
        <v>0</v>
      </c>
      <c r="AK91" s="539">
        <f t="shared" si="9"/>
        <v>0</v>
      </c>
      <c r="AL91" s="610">
        <f t="shared" si="9"/>
        <v>0</v>
      </c>
    </row>
    <row r="92" spans="1:38" s="621" customFormat="1" x14ac:dyDescent="0.2">
      <c r="A92" s="619" t="s">
        <v>228</v>
      </c>
      <c r="B92" s="620">
        <f>B89-B90</f>
        <v>0</v>
      </c>
      <c r="C92" s="620">
        <f t="shared" ref="C92:AL92" si="10">C89-C90</f>
        <v>0</v>
      </c>
      <c r="D92" s="620">
        <f t="shared" si="10"/>
        <v>0</v>
      </c>
      <c r="E92" s="620">
        <f t="shared" si="10"/>
        <v>0</v>
      </c>
      <c r="F92" s="620">
        <f t="shared" si="10"/>
        <v>0</v>
      </c>
      <c r="G92" s="620">
        <f t="shared" si="10"/>
        <v>0</v>
      </c>
      <c r="H92" s="620">
        <f t="shared" si="10"/>
        <v>0</v>
      </c>
      <c r="I92" s="620">
        <f t="shared" si="10"/>
        <v>0</v>
      </c>
      <c r="J92" s="620">
        <f t="shared" si="10"/>
        <v>0</v>
      </c>
      <c r="K92" s="620">
        <f t="shared" si="10"/>
        <v>0</v>
      </c>
      <c r="L92" s="620">
        <f t="shared" si="10"/>
        <v>0</v>
      </c>
      <c r="M92" s="620">
        <f t="shared" si="10"/>
        <v>0</v>
      </c>
      <c r="N92" s="620">
        <f t="shared" si="10"/>
        <v>0</v>
      </c>
      <c r="O92" s="620">
        <f t="shared" si="10"/>
        <v>0</v>
      </c>
      <c r="P92" s="620">
        <f t="shared" si="10"/>
        <v>0</v>
      </c>
      <c r="Q92" s="620">
        <f t="shared" si="10"/>
        <v>0</v>
      </c>
      <c r="R92" s="620">
        <f t="shared" si="10"/>
        <v>0</v>
      </c>
      <c r="S92" s="620">
        <f t="shared" si="10"/>
        <v>0</v>
      </c>
      <c r="T92" s="620">
        <f t="shared" si="10"/>
        <v>0</v>
      </c>
      <c r="U92" s="620">
        <f t="shared" si="10"/>
        <v>0</v>
      </c>
      <c r="V92" s="620">
        <f t="shared" si="10"/>
        <v>0</v>
      </c>
      <c r="W92" s="620">
        <f t="shared" si="10"/>
        <v>0</v>
      </c>
      <c r="X92" s="620">
        <f t="shared" si="10"/>
        <v>0</v>
      </c>
      <c r="Y92" s="620">
        <f t="shared" si="10"/>
        <v>0</v>
      </c>
      <c r="Z92" s="620">
        <f t="shared" si="10"/>
        <v>0</v>
      </c>
      <c r="AA92" s="620">
        <f t="shared" si="10"/>
        <v>0</v>
      </c>
      <c r="AB92" s="620">
        <f t="shared" si="10"/>
        <v>0</v>
      </c>
      <c r="AC92" s="620">
        <f t="shared" si="10"/>
        <v>0</v>
      </c>
      <c r="AD92" s="620">
        <f t="shared" si="10"/>
        <v>0</v>
      </c>
      <c r="AE92" s="620">
        <f t="shared" si="10"/>
        <v>0</v>
      </c>
      <c r="AF92" s="620">
        <f t="shared" si="10"/>
        <v>0</v>
      </c>
      <c r="AG92" s="620">
        <f t="shared" si="10"/>
        <v>0</v>
      </c>
      <c r="AH92" s="620">
        <f t="shared" si="10"/>
        <v>0</v>
      </c>
      <c r="AI92" s="620">
        <f t="shared" si="10"/>
        <v>0</v>
      </c>
      <c r="AJ92" s="620">
        <f t="shared" si="10"/>
        <v>0</v>
      </c>
      <c r="AK92" s="620">
        <f t="shared" si="10"/>
        <v>0</v>
      </c>
      <c r="AL92" s="673">
        <f t="shared" si="10"/>
        <v>0</v>
      </c>
    </row>
    <row r="93" spans="1:38" x14ac:dyDescent="0.2">
      <c r="A93" s="584" t="s">
        <v>185</v>
      </c>
      <c r="B93" s="540">
        <f>(B89)*B91/2</f>
        <v>0</v>
      </c>
      <c r="C93" s="540">
        <f>(C89)*C91/12</f>
        <v>0</v>
      </c>
      <c r="D93" s="540">
        <f t="shared" ref="D93:AL93" si="11">(D89)*D91/12</f>
        <v>0</v>
      </c>
      <c r="E93" s="540">
        <f t="shared" si="11"/>
        <v>0</v>
      </c>
      <c r="F93" s="540">
        <f t="shared" si="11"/>
        <v>0</v>
      </c>
      <c r="G93" s="540">
        <f t="shared" si="11"/>
        <v>0</v>
      </c>
      <c r="H93" s="540">
        <f t="shared" si="11"/>
        <v>0</v>
      </c>
      <c r="I93" s="540">
        <f t="shared" si="11"/>
        <v>0</v>
      </c>
      <c r="J93" s="540">
        <f t="shared" si="11"/>
        <v>0</v>
      </c>
      <c r="K93" s="540">
        <f t="shared" si="11"/>
        <v>0</v>
      </c>
      <c r="L93" s="540">
        <f t="shared" si="11"/>
        <v>0</v>
      </c>
      <c r="M93" s="540">
        <f t="shared" si="11"/>
        <v>0</v>
      </c>
      <c r="N93" s="540">
        <f t="shared" si="11"/>
        <v>0</v>
      </c>
      <c r="O93" s="540">
        <f t="shared" si="11"/>
        <v>0</v>
      </c>
      <c r="P93" s="540">
        <f t="shared" si="11"/>
        <v>0</v>
      </c>
      <c r="Q93" s="540">
        <f t="shared" si="11"/>
        <v>0</v>
      </c>
      <c r="R93" s="540">
        <f t="shared" si="11"/>
        <v>0</v>
      </c>
      <c r="S93" s="540">
        <f t="shared" si="11"/>
        <v>0</v>
      </c>
      <c r="T93" s="540">
        <f t="shared" si="11"/>
        <v>0</v>
      </c>
      <c r="U93" s="540">
        <f t="shared" si="11"/>
        <v>0</v>
      </c>
      <c r="V93" s="540">
        <f t="shared" si="11"/>
        <v>0</v>
      </c>
      <c r="W93" s="540">
        <f t="shared" si="11"/>
        <v>0</v>
      </c>
      <c r="X93" s="540">
        <f t="shared" si="11"/>
        <v>0</v>
      </c>
      <c r="Y93" s="540">
        <f t="shared" si="11"/>
        <v>0</v>
      </c>
      <c r="Z93" s="540">
        <f t="shared" si="11"/>
        <v>0</v>
      </c>
      <c r="AA93" s="540">
        <f t="shared" si="11"/>
        <v>0</v>
      </c>
      <c r="AB93" s="540">
        <f t="shared" si="11"/>
        <v>0</v>
      </c>
      <c r="AC93" s="540">
        <f t="shared" si="11"/>
        <v>0</v>
      </c>
      <c r="AD93" s="540">
        <f t="shared" si="11"/>
        <v>0</v>
      </c>
      <c r="AE93" s="540">
        <f t="shared" si="11"/>
        <v>0</v>
      </c>
      <c r="AF93" s="540">
        <f t="shared" si="11"/>
        <v>0</v>
      </c>
      <c r="AG93" s="540">
        <f t="shared" si="11"/>
        <v>0</v>
      </c>
      <c r="AH93" s="540">
        <f t="shared" si="11"/>
        <v>0</v>
      </c>
      <c r="AI93" s="540">
        <f t="shared" si="11"/>
        <v>0</v>
      </c>
      <c r="AJ93" s="540">
        <f t="shared" si="11"/>
        <v>0</v>
      </c>
      <c r="AK93" s="540">
        <f t="shared" si="11"/>
        <v>0</v>
      </c>
      <c r="AL93" s="611">
        <f t="shared" si="11"/>
        <v>0</v>
      </c>
    </row>
    <row r="94" spans="1:38" x14ac:dyDescent="0.2">
      <c r="A94" s="585" t="s">
        <v>187</v>
      </c>
      <c r="B94" s="549">
        <f>B93</f>
        <v>0</v>
      </c>
      <c r="C94" s="210"/>
      <c r="D94" s="211"/>
      <c r="E94" s="211"/>
      <c r="F94" s="211"/>
      <c r="G94" s="211"/>
      <c r="H94" s="211"/>
      <c r="I94" s="211"/>
      <c r="J94" s="211"/>
      <c r="K94" s="211"/>
      <c r="L94" s="211"/>
      <c r="M94" s="211"/>
      <c r="N94" s="550">
        <f>SUM(C93:N93)</f>
        <v>0</v>
      </c>
      <c r="O94" s="211"/>
      <c r="P94" s="99"/>
      <c r="Z94" s="550">
        <f>SUM(O93:Z93)</f>
        <v>0</v>
      </c>
      <c r="AL94" s="158"/>
    </row>
    <row r="95" spans="1:38" x14ac:dyDescent="0.2">
      <c r="A95" s="586" t="s">
        <v>188</v>
      </c>
      <c r="B95" s="70"/>
      <c r="C95" s="551">
        <f>B94+C93</f>
        <v>0</v>
      </c>
      <c r="D95" s="211"/>
      <c r="E95" s="211"/>
      <c r="F95" s="211"/>
      <c r="G95" s="211"/>
      <c r="H95" s="211"/>
      <c r="I95" s="211"/>
      <c r="J95" s="211"/>
      <c r="K95" s="211"/>
      <c r="L95" s="211"/>
      <c r="M95" s="211"/>
      <c r="O95" s="552">
        <f>SUM(D93:O93)</f>
        <v>0</v>
      </c>
      <c r="P95" s="99"/>
      <c r="AA95" s="552">
        <f>SUM(P93:AA93)</f>
        <v>0</v>
      </c>
      <c r="AB95" s="99"/>
      <c r="AL95" s="158"/>
    </row>
    <row r="96" spans="1:38" x14ac:dyDescent="0.2">
      <c r="A96" s="587" t="s">
        <v>199</v>
      </c>
      <c r="B96" s="52"/>
      <c r="C96" s="52"/>
      <c r="D96" s="553">
        <f>SUM(B93:D93)</f>
        <v>0</v>
      </c>
      <c r="E96" s="541"/>
      <c r="F96" s="541"/>
      <c r="G96" s="541"/>
      <c r="H96" s="541"/>
      <c r="I96" s="541"/>
      <c r="J96" s="541"/>
      <c r="K96" s="541"/>
      <c r="L96" s="541"/>
      <c r="M96" s="541"/>
      <c r="N96" s="541"/>
      <c r="O96" s="211"/>
      <c r="P96" s="554">
        <f>SUM(E93:P93)</f>
        <v>0</v>
      </c>
      <c r="AA96" s="211"/>
      <c r="AB96" s="554">
        <f>SUM(Q93:AB93)</f>
        <v>0</v>
      </c>
      <c r="AL96" s="158"/>
    </row>
    <row r="97" spans="1:38" x14ac:dyDescent="0.2">
      <c r="A97" s="632" t="s">
        <v>198</v>
      </c>
      <c r="B97" s="70"/>
      <c r="C97" s="210"/>
      <c r="D97" s="541"/>
      <c r="E97" s="556">
        <f>SUM(B93:E93)</f>
        <v>0</v>
      </c>
      <c r="F97" s="541"/>
      <c r="G97" s="541"/>
      <c r="H97" s="541"/>
      <c r="I97" s="541"/>
      <c r="J97" s="541"/>
      <c r="K97" s="541"/>
      <c r="L97" s="541"/>
      <c r="M97" s="541"/>
      <c r="N97" s="541"/>
      <c r="O97" s="211"/>
      <c r="P97" s="99"/>
      <c r="Q97" s="555">
        <f>SUM(F93:Q93)</f>
        <v>0</v>
      </c>
      <c r="AA97" s="211"/>
      <c r="AB97" s="99"/>
      <c r="AC97" s="555">
        <f>SUM(R93:AC93)</f>
        <v>0</v>
      </c>
      <c r="AL97" s="158"/>
    </row>
    <row r="98" spans="1:38" x14ac:dyDescent="0.2">
      <c r="A98" s="588" t="s">
        <v>189</v>
      </c>
      <c r="B98" s="70"/>
      <c r="C98" s="210"/>
      <c r="D98" s="541"/>
      <c r="E98" s="541"/>
      <c r="F98" s="557">
        <f>SUM(B93:F93)</f>
        <v>0</v>
      </c>
      <c r="G98" s="541"/>
      <c r="H98" s="541"/>
      <c r="I98" s="541"/>
      <c r="J98" s="541"/>
      <c r="K98" s="541"/>
      <c r="L98" s="541"/>
      <c r="M98" s="541"/>
      <c r="N98" s="541"/>
      <c r="O98" s="211"/>
      <c r="P98" s="99"/>
      <c r="R98" s="558">
        <f>SUM(G93:R93)</f>
        <v>0</v>
      </c>
      <c r="AA98" s="211"/>
      <c r="AB98" s="99"/>
      <c r="AD98" s="558">
        <f>SUM(S93:AD93)</f>
        <v>0</v>
      </c>
      <c r="AL98" s="158"/>
    </row>
    <row r="99" spans="1:38" x14ac:dyDescent="0.2">
      <c r="A99" s="589" t="s">
        <v>190</v>
      </c>
      <c r="B99" s="52"/>
      <c r="C99" s="52"/>
      <c r="D99" s="541"/>
      <c r="E99" s="541"/>
      <c r="F99" s="541"/>
      <c r="G99" s="560">
        <f>SUM(B93:G93)</f>
        <v>0</v>
      </c>
      <c r="H99" s="541"/>
      <c r="I99" s="541"/>
      <c r="J99" s="541"/>
      <c r="K99" s="541"/>
      <c r="L99" s="541"/>
      <c r="M99" s="541"/>
      <c r="N99" s="541"/>
      <c r="O99" s="211"/>
      <c r="P99" s="99"/>
      <c r="S99" s="559">
        <f>SUM(H93:S93)</f>
        <v>0</v>
      </c>
      <c r="AA99" s="211"/>
      <c r="AB99" s="99"/>
      <c r="AE99" s="559">
        <f>SUM(T93:AE93)</f>
        <v>0</v>
      </c>
      <c r="AL99" s="158"/>
    </row>
    <row r="100" spans="1:38" x14ac:dyDescent="0.2">
      <c r="A100" s="590" t="s">
        <v>191</v>
      </c>
      <c r="B100" s="70"/>
      <c r="C100" s="210"/>
      <c r="D100" s="541"/>
      <c r="E100" s="541"/>
      <c r="F100" s="541"/>
      <c r="G100" s="541"/>
      <c r="H100" s="561">
        <f>SUM(B93:H93)</f>
        <v>0</v>
      </c>
      <c r="I100" s="541"/>
      <c r="J100" s="541"/>
      <c r="K100" s="541"/>
      <c r="L100" s="541"/>
      <c r="M100" s="541"/>
      <c r="N100" s="541"/>
      <c r="O100" s="211"/>
      <c r="P100" s="99"/>
      <c r="T100" s="562">
        <f>SUM(I93:T93)</f>
        <v>0</v>
      </c>
      <c r="AA100" s="211"/>
      <c r="AB100" s="99"/>
      <c r="AF100" s="562">
        <f>SUM(U93:AF93)</f>
        <v>0</v>
      </c>
      <c r="AL100" s="158"/>
    </row>
    <row r="101" spans="1:38" x14ac:dyDescent="0.2">
      <c r="A101" s="591" t="s">
        <v>192</v>
      </c>
      <c r="B101" s="52"/>
      <c r="C101" s="52"/>
      <c r="D101" s="541"/>
      <c r="E101" s="541"/>
      <c r="F101" s="541"/>
      <c r="G101" s="541"/>
      <c r="H101" s="541"/>
      <c r="I101" s="567">
        <f>SUM(B93:I93)</f>
        <v>0</v>
      </c>
      <c r="J101" s="541"/>
      <c r="K101" s="541"/>
      <c r="L101" s="541"/>
      <c r="M101" s="541"/>
      <c r="N101" s="541"/>
      <c r="O101" s="211"/>
      <c r="P101" s="99"/>
      <c r="U101" s="563">
        <f>SUM(J93:U93)</f>
        <v>0</v>
      </c>
      <c r="AA101" s="211"/>
      <c r="AB101" s="99"/>
      <c r="AG101" s="563">
        <f>SUM(V93:AG93)</f>
        <v>0</v>
      </c>
      <c r="AL101" s="158"/>
    </row>
    <row r="102" spans="1:38" x14ac:dyDescent="0.2">
      <c r="A102" s="592" t="s">
        <v>193</v>
      </c>
      <c r="B102" s="70"/>
      <c r="C102" s="210"/>
      <c r="D102" s="541"/>
      <c r="E102" s="541"/>
      <c r="F102" s="541"/>
      <c r="G102" s="541"/>
      <c r="H102" s="541"/>
      <c r="I102" s="541"/>
      <c r="J102" s="568">
        <f>SUM(B93:J93)</f>
        <v>0</v>
      </c>
      <c r="K102" s="541"/>
      <c r="L102" s="541"/>
      <c r="M102" s="541"/>
      <c r="N102" s="541"/>
      <c r="O102" s="211"/>
      <c r="P102" s="99"/>
      <c r="V102" s="564">
        <f>SUM(K93:V93)</f>
        <v>0</v>
      </c>
      <c r="AA102" s="211"/>
      <c r="AB102" s="99"/>
      <c r="AH102" s="564">
        <f>SUM(W93:AH93)</f>
        <v>0</v>
      </c>
      <c r="AL102" s="158"/>
    </row>
    <row r="103" spans="1:38" x14ac:dyDescent="0.2">
      <c r="A103" s="593" t="s">
        <v>194</v>
      </c>
      <c r="B103" s="52"/>
      <c r="C103" s="52"/>
      <c r="D103" s="541"/>
      <c r="E103" s="541"/>
      <c r="F103" s="541"/>
      <c r="G103" s="541"/>
      <c r="H103" s="541"/>
      <c r="I103" s="541"/>
      <c r="J103" s="541"/>
      <c r="K103" s="569">
        <f>SUM(B93:K93)</f>
        <v>0</v>
      </c>
      <c r="L103" s="541"/>
      <c r="M103" s="541"/>
      <c r="N103" s="541"/>
      <c r="O103" s="211"/>
      <c r="P103" s="99"/>
      <c r="W103" s="565">
        <f>SUM(L93:W93)</f>
        <v>0</v>
      </c>
      <c r="AA103" s="211"/>
      <c r="AB103" s="99"/>
      <c r="AI103" s="565">
        <f>SUM(X93:AI93)</f>
        <v>0</v>
      </c>
      <c r="AL103" s="158"/>
    </row>
    <row r="104" spans="1:38" x14ac:dyDescent="0.2">
      <c r="A104" s="594" t="s">
        <v>195</v>
      </c>
      <c r="B104" s="70"/>
      <c r="C104" s="210"/>
      <c r="D104" s="541"/>
      <c r="E104" s="541"/>
      <c r="F104" s="541"/>
      <c r="G104" s="541"/>
      <c r="H104" s="541"/>
      <c r="I104" s="541"/>
      <c r="J104" s="541"/>
      <c r="K104" s="541"/>
      <c r="L104" s="570">
        <f>SUM(B93:L93)</f>
        <v>0</v>
      </c>
      <c r="M104" s="541"/>
      <c r="N104" s="541"/>
      <c r="O104" s="211"/>
      <c r="P104" s="99"/>
      <c r="X104" s="566">
        <f>SUM(M93:X93)</f>
        <v>0</v>
      </c>
      <c r="AA104" s="211"/>
      <c r="AB104" s="99"/>
      <c r="AJ104" s="566">
        <f>SUM(Y93:AJ93)</f>
        <v>0</v>
      </c>
      <c r="AL104" s="158"/>
    </row>
    <row r="105" spans="1:38" x14ac:dyDescent="0.2">
      <c r="A105" s="595" t="s">
        <v>196</v>
      </c>
      <c r="B105" s="52"/>
      <c r="C105" s="52"/>
      <c r="D105" s="541"/>
      <c r="E105" s="541"/>
      <c r="F105" s="541"/>
      <c r="G105" s="541"/>
      <c r="H105" s="541"/>
      <c r="I105" s="541"/>
      <c r="J105" s="541"/>
      <c r="K105" s="541"/>
      <c r="L105" s="541"/>
      <c r="M105" s="572">
        <f>SUM(B93:M93)</f>
        <v>0</v>
      </c>
      <c r="N105" s="541"/>
      <c r="O105" s="211"/>
      <c r="P105" s="99"/>
      <c r="Y105" s="571">
        <f>SUM(N93:Y93)</f>
        <v>0</v>
      </c>
      <c r="AA105" s="211"/>
      <c r="AB105" s="99"/>
      <c r="AK105" s="571">
        <f>SUM(Z93:AK93)</f>
        <v>0</v>
      </c>
      <c r="AL105" s="158"/>
    </row>
    <row r="106" spans="1:38" ht="13.5" thickBot="1" x14ac:dyDescent="0.25">
      <c r="A106" s="596" t="s">
        <v>197</v>
      </c>
      <c r="B106" s="597"/>
      <c r="C106" s="213"/>
      <c r="D106" s="598"/>
      <c r="E106" s="598"/>
      <c r="F106" s="598"/>
      <c r="G106" s="598"/>
      <c r="H106" s="598"/>
      <c r="I106" s="598"/>
      <c r="J106" s="598"/>
      <c r="K106" s="598"/>
      <c r="L106" s="598"/>
      <c r="M106" s="598"/>
      <c r="N106" s="599">
        <f>SUM(B93:N93)</f>
        <v>0</v>
      </c>
      <c r="O106" s="318"/>
      <c r="P106" s="600"/>
      <c r="Q106" s="166"/>
      <c r="R106" s="166"/>
      <c r="S106" s="166"/>
      <c r="T106" s="166"/>
      <c r="U106" s="166"/>
      <c r="V106" s="166"/>
      <c r="W106" s="166"/>
      <c r="X106" s="166"/>
      <c r="Y106" s="166"/>
      <c r="Z106" s="601">
        <f>SUM(O93:Z93)</f>
        <v>0</v>
      </c>
      <c r="AA106" s="318"/>
      <c r="AB106" s="600"/>
      <c r="AC106" s="166"/>
      <c r="AD106" s="166"/>
      <c r="AE106" s="166"/>
      <c r="AF106" s="166"/>
      <c r="AG106" s="166"/>
      <c r="AH106" s="166"/>
      <c r="AI106" s="166"/>
      <c r="AJ106" s="166"/>
      <c r="AK106" s="166"/>
      <c r="AL106" s="602">
        <f>SUM(AA93:AL93)</f>
        <v>0</v>
      </c>
    </row>
    <row r="107" spans="1:38" x14ac:dyDescent="0.2">
      <c r="A107" s="582" t="s">
        <v>203</v>
      </c>
      <c r="B107" s="583">
        <f>'FS3 Resultat'!K20</f>
        <v>0</v>
      </c>
      <c r="C107" s="607">
        <f>B107-B108</f>
        <v>0</v>
      </c>
      <c r="D107" s="607">
        <f t="shared" ref="D107:AL107" si="12">C107-C108</f>
        <v>0</v>
      </c>
      <c r="E107" s="607">
        <f t="shared" si="12"/>
        <v>0</v>
      </c>
      <c r="F107" s="607">
        <f t="shared" si="12"/>
        <v>0</v>
      </c>
      <c r="G107" s="607">
        <f t="shared" si="12"/>
        <v>0</v>
      </c>
      <c r="H107" s="607">
        <f t="shared" si="12"/>
        <v>0</v>
      </c>
      <c r="I107" s="607">
        <f t="shared" si="12"/>
        <v>0</v>
      </c>
      <c r="J107" s="607">
        <f t="shared" si="12"/>
        <v>0</v>
      </c>
      <c r="K107" s="607">
        <f t="shared" si="12"/>
        <v>0</v>
      </c>
      <c r="L107" s="607">
        <f t="shared" si="12"/>
        <v>0</v>
      </c>
      <c r="M107" s="607">
        <f t="shared" si="12"/>
        <v>0</v>
      </c>
      <c r="N107" s="607">
        <f t="shared" si="12"/>
        <v>0</v>
      </c>
      <c r="O107" s="607">
        <f t="shared" si="12"/>
        <v>0</v>
      </c>
      <c r="P107" s="607">
        <f t="shared" si="12"/>
        <v>0</v>
      </c>
      <c r="Q107" s="607">
        <f t="shared" si="12"/>
        <v>0</v>
      </c>
      <c r="R107" s="607">
        <f t="shared" si="12"/>
        <v>0</v>
      </c>
      <c r="S107" s="607">
        <f t="shared" si="12"/>
        <v>0</v>
      </c>
      <c r="T107" s="607">
        <f t="shared" si="12"/>
        <v>0</v>
      </c>
      <c r="U107" s="607">
        <f t="shared" si="12"/>
        <v>0</v>
      </c>
      <c r="V107" s="607">
        <f t="shared" si="12"/>
        <v>0</v>
      </c>
      <c r="W107" s="607">
        <f t="shared" si="12"/>
        <v>0</v>
      </c>
      <c r="X107" s="607">
        <f t="shared" si="12"/>
        <v>0</v>
      </c>
      <c r="Y107" s="607">
        <f t="shared" si="12"/>
        <v>0</v>
      </c>
      <c r="Z107" s="607">
        <f t="shared" si="12"/>
        <v>0</v>
      </c>
      <c r="AA107" s="607">
        <f t="shared" si="12"/>
        <v>0</v>
      </c>
      <c r="AB107" s="607">
        <f t="shared" si="12"/>
        <v>0</v>
      </c>
      <c r="AC107" s="607">
        <f t="shared" si="12"/>
        <v>0</v>
      </c>
      <c r="AD107" s="607">
        <f t="shared" si="12"/>
        <v>0</v>
      </c>
      <c r="AE107" s="607">
        <f t="shared" si="12"/>
        <v>0</v>
      </c>
      <c r="AF107" s="607">
        <f t="shared" si="12"/>
        <v>0</v>
      </c>
      <c r="AG107" s="607">
        <f t="shared" si="12"/>
        <v>0</v>
      </c>
      <c r="AH107" s="607">
        <f t="shared" si="12"/>
        <v>0</v>
      </c>
      <c r="AI107" s="607">
        <f t="shared" si="12"/>
        <v>0</v>
      </c>
      <c r="AJ107" s="607">
        <f t="shared" si="12"/>
        <v>0</v>
      </c>
      <c r="AK107" s="607">
        <f t="shared" si="12"/>
        <v>0</v>
      </c>
      <c r="AL107" s="608">
        <f t="shared" si="12"/>
        <v>0</v>
      </c>
    </row>
    <row r="108" spans="1:38" x14ac:dyDescent="0.2">
      <c r="A108" s="584" t="s">
        <v>184</v>
      </c>
      <c r="B108" s="70">
        <f>IF(B107=0,0,IF('FS3 Resultat'!$I20=2,0,IF('FS3 Resultat'!$I20=1,0,'FS3 Resultat'!$K20/(2*'FS3 Resultat'!$J20))))</f>
        <v>0</v>
      </c>
      <c r="C108" s="210"/>
      <c r="D108" s="211"/>
      <c r="E108" s="211"/>
      <c r="F108" s="211"/>
      <c r="G108" s="211"/>
      <c r="H108" s="70">
        <f>IF(H107=0,0,IF('FS3 Resultat'!$I20=2,0,IF('FS3 Resultat'!$I20=1,0,'FS3 Resultat'!$K20/(2*'FS3 Resultat'!$J20))))</f>
        <v>0</v>
      </c>
      <c r="I108" s="211"/>
      <c r="J108" s="211"/>
      <c r="K108" s="211"/>
      <c r="L108" s="211"/>
      <c r="M108" s="211"/>
      <c r="N108" s="70">
        <f>IF(N107=0,0,IF('FS3 Resultat'!$I20=2,0,IF('FS3 Resultat'!$I20=1,'FS3 Resultat'!$K20/(2*'FS3 Resultat'!$J20-2),'FS3 Resultat'!$K20/(2*'FS3 Resultat'!$J20))))</f>
        <v>0</v>
      </c>
      <c r="O108" s="211"/>
      <c r="P108" s="99"/>
      <c r="T108" s="70">
        <f>IF(T107=0,0,IF('FS3 Resultat'!$I20=2,0,IF('FS3 Resultat'!$I20=1,'FS3 Resultat'!$K20/(2*'FS3 Resultat'!$J20-2),'FS3 Resultat'!$K20/(2*'FS3 Resultat'!$J20))))</f>
        <v>0</v>
      </c>
      <c r="Z108" s="70">
        <f>IF(Z107=0,0,IF('FS3 Resultat'!$I20=2,'FS3 Resultat'!$K20/(2*'FS3 Resultat'!$J20-4),IF('FS3 Resultat'!$I20=1,'FS3 Resultat'!$K20/(2*'FS3 Resultat'!$J20-2),'FS3 Resultat'!$K20/(2*'FS3 Resultat'!$J20))))</f>
        <v>0</v>
      </c>
      <c r="AF108" s="70">
        <f>IF(AF107=0,0,IF('FS3 Resultat'!$I20=2,'FS3 Resultat'!$K20/(2*'FS3 Resultat'!$J20-4),IF('FS3 Resultat'!$I20=1,'FS3 Resultat'!$K20/(2*'FS3 Resultat'!$J20-2),'FS3 Resultat'!$K20/(2*'FS3 Resultat'!$J20))))</f>
        <v>0</v>
      </c>
      <c r="AL108" s="609">
        <f>IF(AL107=0,0,IF('FS3 Resultat'!$I20=2,'FS3 Resultat'!$K20/(2*'FS3 Resultat'!$J20-4),IF('FS3 Resultat'!$I20=1,'FS3 Resultat'!$K20/(2*'FS3 Resultat'!$J20-2),'FS3 Resultat'!$K20/(2*'FS3 Resultat'!$J20))))</f>
        <v>0</v>
      </c>
    </row>
    <row r="109" spans="1:38" s="621" customFormat="1" x14ac:dyDescent="0.2">
      <c r="A109" s="619" t="s">
        <v>228</v>
      </c>
      <c r="B109" s="620">
        <f>B107-B108</f>
        <v>0</v>
      </c>
      <c r="C109" s="620">
        <f t="shared" ref="C109:AL109" si="13">C107-C108</f>
        <v>0</v>
      </c>
      <c r="D109" s="620">
        <f t="shared" si="13"/>
        <v>0</v>
      </c>
      <c r="E109" s="620">
        <f t="shared" si="13"/>
        <v>0</v>
      </c>
      <c r="F109" s="620">
        <f t="shared" si="13"/>
        <v>0</v>
      </c>
      <c r="G109" s="620">
        <f t="shared" si="13"/>
        <v>0</v>
      </c>
      <c r="H109" s="620">
        <f t="shared" si="13"/>
        <v>0</v>
      </c>
      <c r="I109" s="620">
        <f t="shared" si="13"/>
        <v>0</v>
      </c>
      <c r="J109" s="620">
        <f t="shared" si="13"/>
        <v>0</v>
      </c>
      <c r="K109" s="620">
        <f t="shared" si="13"/>
        <v>0</v>
      </c>
      <c r="L109" s="620">
        <f t="shared" si="13"/>
        <v>0</v>
      </c>
      <c r="M109" s="620">
        <f t="shared" si="13"/>
        <v>0</v>
      </c>
      <c r="N109" s="620">
        <f t="shared" si="13"/>
        <v>0</v>
      </c>
      <c r="O109" s="620">
        <f t="shared" si="13"/>
        <v>0</v>
      </c>
      <c r="P109" s="620">
        <f t="shared" si="13"/>
        <v>0</v>
      </c>
      <c r="Q109" s="620">
        <f t="shared" si="13"/>
        <v>0</v>
      </c>
      <c r="R109" s="620">
        <f t="shared" si="13"/>
        <v>0</v>
      </c>
      <c r="S109" s="620">
        <f t="shared" si="13"/>
        <v>0</v>
      </c>
      <c r="T109" s="620">
        <f t="shared" si="13"/>
        <v>0</v>
      </c>
      <c r="U109" s="620">
        <f t="shared" si="13"/>
        <v>0</v>
      </c>
      <c r="V109" s="620">
        <f t="shared" si="13"/>
        <v>0</v>
      </c>
      <c r="W109" s="620">
        <f t="shared" si="13"/>
        <v>0</v>
      </c>
      <c r="X109" s="620">
        <f t="shared" si="13"/>
        <v>0</v>
      </c>
      <c r="Y109" s="620">
        <f t="shared" si="13"/>
        <v>0</v>
      </c>
      <c r="Z109" s="620">
        <f t="shared" si="13"/>
        <v>0</v>
      </c>
      <c r="AA109" s="620">
        <f t="shared" si="13"/>
        <v>0</v>
      </c>
      <c r="AB109" s="620">
        <f t="shared" si="13"/>
        <v>0</v>
      </c>
      <c r="AC109" s="620">
        <f t="shared" si="13"/>
        <v>0</v>
      </c>
      <c r="AD109" s="620">
        <f t="shared" si="13"/>
        <v>0</v>
      </c>
      <c r="AE109" s="620">
        <f t="shared" si="13"/>
        <v>0</v>
      </c>
      <c r="AF109" s="620">
        <f t="shared" si="13"/>
        <v>0</v>
      </c>
      <c r="AG109" s="620">
        <f t="shared" si="13"/>
        <v>0</v>
      </c>
      <c r="AH109" s="620">
        <f t="shared" si="13"/>
        <v>0</v>
      </c>
      <c r="AI109" s="620">
        <f t="shared" si="13"/>
        <v>0</v>
      </c>
      <c r="AJ109" s="620">
        <f t="shared" si="13"/>
        <v>0</v>
      </c>
      <c r="AK109" s="620">
        <f t="shared" si="13"/>
        <v>0</v>
      </c>
      <c r="AL109" s="673">
        <f t="shared" si="13"/>
        <v>0</v>
      </c>
    </row>
    <row r="110" spans="1:38" x14ac:dyDescent="0.2">
      <c r="A110" s="584" t="s">
        <v>28</v>
      </c>
      <c r="B110" s="538">
        <f>'FS3 Resultat'!H20</f>
        <v>0</v>
      </c>
      <c r="C110" s="539">
        <f>B110</f>
        <v>0</v>
      </c>
      <c r="D110" s="539">
        <f t="shared" ref="D110:AL110" si="14">C110</f>
        <v>0</v>
      </c>
      <c r="E110" s="539">
        <f t="shared" si="14"/>
        <v>0</v>
      </c>
      <c r="F110" s="539">
        <f t="shared" si="14"/>
        <v>0</v>
      </c>
      <c r="G110" s="539">
        <f t="shared" si="14"/>
        <v>0</v>
      </c>
      <c r="H110" s="539">
        <f t="shared" si="14"/>
        <v>0</v>
      </c>
      <c r="I110" s="539">
        <f t="shared" si="14"/>
        <v>0</v>
      </c>
      <c r="J110" s="539">
        <f t="shared" si="14"/>
        <v>0</v>
      </c>
      <c r="K110" s="539">
        <f t="shared" si="14"/>
        <v>0</v>
      </c>
      <c r="L110" s="539">
        <f t="shared" si="14"/>
        <v>0</v>
      </c>
      <c r="M110" s="539">
        <f t="shared" si="14"/>
        <v>0</v>
      </c>
      <c r="N110" s="539">
        <f t="shared" si="14"/>
        <v>0</v>
      </c>
      <c r="O110" s="539">
        <f t="shared" si="14"/>
        <v>0</v>
      </c>
      <c r="P110" s="539">
        <f t="shared" si="14"/>
        <v>0</v>
      </c>
      <c r="Q110" s="539">
        <f t="shared" si="14"/>
        <v>0</v>
      </c>
      <c r="R110" s="539">
        <f t="shared" si="14"/>
        <v>0</v>
      </c>
      <c r="S110" s="539">
        <f t="shared" si="14"/>
        <v>0</v>
      </c>
      <c r="T110" s="539">
        <f t="shared" si="14"/>
        <v>0</v>
      </c>
      <c r="U110" s="539">
        <f t="shared" si="14"/>
        <v>0</v>
      </c>
      <c r="V110" s="539">
        <f t="shared" si="14"/>
        <v>0</v>
      </c>
      <c r="W110" s="539">
        <f t="shared" si="14"/>
        <v>0</v>
      </c>
      <c r="X110" s="539">
        <f t="shared" si="14"/>
        <v>0</v>
      </c>
      <c r="Y110" s="539">
        <f t="shared" si="14"/>
        <v>0</v>
      </c>
      <c r="Z110" s="539">
        <f t="shared" si="14"/>
        <v>0</v>
      </c>
      <c r="AA110" s="539">
        <f t="shared" si="14"/>
        <v>0</v>
      </c>
      <c r="AB110" s="539">
        <f t="shared" si="14"/>
        <v>0</v>
      </c>
      <c r="AC110" s="539">
        <f t="shared" si="14"/>
        <v>0</v>
      </c>
      <c r="AD110" s="539">
        <f t="shared" si="14"/>
        <v>0</v>
      </c>
      <c r="AE110" s="539">
        <f t="shared" si="14"/>
        <v>0</v>
      </c>
      <c r="AF110" s="539">
        <f t="shared" si="14"/>
        <v>0</v>
      </c>
      <c r="AG110" s="539">
        <f t="shared" si="14"/>
        <v>0</v>
      </c>
      <c r="AH110" s="539">
        <f t="shared" si="14"/>
        <v>0</v>
      </c>
      <c r="AI110" s="539">
        <f t="shared" si="14"/>
        <v>0</v>
      </c>
      <c r="AJ110" s="539">
        <f t="shared" si="14"/>
        <v>0</v>
      </c>
      <c r="AK110" s="539">
        <f t="shared" si="14"/>
        <v>0</v>
      </c>
      <c r="AL110" s="610">
        <f t="shared" si="14"/>
        <v>0</v>
      </c>
    </row>
    <row r="111" spans="1:38" x14ac:dyDescent="0.2">
      <c r="A111" s="584" t="s">
        <v>185</v>
      </c>
      <c r="B111" s="540">
        <f>(B107)*B110/2</f>
        <v>0</v>
      </c>
      <c r="C111" s="540">
        <f>(C107)*C110/12</f>
        <v>0</v>
      </c>
      <c r="D111" s="540">
        <f t="shared" ref="D111:AL111" si="15">(D107)*D110/12</f>
        <v>0</v>
      </c>
      <c r="E111" s="540">
        <f t="shared" si="15"/>
        <v>0</v>
      </c>
      <c r="F111" s="540">
        <f t="shared" si="15"/>
        <v>0</v>
      </c>
      <c r="G111" s="540">
        <f t="shared" si="15"/>
        <v>0</v>
      </c>
      <c r="H111" s="540">
        <f t="shared" si="15"/>
        <v>0</v>
      </c>
      <c r="I111" s="540">
        <f t="shared" si="15"/>
        <v>0</v>
      </c>
      <c r="J111" s="540">
        <f t="shared" si="15"/>
        <v>0</v>
      </c>
      <c r="K111" s="540">
        <f t="shared" si="15"/>
        <v>0</v>
      </c>
      <c r="L111" s="540">
        <f t="shared" si="15"/>
        <v>0</v>
      </c>
      <c r="M111" s="540">
        <f t="shared" si="15"/>
        <v>0</v>
      </c>
      <c r="N111" s="540">
        <f t="shared" si="15"/>
        <v>0</v>
      </c>
      <c r="O111" s="540">
        <f t="shared" si="15"/>
        <v>0</v>
      </c>
      <c r="P111" s="540">
        <f t="shared" si="15"/>
        <v>0</v>
      </c>
      <c r="Q111" s="540">
        <f t="shared" si="15"/>
        <v>0</v>
      </c>
      <c r="R111" s="540">
        <f t="shared" si="15"/>
        <v>0</v>
      </c>
      <c r="S111" s="540">
        <f t="shared" si="15"/>
        <v>0</v>
      </c>
      <c r="T111" s="540">
        <f t="shared" si="15"/>
        <v>0</v>
      </c>
      <c r="U111" s="540">
        <f t="shared" si="15"/>
        <v>0</v>
      </c>
      <c r="V111" s="540">
        <f t="shared" si="15"/>
        <v>0</v>
      </c>
      <c r="W111" s="540">
        <f t="shared" si="15"/>
        <v>0</v>
      </c>
      <c r="X111" s="540">
        <f t="shared" si="15"/>
        <v>0</v>
      </c>
      <c r="Y111" s="540">
        <f t="shared" si="15"/>
        <v>0</v>
      </c>
      <c r="Z111" s="540">
        <f t="shared" si="15"/>
        <v>0</v>
      </c>
      <c r="AA111" s="540">
        <f t="shared" si="15"/>
        <v>0</v>
      </c>
      <c r="AB111" s="540">
        <f t="shared" si="15"/>
        <v>0</v>
      </c>
      <c r="AC111" s="540">
        <f t="shared" si="15"/>
        <v>0</v>
      </c>
      <c r="AD111" s="540">
        <f t="shared" si="15"/>
        <v>0</v>
      </c>
      <c r="AE111" s="540">
        <f t="shared" si="15"/>
        <v>0</v>
      </c>
      <c r="AF111" s="540">
        <f t="shared" si="15"/>
        <v>0</v>
      </c>
      <c r="AG111" s="540">
        <f t="shared" si="15"/>
        <v>0</v>
      </c>
      <c r="AH111" s="540">
        <f t="shared" si="15"/>
        <v>0</v>
      </c>
      <c r="AI111" s="540">
        <f t="shared" si="15"/>
        <v>0</v>
      </c>
      <c r="AJ111" s="540">
        <f t="shared" si="15"/>
        <v>0</v>
      </c>
      <c r="AK111" s="540">
        <f t="shared" si="15"/>
        <v>0</v>
      </c>
      <c r="AL111" s="611">
        <f t="shared" si="15"/>
        <v>0</v>
      </c>
    </row>
    <row r="112" spans="1:38" x14ac:dyDescent="0.2">
      <c r="A112" s="585" t="s">
        <v>187</v>
      </c>
      <c r="B112" s="549">
        <f>B111</f>
        <v>0</v>
      </c>
      <c r="C112" s="210"/>
      <c r="D112" s="211"/>
      <c r="E112" s="211"/>
      <c r="F112" s="211"/>
      <c r="G112" s="211"/>
      <c r="H112" s="211"/>
      <c r="I112" s="211"/>
      <c r="J112" s="211"/>
      <c r="K112" s="211"/>
      <c r="L112" s="211"/>
      <c r="M112" s="211"/>
      <c r="N112" s="550">
        <f>SUM(C111:N111)</f>
        <v>0</v>
      </c>
      <c r="O112" s="211"/>
      <c r="P112" s="99"/>
      <c r="Z112" s="550">
        <f>SUM(O111:Z111)</f>
        <v>0</v>
      </c>
      <c r="AL112" s="158"/>
    </row>
    <row r="113" spans="1:38" x14ac:dyDescent="0.2">
      <c r="A113" s="586" t="s">
        <v>188</v>
      </c>
      <c r="B113" s="70"/>
      <c r="C113" s="551">
        <f>B112+C111</f>
        <v>0</v>
      </c>
      <c r="D113" s="211"/>
      <c r="E113" s="211"/>
      <c r="F113" s="211"/>
      <c r="G113" s="211"/>
      <c r="H113" s="211"/>
      <c r="I113" s="211"/>
      <c r="J113" s="211"/>
      <c r="K113" s="211"/>
      <c r="L113" s="211"/>
      <c r="M113" s="211"/>
      <c r="O113" s="552">
        <f>SUM(D111:O111)</f>
        <v>0</v>
      </c>
      <c r="P113" s="99"/>
      <c r="AA113" s="552">
        <f>SUM(P111:AA111)</f>
        <v>0</v>
      </c>
      <c r="AB113" s="99"/>
      <c r="AL113" s="158"/>
    </row>
    <row r="114" spans="1:38" x14ac:dyDescent="0.2">
      <c r="A114" s="587" t="s">
        <v>199</v>
      </c>
      <c r="B114" s="52"/>
      <c r="C114" s="52"/>
      <c r="D114" s="553">
        <f>SUM(B111:D111)</f>
        <v>0</v>
      </c>
      <c r="E114" s="541"/>
      <c r="F114" s="541"/>
      <c r="G114" s="541"/>
      <c r="H114" s="541"/>
      <c r="I114" s="541"/>
      <c r="J114" s="541"/>
      <c r="K114" s="541"/>
      <c r="L114" s="541"/>
      <c r="M114" s="541"/>
      <c r="N114" s="541"/>
      <c r="O114" s="211"/>
      <c r="P114" s="554">
        <f>SUM(E111:P111)</f>
        <v>0</v>
      </c>
      <c r="AA114" s="211"/>
      <c r="AB114" s="554">
        <f>SUM(Q111:AB111)</f>
        <v>0</v>
      </c>
      <c r="AL114" s="158"/>
    </row>
    <row r="115" spans="1:38" x14ac:dyDescent="0.2">
      <c r="A115" s="632" t="s">
        <v>198</v>
      </c>
      <c r="B115" s="70"/>
      <c r="C115" s="210"/>
      <c r="D115" s="541"/>
      <c r="E115" s="556">
        <f>SUM(B111:E111)</f>
        <v>0</v>
      </c>
      <c r="F115" s="541"/>
      <c r="G115" s="541"/>
      <c r="H115" s="541"/>
      <c r="I115" s="541"/>
      <c r="J115" s="541"/>
      <c r="K115" s="541"/>
      <c r="L115" s="541"/>
      <c r="M115" s="541"/>
      <c r="N115" s="541"/>
      <c r="O115" s="211"/>
      <c r="P115" s="99"/>
      <c r="Q115" s="555">
        <f>SUM(F111:Q111)</f>
        <v>0</v>
      </c>
      <c r="AA115" s="211"/>
      <c r="AB115" s="99"/>
      <c r="AC115" s="555">
        <f>SUM(R111:AC111)</f>
        <v>0</v>
      </c>
      <c r="AL115" s="158"/>
    </row>
    <row r="116" spans="1:38" x14ac:dyDescent="0.2">
      <c r="A116" s="588" t="s">
        <v>189</v>
      </c>
      <c r="B116" s="70"/>
      <c r="C116" s="210"/>
      <c r="D116" s="541"/>
      <c r="E116" s="541"/>
      <c r="F116" s="557">
        <f>SUM(B111:F111)</f>
        <v>0</v>
      </c>
      <c r="G116" s="541"/>
      <c r="H116" s="541"/>
      <c r="I116" s="541"/>
      <c r="J116" s="541"/>
      <c r="K116" s="541"/>
      <c r="L116" s="541"/>
      <c r="M116" s="541"/>
      <c r="N116" s="541"/>
      <c r="O116" s="211"/>
      <c r="P116" s="99"/>
      <c r="R116" s="558">
        <f>SUM(G111:R111)</f>
        <v>0</v>
      </c>
      <c r="AA116" s="211"/>
      <c r="AB116" s="99"/>
      <c r="AD116" s="558">
        <f>SUM(S111:AD111)</f>
        <v>0</v>
      </c>
      <c r="AL116" s="158"/>
    </row>
    <row r="117" spans="1:38" x14ac:dyDescent="0.2">
      <c r="A117" s="589" t="s">
        <v>190</v>
      </c>
      <c r="B117" s="52"/>
      <c r="C117" s="52"/>
      <c r="D117" s="541"/>
      <c r="E117" s="541"/>
      <c r="F117" s="541"/>
      <c r="G117" s="560">
        <f>SUM(B111:G111)</f>
        <v>0</v>
      </c>
      <c r="H117" s="541"/>
      <c r="I117" s="541"/>
      <c r="J117" s="541"/>
      <c r="K117" s="541"/>
      <c r="L117" s="541"/>
      <c r="M117" s="541"/>
      <c r="N117" s="541"/>
      <c r="O117" s="211"/>
      <c r="P117" s="99"/>
      <c r="S117" s="559">
        <f>SUM(H111:S111)</f>
        <v>0</v>
      </c>
      <c r="AA117" s="211"/>
      <c r="AB117" s="99"/>
      <c r="AE117" s="559">
        <f>SUM(T111:AE111)</f>
        <v>0</v>
      </c>
      <c r="AL117" s="158"/>
    </row>
    <row r="118" spans="1:38" x14ac:dyDescent="0.2">
      <c r="A118" s="590" t="s">
        <v>191</v>
      </c>
      <c r="B118" s="70"/>
      <c r="C118" s="210"/>
      <c r="D118" s="541"/>
      <c r="E118" s="541"/>
      <c r="F118" s="541"/>
      <c r="G118" s="541"/>
      <c r="H118" s="561">
        <f>SUM(B111:H111)</f>
        <v>0</v>
      </c>
      <c r="I118" s="541"/>
      <c r="J118" s="541"/>
      <c r="K118" s="541"/>
      <c r="L118" s="541"/>
      <c r="M118" s="541"/>
      <c r="N118" s="541"/>
      <c r="O118" s="211"/>
      <c r="P118" s="99"/>
      <c r="T118" s="562">
        <f>SUM(I111:T111)</f>
        <v>0</v>
      </c>
      <c r="AA118" s="211"/>
      <c r="AB118" s="99"/>
      <c r="AF118" s="562">
        <f>SUM(U111:AF111)</f>
        <v>0</v>
      </c>
      <c r="AL118" s="158"/>
    </row>
    <row r="119" spans="1:38" x14ac:dyDescent="0.2">
      <c r="A119" s="591" t="s">
        <v>192</v>
      </c>
      <c r="B119" s="52"/>
      <c r="C119" s="52"/>
      <c r="D119" s="541"/>
      <c r="E119" s="541"/>
      <c r="F119" s="541"/>
      <c r="G119" s="541"/>
      <c r="H119" s="541"/>
      <c r="I119" s="567">
        <f>SUM(B111:I111)</f>
        <v>0</v>
      </c>
      <c r="J119" s="541"/>
      <c r="K119" s="541"/>
      <c r="L119" s="541"/>
      <c r="M119" s="541"/>
      <c r="N119" s="541"/>
      <c r="O119" s="211"/>
      <c r="P119" s="99"/>
      <c r="U119" s="563">
        <f>SUM(J111:U111)</f>
        <v>0</v>
      </c>
      <c r="AA119" s="211"/>
      <c r="AB119" s="99"/>
      <c r="AG119" s="563">
        <f>SUM(V111:AG111)</f>
        <v>0</v>
      </c>
      <c r="AL119" s="158"/>
    </row>
    <row r="120" spans="1:38" x14ac:dyDescent="0.2">
      <c r="A120" s="592" t="s">
        <v>193</v>
      </c>
      <c r="B120" s="70"/>
      <c r="C120" s="210"/>
      <c r="D120" s="541"/>
      <c r="E120" s="541"/>
      <c r="F120" s="541"/>
      <c r="G120" s="541"/>
      <c r="H120" s="541"/>
      <c r="I120" s="541"/>
      <c r="J120" s="568">
        <f>SUM(B111:J111)</f>
        <v>0</v>
      </c>
      <c r="K120" s="541"/>
      <c r="L120" s="541"/>
      <c r="M120" s="541"/>
      <c r="N120" s="541"/>
      <c r="O120" s="211"/>
      <c r="P120" s="99"/>
      <c r="V120" s="564">
        <f>SUM(K111:V111)</f>
        <v>0</v>
      </c>
      <c r="AA120" s="211"/>
      <c r="AB120" s="99"/>
      <c r="AH120" s="564">
        <f>SUM(W111:AH111)</f>
        <v>0</v>
      </c>
      <c r="AL120" s="158"/>
    </row>
    <row r="121" spans="1:38" x14ac:dyDescent="0.2">
      <c r="A121" s="593" t="s">
        <v>194</v>
      </c>
      <c r="B121" s="52"/>
      <c r="C121" s="52"/>
      <c r="D121" s="541"/>
      <c r="E121" s="541"/>
      <c r="F121" s="541"/>
      <c r="G121" s="541"/>
      <c r="H121" s="541"/>
      <c r="I121" s="541"/>
      <c r="J121" s="541"/>
      <c r="K121" s="569">
        <f>SUM(B111:K111)</f>
        <v>0</v>
      </c>
      <c r="L121" s="541"/>
      <c r="M121" s="541"/>
      <c r="N121" s="541"/>
      <c r="O121" s="211"/>
      <c r="P121" s="99"/>
      <c r="W121" s="565">
        <f>SUM(L111:W111)</f>
        <v>0</v>
      </c>
      <c r="AA121" s="211"/>
      <c r="AB121" s="99"/>
      <c r="AI121" s="565">
        <f>SUM(X111:AI111)</f>
        <v>0</v>
      </c>
      <c r="AL121" s="158"/>
    </row>
    <row r="122" spans="1:38" x14ac:dyDescent="0.2">
      <c r="A122" s="594" t="s">
        <v>195</v>
      </c>
      <c r="B122" s="70"/>
      <c r="C122" s="210"/>
      <c r="D122" s="541"/>
      <c r="E122" s="541"/>
      <c r="F122" s="541"/>
      <c r="G122" s="541"/>
      <c r="H122" s="541"/>
      <c r="I122" s="541"/>
      <c r="J122" s="541"/>
      <c r="K122" s="541"/>
      <c r="L122" s="570">
        <f>SUM(B111:L111)</f>
        <v>0</v>
      </c>
      <c r="M122" s="541"/>
      <c r="N122" s="541"/>
      <c r="O122" s="211"/>
      <c r="P122" s="99"/>
      <c r="X122" s="566">
        <f>SUM(M111:X111)</f>
        <v>0</v>
      </c>
      <c r="AA122" s="211"/>
      <c r="AB122" s="99"/>
      <c r="AJ122" s="566">
        <f>SUM(Y111:AJ111)</f>
        <v>0</v>
      </c>
      <c r="AL122" s="158"/>
    </row>
    <row r="123" spans="1:38" x14ac:dyDescent="0.2">
      <c r="A123" s="595" t="s">
        <v>196</v>
      </c>
      <c r="B123" s="52"/>
      <c r="C123" s="52"/>
      <c r="D123" s="541"/>
      <c r="E123" s="541"/>
      <c r="F123" s="541"/>
      <c r="G123" s="541"/>
      <c r="H123" s="541"/>
      <c r="I123" s="541"/>
      <c r="J123" s="541"/>
      <c r="K123" s="541"/>
      <c r="L123" s="541"/>
      <c r="M123" s="572">
        <f>SUM(B111:M111)</f>
        <v>0</v>
      </c>
      <c r="N123" s="541"/>
      <c r="O123" s="211"/>
      <c r="P123" s="99"/>
      <c r="Y123" s="571">
        <f>SUM(N111:Y111)</f>
        <v>0</v>
      </c>
      <c r="AA123" s="211"/>
      <c r="AB123" s="99"/>
      <c r="AK123" s="571">
        <f>SUM(Z111:AK111)</f>
        <v>0</v>
      </c>
      <c r="AL123" s="158"/>
    </row>
    <row r="124" spans="1:38" ht="13.5" thickBot="1" x14ac:dyDescent="0.25">
      <c r="A124" s="596" t="s">
        <v>197</v>
      </c>
      <c r="B124" s="597"/>
      <c r="C124" s="213"/>
      <c r="D124" s="598"/>
      <c r="E124" s="598"/>
      <c r="F124" s="598"/>
      <c r="G124" s="598"/>
      <c r="H124" s="598"/>
      <c r="I124" s="598"/>
      <c r="J124" s="598"/>
      <c r="K124" s="598"/>
      <c r="L124" s="598"/>
      <c r="M124" s="598"/>
      <c r="N124" s="599">
        <f>SUM(B111:N111)</f>
        <v>0</v>
      </c>
      <c r="O124" s="318"/>
      <c r="P124" s="600"/>
      <c r="Q124" s="166"/>
      <c r="R124" s="166"/>
      <c r="S124" s="166"/>
      <c r="T124" s="166"/>
      <c r="U124" s="166"/>
      <c r="V124" s="166"/>
      <c r="W124" s="166"/>
      <c r="X124" s="166"/>
      <c r="Y124" s="166"/>
      <c r="Z124" s="601">
        <f>SUM(O111:Z111)</f>
        <v>0</v>
      </c>
      <c r="AA124" s="318"/>
      <c r="AB124" s="600"/>
      <c r="AC124" s="166"/>
      <c r="AD124" s="166"/>
      <c r="AE124" s="166"/>
      <c r="AF124" s="166"/>
      <c r="AG124" s="166"/>
      <c r="AH124" s="166"/>
      <c r="AI124" s="166"/>
      <c r="AJ124" s="166"/>
      <c r="AK124" s="166"/>
      <c r="AL124" s="602">
        <f>SUM(AA111:AL111)</f>
        <v>0</v>
      </c>
    </row>
    <row r="125" spans="1:38" s="2" customFormat="1" ht="24" customHeight="1" x14ac:dyDescent="0.2">
      <c r="A125" s="674" t="s">
        <v>230</v>
      </c>
      <c r="B125" s="675">
        <f>B107+B89+B71</f>
        <v>0</v>
      </c>
      <c r="C125" s="675">
        <f t="shared" ref="C125:AL125" si="16">C107+C89+C71</f>
        <v>0</v>
      </c>
      <c r="D125" s="675">
        <f t="shared" si="16"/>
        <v>0</v>
      </c>
      <c r="E125" s="675">
        <f t="shared" si="16"/>
        <v>0</v>
      </c>
      <c r="F125" s="675">
        <f t="shared" si="16"/>
        <v>0</v>
      </c>
      <c r="G125" s="675">
        <f t="shared" si="16"/>
        <v>0</v>
      </c>
      <c r="H125" s="675">
        <f t="shared" si="16"/>
        <v>0</v>
      </c>
      <c r="I125" s="675">
        <f t="shared" si="16"/>
        <v>0</v>
      </c>
      <c r="J125" s="675">
        <f t="shared" si="16"/>
        <v>0</v>
      </c>
      <c r="K125" s="675">
        <f t="shared" si="16"/>
        <v>0</v>
      </c>
      <c r="L125" s="675">
        <f t="shared" si="16"/>
        <v>0</v>
      </c>
      <c r="M125" s="675">
        <f t="shared" si="16"/>
        <v>0</v>
      </c>
      <c r="N125" s="675">
        <f t="shared" si="16"/>
        <v>0</v>
      </c>
      <c r="O125" s="675">
        <f t="shared" si="16"/>
        <v>0</v>
      </c>
      <c r="P125" s="675">
        <f t="shared" si="16"/>
        <v>0</v>
      </c>
      <c r="Q125" s="675">
        <f t="shared" si="16"/>
        <v>0</v>
      </c>
      <c r="R125" s="675">
        <f t="shared" si="16"/>
        <v>0</v>
      </c>
      <c r="S125" s="675">
        <f t="shared" si="16"/>
        <v>0</v>
      </c>
      <c r="T125" s="675">
        <f t="shared" si="16"/>
        <v>0</v>
      </c>
      <c r="U125" s="675">
        <f t="shared" si="16"/>
        <v>0</v>
      </c>
      <c r="V125" s="675">
        <f t="shared" si="16"/>
        <v>0</v>
      </c>
      <c r="W125" s="675">
        <f t="shared" si="16"/>
        <v>0</v>
      </c>
      <c r="X125" s="675">
        <f t="shared" si="16"/>
        <v>0</v>
      </c>
      <c r="Y125" s="675">
        <f t="shared" si="16"/>
        <v>0</v>
      </c>
      <c r="Z125" s="675">
        <f t="shared" si="16"/>
        <v>0</v>
      </c>
      <c r="AA125" s="675">
        <f t="shared" si="16"/>
        <v>0</v>
      </c>
      <c r="AB125" s="675">
        <f t="shared" si="16"/>
        <v>0</v>
      </c>
      <c r="AC125" s="675">
        <f t="shared" si="16"/>
        <v>0</v>
      </c>
      <c r="AD125" s="675">
        <f t="shared" si="16"/>
        <v>0</v>
      </c>
      <c r="AE125" s="675">
        <f t="shared" si="16"/>
        <v>0</v>
      </c>
      <c r="AF125" s="675">
        <f t="shared" si="16"/>
        <v>0</v>
      </c>
      <c r="AG125" s="675">
        <f t="shared" si="16"/>
        <v>0</v>
      </c>
      <c r="AH125" s="675">
        <f t="shared" si="16"/>
        <v>0</v>
      </c>
      <c r="AI125" s="675">
        <f t="shared" si="16"/>
        <v>0</v>
      </c>
      <c r="AJ125" s="675">
        <f t="shared" si="16"/>
        <v>0</v>
      </c>
      <c r="AK125" s="675">
        <f t="shared" si="16"/>
        <v>0</v>
      </c>
      <c r="AL125" s="676">
        <f t="shared" si="16"/>
        <v>0</v>
      </c>
    </row>
    <row r="126" spans="1:38" ht="12" customHeight="1" x14ac:dyDescent="0.2">
      <c r="A126" s="677" t="s">
        <v>231</v>
      </c>
      <c r="B126" s="623">
        <f>B108+B90+B72</f>
        <v>0</v>
      </c>
      <c r="C126" s="623">
        <f t="shared" ref="C126:AK126" si="17">C108+C90+C72</f>
        <v>0</v>
      </c>
      <c r="D126" s="623">
        <f t="shared" si="17"/>
        <v>0</v>
      </c>
      <c r="E126" s="623">
        <f t="shared" si="17"/>
        <v>0</v>
      </c>
      <c r="F126" s="623">
        <f t="shared" si="17"/>
        <v>0</v>
      </c>
      <c r="G126" s="623">
        <f t="shared" si="17"/>
        <v>0</v>
      </c>
      <c r="H126" s="623">
        <f t="shared" si="17"/>
        <v>0</v>
      </c>
      <c r="I126" s="623">
        <f t="shared" si="17"/>
        <v>0</v>
      </c>
      <c r="J126" s="623">
        <f t="shared" si="17"/>
        <v>0</v>
      </c>
      <c r="K126" s="623">
        <f t="shared" si="17"/>
        <v>0</v>
      </c>
      <c r="L126" s="623">
        <f t="shared" si="17"/>
        <v>0</v>
      </c>
      <c r="M126" s="623">
        <f t="shared" si="17"/>
        <v>0</v>
      </c>
      <c r="N126" s="623">
        <f t="shared" si="17"/>
        <v>0</v>
      </c>
      <c r="O126" s="623">
        <f t="shared" si="17"/>
        <v>0</v>
      </c>
      <c r="P126" s="623">
        <f t="shared" si="17"/>
        <v>0</v>
      </c>
      <c r="Q126" s="623">
        <f t="shared" si="17"/>
        <v>0</v>
      </c>
      <c r="R126" s="623">
        <f t="shared" si="17"/>
        <v>0</v>
      </c>
      <c r="S126" s="623">
        <f t="shared" si="17"/>
        <v>0</v>
      </c>
      <c r="T126" s="623">
        <f t="shared" si="17"/>
        <v>0</v>
      </c>
      <c r="U126" s="623">
        <f t="shared" si="17"/>
        <v>0</v>
      </c>
      <c r="V126" s="623">
        <f t="shared" si="17"/>
        <v>0</v>
      </c>
      <c r="W126" s="623">
        <f t="shared" si="17"/>
        <v>0</v>
      </c>
      <c r="X126" s="623">
        <f t="shared" si="17"/>
        <v>0</v>
      </c>
      <c r="Y126" s="623">
        <f t="shared" si="17"/>
        <v>0</v>
      </c>
      <c r="Z126" s="623">
        <f>Z108+Z90+Z72</f>
        <v>0</v>
      </c>
      <c r="AA126" s="623">
        <f t="shared" si="17"/>
        <v>0</v>
      </c>
      <c r="AB126" s="623">
        <f t="shared" si="17"/>
        <v>0</v>
      </c>
      <c r="AC126" s="623">
        <f t="shared" si="17"/>
        <v>0</v>
      </c>
      <c r="AD126" s="623">
        <f t="shared" si="17"/>
        <v>0</v>
      </c>
      <c r="AE126" s="623">
        <f t="shared" si="17"/>
        <v>0</v>
      </c>
      <c r="AF126" s="623">
        <f t="shared" si="17"/>
        <v>0</v>
      </c>
      <c r="AG126" s="623">
        <f t="shared" si="17"/>
        <v>0</v>
      </c>
      <c r="AH126" s="623">
        <f t="shared" si="17"/>
        <v>0</v>
      </c>
      <c r="AI126" s="623">
        <f t="shared" si="17"/>
        <v>0</v>
      </c>
      <c r="AJ126" s="623">
        <f t="shared" si="17"/>
        <v>0</v>
      </c>
      <c r="AK126" s="623">
        <f t="shared" si="17"/>
        <v>0</v>
      </c>
      <c r="AL126" s="678">
        <f>AL108+AL90+AL72</f>
        <v>0</v>
      </c>
    </row>
    <row r="127" spans="1:38" ht="12" customHeight="1" x14ac:dyDescent="0.2">
      <c r="A127" s="677" t="s">
        <v>233</v>
      </c>
      <c r="B127" s="623">
        <f>B111+B93+B75</f>
        <v>0</v>
      </c>
      <c r="C127" s="623">
        <f t="shared" ref="C127:AL127" si="18">C111+C93+C75</f>
        <v>0</v>
      </c>
      <c r="D127" s="623">
        <f t="shared" si="18"/>
        <v>0</v>
      </c>
      <c r="E127" s="623">
        <f t="shared" si="18"/>
        <v>0</v>
      </c>
      <c r="F127" s="623">
        <f t="shared" si="18"/>
        <v>0</v>
      </c>
      <c r="G127" s="623">
        <f t="shared" si="18"/>
        <v>0</v>
      </c>
      <c r="H127" s="623">
        <f t="shared" si="18"/>
        <v>0</v>
      </c>
      <c r="I127" s="623">
        <f t="shared" si="18"/>
        <v>0</v>
      </c>
      <c r="J127" s="623">
        <f t="shared" si="18"/>
        <v>0</v>
      </c>
      <c r="K127" s="623">
        <f t="shared" si="18"/>
        <v>0</v>
      </c>
      <c r="L127" s="623">
        <f t="shared" si="18"/>
        <v>0</v>
      </c>
      <c r="M127" s="623">
        <f t="shared" si="18"/>
        <v>0</v>
      </c>
      <c r="N127" s="623">
        <f t="shared" si="18"/>
        <v>0</v>
      </c>
      <c r="O127" s="623">
        <f t="shared" si="18"/>
        <v>0</v>
      </c>
      <c r="P127" s="623">
        <f t="shared" si="18"/>
        <v>0</v>
      </c>
      <c r="Q127" s="623">
        <f t="shared" si="18"/>
        <v>0</v>
      </c>
      <c r="R127" s="623">
        <f t="shared" si="18"/>
        <v>0</v>
      </c>
      <c r="S127" s="623">
        <f t="shared" si="18"/>
        <v>0</v>
      </c>
      <c r="T127" s="623">
        <f t="shared" si="18"/>
        <v>0</v>
      </c>
      <c r="U127" s="623">
        <f t="shared" si="18"/>
        <v>0</v>
      </c>
      <c r="V127" s="623">
        <f t="shared" si="18"/>
        <v>0</v>
      </c>
      <c r="W127" s="623">
        <f t="shared" si="18"/>
        <v>0</v>
      </c>
      <c r="X127" s="623">
        <f t="shared" si="18"/>
        <v>0</v>
      </c>
      <c r="Y127" s="623">
        <f t="shared" si="18"/>
        <v>0</v>
      </c>
      <c r="Z127" s="623">
        <f t="shared" si="18"/>
        <v>0</v>
      </c>
      <c r="AA127" s="623">
        <f t="shared" si="18"/>
        <v>0</v>
      </c>
      <c r="AB127" s="623">
        <f t="shared" si="18"/>
        <v>0</v>
      </c>
      <c r="AC127" s="623">
        <f t="shared" si="18"/>
        <v>0</v>
      </c>
      <c r="AD127" s="623">
        <f t="shared" si="18"/>
        <v>0</v>
      </c>
      <c r="AE127" s="623">
        <f t="shared" si="18"/>
        <v>0</v>
      </c>
      <c r="AF127" s="623">
        <f t="shared" si="18"/>
        <v>0</v>
      </c>
      <c r="AG127" s="623">
        <f t="shared" si="18"/>
        <v>0</v>
      </c>
      <c r="AH127" s="623">
        <f t="shared" si="18"/>
        <v>0</v>
      </c>
      <c r="AI127" s="623">
        <f t="shared" si="18"/>
        <v>0</v>
      </c>
      <c r="AJ127" s="623">
        <f t="shared" si="18"/>
        <v>0</v>
      </c>
      <c r="AK127" s="623">
        <f t="shared" si="18"/>
        <v>0</v>
      </c>
      <c r="AL127" s="678">
        <f t="shared" si="18"/>
        <v>0</v>
      </c>
    </row>
    <row r="128" spans="1:38" x14ac:dyDescent="0.2">
      <c r="A128" s="624" t="s">
        <v>232</v>
      </c>
      <c r="B128" s="626">
        <f>B112+B94+B76</f>
        <v>0</v>
      </c>
      <c r="C128" s="210"/>
      <c r="D128" s="211"/>
      <c r="E128" s="211"/>
      <c r="F128" s="211"/>
      <c r="G128" s="211"/>
      <c r="H128" s="211"/>
      <c r="I128" s="211"/>
      <c r="J128" s="211"/>
      <c r="K128" s="211"/>
      <c r="L128" s="211"/>
      <c r="M128" s="211"/>
      <c r="N128" s="625">
        <f>N112+N94+N76</f>
        <v>0</v>
      </c>
      <c r="O128" s="211"/>
      <c r="P128" s="99"/>
      <c r="Z128" s="550">
        <f>Z112+Z94+Z76</f>
        <v>0</v>
      </c>
      <c r="AL128" s="158"/>
    </row>
    <row r="129" spans="1:38" x14ac:dyDescent="0.2">
      <c r="A129" s="586" t="s">
        <v>188</v>
      </c>
      <c r="B129" s="70"/>
      <c r="C129" s="551">
        <f>C113+C95+C77</f>
        <v>0</v>
      </c>
      <c r="D129" s="211"/>
      <c r="E129" s="211"/>
      <c r="F129" s="211"/>
      <c r="G129" s="211"/>
      <c r="H129" s="211"/>
      <c r="I129" s="211"/>
      <c r="J129" s="211"/>
      <c r="K129" s="211"/>
      <c r="L129" s="211"/>
      <c r="M129" s="211"/>
      <c r="O129" s="552">
        <f>O113+O95+O77</f>
        <v>0</v>
      </c>
      <c r="P129" s="99"/>
      <c r="AA129" s="552">
        <f>AA113+AA95+AA77</f>
        <v>0</v>
      </c>
      <c r="AB129" s="99"/>
      <c r="AL129" s="158"/>
    </row>
    <row r="130" spans="1:38" x14ac:dyDescent="0.2">
      <c r="A130" s="587" t="s">
        <v>199</v>
      </c>
      <c r="B130" s="52"/>
      <c r="C130" s="52"/>
      <c r="D130" s="553">
        <f>D114+D96+D78</f>
        <v>0</v>
      </c>
      <c r="E130" s="541"/>
      <c r="F130" s="541"/>
      <c r="G130" s="541"/>
      <c r="H130" s="541"/>
      <c r="I130" s="541"/>
      <c r="J130" s="541"/>
      <c r="K130" s="541"/>
      <c r="L130" s="541"/>
      <c r="M130" s="541"/>
      <c r="N130" s="541"/>
      <c r="O130" s="211"/>
      <c r="P130" s="554">
        <f>P114+P96+P78</f>
        <v>0</v>
      </c>
      <c r="AA130" s="211"/>
      <c r="AB130" s="554">
        <f>AB114+AB96+AB78</f>
        <v>0</v>
      </c>
      <c r="AL130" s="158"/>
    </row>
    <row r="131" spans="1:38" x14ac:dyDescent="0.2">
      <c r="A131" s="632" t="s">
        <v>198</v>
      </c>
      <c r="B131" s="70"/>
      <c r="C131" s="210"/>
      <c r="D131" s="541"/>
      <c r="E131" s="556">
        <f>E115+E97+E79</f>
        <v>0</v>
      </c>
      <c r="F131" s="541"/>
      <c r="G131" s="541"/>
      <c r="H131" s="541"/>
      <c r="I131" s="541"/>
      <c r="J131" s="541"/>
      <c r="K131" s="541"/>
      <c r="L131" s="541"/>
      <c r="M131" s="541"/>
      <c r="N131" s="541"/>
      <c r="O131" s="211"/>
      <c r="P131" s="99"/>
      <c r="Q131" s="555">
        <f>Q115+Q97+Q79</f>
        <v>0</v>
      </c>
      <c r="AA131" s="211"/>
      <c r="AB131" s="99"/>
      <c r="AC131" s="555">
        <f>AC115+AC97+AC79</f>
        <v>0</v>
      </c>
      <c r="AL131" s="158"/>
    </row>
    <row r="132" spans="1:38" x14ac:dyDescent="0.2">
      <c r="A132" s="588" t="s">
        <v>189</v>
      </c>
      <c r="B132" s="70"/>
      <c r="C132" s="210"/>
      <c r="D132" s="541"/>
      <c r="E132" s="541"/>
      <c r="F132" s="557">
        <f>F116+F98+F80</f>
        <v>0</v>
      </c>
      <c r="G132" s="541"/>
      <c r="H132" s="541"/>
      <c r="I132" s="541"/>
      <c r="J132" s="541"/>
      <c r="K132" s="541"/>
      <c r="L132" s="541"/>
      <c r="M132" s="541"/>
      <c r="N132" s="541"/>
      <c r="O132" s="211"/>
      <c r="P132" s="99"/>
      <c r="R132" s="558">
        <f>R116+R98+R80</f>
        <v>0</v>
      </c>
      <c r="AA132" s="211"/>
      <c r="AB132" s="99"/>
      <c r="AD132" s="558">
        <f>AD116+AD98+AD80</f>
        <v>0</v>
      </c>
      <c r="AL132" s="158"/>
    </row>
    <row r="133" spans="1:38" x14ac:dyDescent="0.2">
      <c r="A133" s="589" t="s">
        <v>190</v>
      </c>
      <c r="B133" s="52"/>
      <c r="C133" s="52"/>
      <c r="D133" s="541"/>
      <c r="E133" s="541"/>
      <c r="F133" s="541"/>
      <c r="G133" s="560">
        <f>G117+G99+G81</f>
        <v>0</v>
      </c>
      <c r="H133" s="541"/>
      <c r="I133" s="541"/>
      <c r="J133" s="541"/>
      <c r="K133" s="541"/>
      <c r="L133" s="541"/>
      <c r="M133" s="541"/>
      <c r="N133" s="541"/>
      <c r="O133" s="211"/>
      <c r="P133" s="99"/>
      <c r="S133" s="559">
        <f>S117+S99+S81</f>
        <v>0</v>
      </c>
      <c r="AA133" s="211"/>
      <c r="AB133" s="99"/>
      <c r="AE133" s="559">
        <f>AE117+AE99+AE81</f>
        <v>0</v>
      </c>
      <c r="AL133" s="158"/>
    </row>
    <row r="134" spans="1:38" x14ac:dyDescent="0.2">
      <c r="A134" s="590" t="s">
        <v>191</v>
      </c>
      <c r="B134" s="70"/>
      <c r="C134" s="210"/>
      <c r="D134" s="541"/>
      <c r="E134" s="541"/>
      <c r="F134" s="541"/>
      <c r="G134" s="541"/>
      <c r="H134" s="561">
        <f>H118+H100+H82</f>
        <v>0</v>
      </c>
      <c r="I134" s="541"/>
      <c r="J134" s="541"/>
      <c r="K134" s="541"/>
      <c r="L134" s="541"/>
      <c r="M134" s="541"/>
      <c r="N134" s="541"/>
      <c r="O134" s="211"/>
      <c r="P134" s="99"/>
      <c r="T134" s="562">
        <f>T118+T100+T82</f>
        <v>0</v>
      </c>
      <c r="AA134" s="211"/>
      <c r="AB134" s="99"/>
      <c r="AF134" s="562">
        <f>AF118+AF100+AF82</f>
        <v>0</v>
      </c>
      <c r="AL134" s="158"/>
    </row>
    <row r="135" spans="1:38" x14ac:dyDescent="0.2">
      <c r="A135" s="591" t="s">
        <v>192</v>
      </c>
      <c r="B135" s="52"/>
      <c r="C135" s="52"/>
      <c r="D135" s="541"/>
      <c r="E135" s="541"/>
      <c r="F135" s="541"/>
      <c r="G135" s="541"/>
      <c r="H135" s="541"/>
      <c r="I135" s="567">
        <f>I119+I101+I83</f>
        <v>0</v>
      </c>
      <c r="J135" s="541"/>
      <c r="K135" s="541"/>
      <c r="L135" s="541"/>
      <c r="M135" s="541"/>
      <c r="N135" s="541"/>
      <c r="O135" s="211"/>
      <c r="P135" s="99"/>
      <c r="U135" s="563">
        <f>U119+U101+U83</f>
        <v>0</v>
      </c>
      <c r="AA135" s="211"/>
      <c r="AB135" s="99"/>
      <c r="AG135" s="563">
        <f>AG119+AG101+AG83</f>
        <v>0</v>
      </c>
      <c r="AL135" s="158"/>
    </row>
    <row r="136" spans="1:38" x14ac:dyDescent="0.2">
      <c r="A136" s="592" t="s">
        <v>193</v>
      </c>
      <c r="B136" s="70"/>
      <c r="C136" s="210"/>
      <c r="D136" s="541"/>
      <c r="E136" s="541"/>
      <c r="F136" s="541"/>
      <c r="G136" s="541"/>
      <c r="H136" s="541"/>
      <c r="I136" s="541"/>
      <c r="J136" s="568">
        <f>J120+J102+J84</f>
        <v>0</v>
      </c>
      <c r="K136" s="541"/>
      <c r="L136" s="541"/>
      <c r="M136" s="541"/>
      <c r="N136" s="541"/>
      <c r="O136" s="211"/>
      <c r="P136" s="99"/>
      <c r="V136" s="564">
        <f>V120+V102+V84</f>
        <v>0</v>
      </c>
      <c r="AA136" s="211"/>
      <c r="AB136" s="99"/>
      <c r="AH136" s="564">
        <f>AH120+AH102+AH84</f>
        <v>0</v>
      </c>
      <c r="AL136" s="158"/>
    </row>
    <row r="137" spans="1:38" x14ac:dyDescent="0.2">
      <c r="A137" s="593" t="s">
        <v>194</v>
      </c>
      <c r="B137" s="52"/>
      <c r="C137" s="52"/>
      <c r="D137" s="541"/>
      <c r="E137" s="541"/>
      <c r="F137" s="541"/>
      <c r="G137" s="541"/>
      <c r="H137" s="541"/>
      <c r="I137" s="541"/>
      <c r="J137" s="541"/>
      <c r="K137" s="569">
        <f>K121+K103+K85</f>
        <v>0</v>
      </c>
      <c r="L137" s="541"/>
      <c r="M137" s="541"/>
      <c r="N137" s="541"/>
      <c r="O137" s="211"/>
      <c r="P137" s="99"/>
      <c r="W137" s="565">
        <f>W121+W103+W85</f>
        <v>0</v>
      </c>
      <c r="AA137" s="211"/>
      <c r="AB137" s="99"/>
      <c r="AI137" s="565">
        <f>AI121+AI103+AI85</f>
        <v>0</v>
      </c>
      <c r="AL137" s="158"/>
    </row>
    <row r="138" spans="1:38" x14ac:dyDescent="0.2">
      <c r="A138" s="594" t="s">
        <v>195</v>
      </c>
      <c r="B138" s="70"/>
      <c r="C138" s="210"/>
      <c r="D138" s="541"/>
      <c r="E138" s="541"/>
      <c r="F138" s="541"/>
      <c r="G138" s="541"/>
      <c r="H138" s="541"/>
      <c r="I138" s="541"/>
      <c r="J138" s="541"/>
      <c r="K138" s="541"/>
      <c r="L138" s="570">
        <f>L122+L104+L86</f>
        <v>0</v>
      </c>
      <c r="M138" s="541"/>
      <c r="N138" s="541"/>
      <c r="O138" s="211"/>
      <c r="P138" s="99"/>
      <c r="X138" s="566">
        <f>X122+X104+X86</f>
        <v>0</v>
      </c>
      <c r="AA138" s="211"/>
      <c r="AB138" s="99"/>
      <c r="AJ138" s="566">
        <f>AJ122+AJ104+AJ86</f>
        <v>0</v>
      </c>
      <c r="AL138" s="158"/>
    </row>
    <row r="139" spans="1:38" x14ac:dyDescent="0.2">
      <c r="A139" s="595" t="s">
        <v>196</v>
      </c>
      <c r="B139" s="52"/>
      <c r="C139" s="52"/>
      <c r="D139" s="541"/>
      <c r="E139" s="541"/>
      <c r="F139" s="541"/>
      <c r="G139" s="541"/>
      <c r="H139" s="541"/>
      <c r="I139" s="541"/>
      <c r="J139" s="541"/>
      <c r="K139" s="541"/>
      <c r="L139" s="541"/>
      <c r="M139" s="572">
        <f>M123+M105+M87</f>
        <v>0</v>
      </c>
      <c r="N139" s="541"/>
      <c r="O139" s="211"/>
      <c r="P139" s="99"/>
      <c r="Y139" s="571">
        <f>Y123+Y105+Y87</f>
        <v>0</v>
      </c>
      <c r="AA139" s="211"/>
      <c r="AB139" s="99"/>
      <c r="AK139" s="571">
        <f>AK123+AK105+AK87</f>
        <v>0</v>
      </c>
      <c r="AL139" s="158"/>
    </row>
    <row r="140" spans="1:38" ht="13.5" thickBot="1" x14ac:dyDescent="0.25">
      <c r="A140" s="596" t="s">
        <v>197</v>
      </c>
      <c r="B140" s="597"/>
      <c r="C140" s="213"/>
      <c r="D140" s="598"/>
      <c r="E140" s="598"/>
      <c r="F140" s="598"/>
      <c r="G140" s="598"/>
      <c r="H140" s="598"/>
      <c r="I140" s="598"/>
      <c r="J140" s="598"/>
      <c r="K140" s="598"/>
      <c r="L140" s="598"/>
      <c r="M140" s="598"/>
      <c r="N140" s="599">
        <f>N124+N106+N88</f>
        <v>0</v>
      </c>
      <c r="O140" s="318"/>
      <c r="P140" s="600"/>
      <c r="Q140" s="166"/>
      <c r="R140" s="166"/>
      <c r="S140" s="166"/>
      <c r="T140" s="166"/>
      <c r="U140" s="166"/>
      <c r="V140" s="166"/>
      <c r="W140" s="166"/>
      <c r="X140" s="166"/>
      <c r="Y140" s="166"/>
      <c r="Z140" s="601">
        <f>Z124+Z106+Z88</f>
        <v>0</v>
      </c>
      <c r="AA140" s="318"/>
      <c r="AB140" s="600"/>
      <c r="AC140" s="166"/>
      <c r="AD140" s="166"/>
      <c r="AE140" s="166"/>
      <c r="AF140" s="166"/>
      <c r="AG140" s="166"/>
      <c r="AH140" s="166"/>
      <c r="AI140" s="166"/>
      <c r="AJ140" s="166"/>
      <c r="AK140" s="166"/>
      <c r="AL140" s="602">
        <f>AL124+AL106+AL88</f>
        <v>0</v>
      </c>
    </row>
    <row r="141" spans="1:38" x14ac:dyDescent="0.2">
      <c r="A141" s="663" t="s">
        <v>606</v>
      </c>
      <c r="B141" s="653"/>
      <c r="C141" s="654"/>
      <c r="D141" s="655"/>
      <c r="E141" s="655"/>
      <c r="F141" s="655"/>
      <c r="G141" s="655"/>
      <c r="H141" s="655"/>
      <c r="I141" s="655"/>
      <c r="J141" s="655"/>
      <c r="K141" s="655"/>
      <c r="L141" s="655"/>
      <c r="M141" s="655"/>
      <c r="N141" s="655"/>
      <c r="O141" s="655"/>
      <c r="P141" s="655"/>
      <c r="Q141" s="656"/>
      <c r="R141" s="656"/>
      <c r="S141" s="656"/>
      <c r="T141" s="656"/>
      <c r="U141" s="656"/>
      <c r="V141" s="656"/>
      <c r="W141" s="656"/>
      <c r="X141" s="656"/>
      <c r="Y141" s="656"/>
      <c r="Z141" s="656"/>
      <c r="AA141" s="656"/>
      <c r="AB141" s="656"/>
      <c r="AC141" s="656"/>
      <c r="AD141" s="656"/>
      <c r="AE141" s="656"/>
      <c r="AF141" s="656"/>
      <c r="AG141" s="656"/>
      <c r="AH141" s="656"/>
      <c r="AI141" s="656"/>
      <c r="AJ141" s="656"/>
      <c r="AK141" s="656"/>
      <c r="AL141" s="664"/>
    </row>
    <row r="142" spans="1:38" x14ac:dyDescent="0.2">
      <c r="A142" s="657" t="s">
        <v>607</v>
      </c>
      <c r="B142" s="606">
        <f>B$126+B128</f>
        <v>0</v>
      </c>
      <c r="C142" s="210"/>
      <c r="D142" s="211"/>
      <c r="E142" s="211"/>
      <c r="F142" s="211"/>
      <c r="G142" s="211"/>
      <c r="H142" s="211"/>
      <c r="I142" s="211"/>
      <c r="J142" s="211"/>
      <c r="K142" s="211"/>
      <c r="L142" s="211"/>
      <c r="M142" s="211"/>
      <c r="N142" s="606">
        <f>N$126+N128+H126</f>
        <v>0</v>
      </c>
      <c r="O142" s="211"/>
      <c r="P142" s="99"/>
      <c r="Z142" s="606">
        <f>Z$126+Z128</f>
        <v>0</v>
      </c>
      <c r="AL142" s="158"/>
    </row>
    <row r="143" spans="1:38" x14ac:dyDescent="0.2">
      <c r="A143" s="586" t="s">
        <v>188</v>
      </c>
      <c r="B143" s="658"/>
      <c r="C143" s="606">
        <f>C$126+C129+B$126</f>
        <v>0</v>
      </c>
      <c r="D143" s="211"/>
      <c r="E143" s="211"/>
      <c r="F143" s="211"/>
      <c r="G143" s="211"/>
      <c r="H143" s="211"/>
      <c r="I143" s="211"/>
      <c r="J143" s="211"/>
      <c r="K143" s="211"/>
      <c r="L143" s="211"/>
      <c r="M143" s="211"/>
      <c r="O143" s="606">
        <f>O$126+O129+N$126+H126</f>
        <v>0</v>
      </c>
      <c r="P143" s="211"/>
      <c r="Q143" s="211"/>
      <c r="R143" s="211"/>
      <c r="S143" s="211"/>
      <c r="T143" s="211"/>
      <c r="U143" s="211"/>
      <c r="V143" s="211"/>
      <c r="W143" s="211"/>
      <c r="X143" s="211"/>
      <c r="Y143" s="211"/>
      <c r="AA143" s="606">
        <f>AA$126+AA129+Z$126</f>
        <v>0</v>
      </c>
      <c r="AB143" s="211"/>
      <c r="AC143" s="211"/>
      <c r="AD143" s="211"/>
      <c r="AE143" s="211"/>
      <c r="AF143" s="211"/>
      <c r="AG143" s="211"/>
      <c r="AH143" s="211"/>
      <c r="AI143" s="211"/>
      <c r="AJ143" s="211"/>
      <c r="AK143" s="211"/>
      <c r="AL143" s="158"/>
    </row>
    <row r="144" spans="1:38" x14ac:dyDescent="0.2">
      <c r="A144" s="587" t="s">
        <v>199</v>
      </c>
      <c r="B144" s="52"/>
      <c r="C144" s="52"/>
      <c r="D144" s="606">
        <f>D$126+D130+C$126+B$126</f>
        <v>0</v>
      </c>
      <c r="E144" s="541"/>
      <c r="F144" s="541"/>
      <c r="G144" s="541"/>
      <c r="H144" s="541"/>
      <c r="I144" s="541"/>
      <c r="J144" s="541"/>
      <c r="K144" s="541"/>
      <c r="L144" s="541"/>
      <c r="M144" s="541"/>
      <c r="N144" s="541"/>
      <c r="O144" s="52"/>
      <c r="P144" s="606">
        <f>P$126+P130+O$126+N$126+H126</f>
        <v>0</v>
      </c>
      <c r="Q144" s="541"/>
      <c r="R144" s="541"/>
      <c r="S144" s="541"/>
      <c r="T144" s="541"/>
      <c r="U144" s="541"/>
      <c r="V144" s="541"/>
      <c r="W144" s="541"/>
      <c r="X144" s="541"/>
      <c r="Y144" s="541"/>
      <c r="Z144" s="541"/>
      <c r="AA144" s="52"/>
      <c r="AB144" s="606">
        <f>AB$126+AB130+AA$126+Z$126</f>
        <v>0</v>
      </c>
      <c r="AC144" s="541"/>
      <c r="AD144" s="541"/>
      <c r="AE144" s="541"/>
      <c r="AF144" s="541"/>
      <c r="AG144" s="541"/>
      <c r="AH144" s="541"/>
      <c r="AI144" s="541"/>
      <c r="AJ144" s="541"/>
      <c r="AK144" s="541"/>
      <c r="AL144" s="659"/>
    </row>
    <row r="145" spans="1:38" x14ac:dyDescent="0.2">
      <c r="A145" s="588" t="s">
        <v>198</v>
      </c>
      <c r="B145" s="658"/>
      <c r="C145" s="210"/>
      <c r="D145" s="541"/>
      <c r="E145" s="606">
        <f>E$126+E131+D$126+C$126+B126</f>
        <v>0</v>
      </c>
      <c r="F145" s="541"/>
      <c r="G145" s="541"/>
      <c r="H145" s="541"/>
      <c r="I145" s="541"/>
      <c r="J145" s="541"/>
      <c r="K145" s="541"/>
      <c r="L145" s="541"/>
      <c r="M145" s="541"/>
      <c r="N145" s="541"/>
      <c r="O145" s="210"/>
      <c r="P145" s="541"/>
      <c r="Q145" s="606">
        <f>Q$126+Q131+P$126+O$126+N126+H126</f>
        <v>0</v>
      </c>
      <c r="R145" s="541"/>
      <c r="S145" s="541"/>
      <c r="T145" s="541"/>
      <c r="U145" s="541"/>
      <c r="V145" s="541"/>
      <c r="W145" s="541"/>
      <c r="X145" s="541"/>
      <c r="Y145" s="541"/>
      <c r="Z145" s="541"/>
      <c r="AA145" s="210"/>
      <c r="AB145" s="541"/>
      <c r="AC145" s="606">
        <f>AC$126+AC131+AB$126+AA$126+Z126</f>
        <v>0</v>
      </c>
      <c r="AD145" s="541"/>
      <c r="AE145" s="541"/>
      <c r="AF145" s="541"/>
      <c r="AG145" s="541"/>
      <c r="AH145" s="541"/>
      <c r="AI145" s="541"/>
      <c r="AJ145" s="541"/>
      <c r="AK145" s="541"/>
      <c r="AL145" s="659"/>
    </row>
    <row r="146" spans="1:38" x14ac:dyDescent="0.2">
      <c r="A146" s="589" t="s">
        <v>189</v>
      </c>
      <c r="B146" s="658"/>
      <c r="C146" s="210"/>
      <c r="D146" s="541"/>
      <c r="E146" s="541"/>
      <c r="F146" s="606">
        <f>F$126+F132+E$126+D$126+B126+C126</f>
        <v>0</v>
      </c>
      <c r="G146" s="541"/>
      <c r="H146" s="541"/>
      <c r="I146" s="541"/>
      <c r="J146" s="541"/>
      <c r="K146" s="541"/>
      <c r="L146" s="541"/>
      <c r="M146" s="541"/>
      <c r="N146" s="541"/>
      <c r="O146" s="210"/>
      <c r="P146" s="541"/>
      <c r="Q146" s="541"/>
      <c r="R146" s="606">
        <f>R$126+R132+Q$126+P$126+N126+O126+H126</f>
        <v>0</v>
      </c>
      <c r="S146" s="541"/>
      <c r="T146" s="541"/>
      <c r="U146" s="541"/>
      <c r="V146" s="541"/>
      <c r="W146" s="541"/>
      <c r="X146" s="541"/>
      <c r="Y146" s="541"/>
      <c r="Z146" s="541"/>
      <c r="AA146" s="210"/>
      <c r="AB146" s="541"/>
      <c r="AC146" s="541"/>
      <c r="AD146" s="606">
        <f>AD$126+AD132+AC$126+AB$126+Z126+AA126</f>
        <v>0</v>
      </c>
      <c r="AE146" s="541"/>
      <c r="AF146" s="541"/>
      <c r="AG146" s="541"/>
      <c r="AH146" s="541"/>
      <c r="AI146" s="541"/>
      <c r="AJ146" s="541"/>
      <c r="AK146" s="541"/>
      <c r="AL146" s="659"/>
    </row>
    <row r="147" spans="1:38" x14ac:dyDescent="0.2">
      <c r="A147" s="590" t="s">
        <v>190</v>
      </c>
      <c r="B147" s="52"/>
      <c r="C147" s="52"/>
      <c r="D147" s="541"/>
      <c r="E147" s="541"/>
      <c r="F147" s="541"/>
      <c r="G147" s="606">
        <f>G$126+G133+F$126+E$126+B126+C126+D126</f>
        <v>0</v>
      </c>
      <c r="H147" s="541"/>
      <c r="I147" s="541"/>
      <c r="J147" s="541"/>
      <c r="K147" s="541"/>
      <c r="L147" s="541"/>
      <c r="M147" s="541"/>
      <c r="N147" s="541"/>
      <c r="O147" s="52"/>
      <c r="P147" s="541"/>
      <c r="Q147" s="541"/>
      <c r="R147" s="541"/>
      <c r="S147" s="606">
        <f>S$126+S133+R$126+Q$126+N126+O126+P126+H126</f>
        <v>0</v>
      </c>
      <c r="T147" s="541"/>
      <c r="U147" s="541"/>
      <c r="V147" s="541"/>
      <c r="W147" s="541"/>
      <c r="X147" s="541"/>
      <c r="Y147" s="541"/>
      <c r="Z147" s="541"/>
      <c r="AA147" s="52"/>
      <c r="AB147" s="541"/>
      <c r="AC147" s="541"/>
      <c r="AD147" s="541"/>
      <c r="AE147" s="606">
        <f>AE$126+AE133+AD$126+AC$126+Z126+AA126+AB126</f>
        <v>0</v>
      </c>
      <c r="AF147" s="541"/>
      <c r="AG147" s="541"/>
      <c r="AH147" s="541"/>
      <c r="AI147" s="541"/>
      <c r="AJ147" s="541"/>
      <c r="AK147" s="541"/>
      <c r="AL147" s="659"/>
    </row>
    <row r="148" spans="1:38" x14ac:dyDescent="0.2">
      <c r="A148" s="590" t="s">
        <v>191</v>
      </c>
      <c r="B148" s="658"/>
      <c r="C148" s="210"/>
      <c r="D148" s="541"/>
      <c r="E148" s="541"/>
      <c r="F148" s="541"/>
      <c r="G148" s="541"/>
      <c r="H148" s="606">
        <f>H$126+H134+G$126+F$126+B126+C126+D126+E126</f>
        <v>0</v>
      </c>
      <c r="I148" s="541"/>
      <c r="J148" s="541"/>
      <c r="K148" s="541"/>
      <c r="L148" s="541"/>
      <c r="M148" s="541"/>
      <c r="N148" s="541"/>
      <c r="O148" s="210"/>
      <c r="P148" s="541"/>
      <c r="Q148" s="541"/>
      <c r="R148" s="541"/>
      <c r="S148" s="541"/>
      <c r="T148" s="606">
        <f>T$126+T134+S$126+R$126+N126+O126+P126+Q126</f>
        <v>0</v>
      </c>
      <c r="U148" s="541"/>
      <c r="V148" s="541"/>
      <c r="W148" s="541"/>
      <c r="X148" s="541"/>
      <c r="Y148" s="541"/>
      <c r="Z148" s="541"/>
      <c r="AA148" s="210"/>
      <c r="AB148" s="541"/>
      <c r="AC148" s="541"/>
      <c r="AD148" s="541"/>
      <c r="AE148" s="541"/>
      <c r="AF148" s="606">
        <f>AF$126+AF134+AE$126+AD$126+Z126+AA126+AB126+AC126</f>
        <v>0</v>
      </c>
      <c r="AG148" s="541"/>
      <c r="AH148" s="541"/>
      <c r="AI148" s="541"/>
      <c r="AJ148" s="541"/>
      <c r="AK148" s="541"/>
      <c r="AL148" s="659"/>
    </row>
    <row r="149" spans="1:38" x14ac:dyDescent="0.2">
      <c r="A149" s="591" t="s">
        <v>192</v>
      </c>
      <c r="B149" s="52"/>
      <c r="C149" s="52"/>
      <c r="D149" s="541"/>
      <c r="E149" s="541"/>
      <c r="F149" s="541"/>
      <c r="G149" s="541"/>
      <c r="H149" s="541"/>
      <c r="I149" s="606">
        <f>I$126+I135+H$126+G$126+F126+E126+D126+C126+B126</f>
        <v>0</v>
      </c>
      <c r="J149" s="541"/>
      <c r="K149" s="541"/>
      <c r="L149" s="541"/>
      <c r="M149" s="541"/>
      <c r="N149" s="541"/>
      <c r="O149" s="52"/>
      <c r="P149" s="541"/>
      <c r="Q149" s="541"/>
      <c r="R149" s="541"/>
      <c r="S149" s="541"/>
      <c r="T149" s="541"/>
      <c r="U149" s="606">
        <f>U$126+U135+T$126+S$126+R126+Q126+P126+O126+N126</f>
        <v>0</v>
      </c>
      <c r="V149" s="541"/>
      <c r="W149" s="541"/>
      <c r="X149" s="541"/>
      <c r="Y149" s="541"/>
      <c r="Z149" s="541"/>
      <c r="AA149" s="52"/>
      <c r="AB149" s="541"/>
      <c r="AC149" s="541"/>
      <c r="AD149" s="541"/>
      <c r="AE149" s="541"/>
      <c r="AF149" s="541"/>
      <c r="AG149" s="606">
        <f>AG$126+AG135+AF$126+AE$126+AD126+AC126+AB126+AA126+Z126</f>
        <v>0</v>
      </c>
      <c r="AH149" s="541"/>
      <c r="AI149" s="541"/>
      <c r="AJ149" s="541"/>
      <c r="AK149" s="541"/>
      <c r="AL149" s="659"/>
    </row>
    <row r="150" spans="1:38" x14ac:dyDescent="0.2">
      <c r="A150" s="592" t="s">
        <v>193</v>
      </c>
      <c r="B150" s="658"/>
      <c r="C150" s="210"/>
      <c r="D150" s="541"/>
      <c r="E150" s="541"/>
      <c r="F150" s="541"/>
      <c r="G150" s="541"/>
      <c r="H150" s="541"/>
      <c r="I150" s="541"/>
      <c r="J150" s="606">
        <f>J$126+J136+I$126+H$126++G126+F126+E126+D126+C126+B126</f>
        <v>0</v>
      </c>
      <c r="K150" s="541"/>
      <c r="L150" s="541"/>
      <c r="M150" s="541"/>
      <c r="N150" s="541"/>
      <c r="O150" s="210"/>
      <c r="P150" s="541"/>
      <c r="Q150" s="541"/>
      <c r="R150" s="541"/>
      <c r="S150" s="541"/>
      <c r="T150" s="541"/>
      <c r="U150" s="541"/>
      <c r="V150" s="606">
        <f>V$126+V136+U$126+T$126++S126+R126+Q126+P126+O126+N126</f>
        <v>0</v>
      </c>
      <c r="W150" s="541"/>
      <c r="X150" s="541"/>
      <c r="Y150" s="541"/>
      <c r="Z150" s="541"/>
      <c r="AA150" s="210"/>
      <c r="AB150" s="541"/>
      <c r="AC150" s="541"/>
      <c r="AD150" s="541"/>
      <c r="AE150" s="541"/>
      <c r="AF150" s="541"/>
      <c r="AG150" s="541"/>
      <c r="AH150" s="606">
        <f>AH$126+AH136+AG$126+AF$126++AE126+AD126+AC126+AB126+AA126+Z126</f>
        <v>0</v>
      </c>
      <c r="AI150" s="541"/>
      <c r="AJ150" s="541"/>
      <c r="AK150" s="541"/>
      <c r="AL150" s="659"/>
    </row>
    <row r="151" spans="1:38" x14ac:dyDescent="0.2">
      <c r="A151" s="593" t="s">
        <v>194</v>
      </c>
      <c r="B151" s="52"/>
      <c r="C151" s="52"/>
      <c r="D151" s="541"/>
      <c r="E151" s="541"/>
      <c r="F151" s="541"/>
      <c r="G151" s="541"/>
      <c r="H151" s="541"/>
      <c r="I151" s="541"/>
      <c r="J151" s="541"/>
      <c r="K151" s="606">
        <f>K$126+K137+J$126+I$126++B126+C126+D126+E126+F126+G126+H126</f>
        <v>0</v>
      </c>
      <c r="L151" s="541"/>
      <c r="M151" s="541"/>
      <c r="N151" s="541"/>
      <c r="O151" s="52"/>
      <c r="P151" s="541"/>
      <c r="Q151" s="541"/>
      <c r="R151" s="541"/>
      <c r="S151" s="541"/>
      <c r="T151" s="541"/>
      <c r="U151" s="541"/>
      <c r="V151" s="541"/>
      <c r="W151" s="606">
        <f>W$126+W137+V$126+U$126++N126+O126+P126+Q126+R126+S126+T126</f>
        <v>0</v>
      </c>
      <c r="X151" s="541"/>
      <c r="Y151" s="541"/>
      <c r="Z151" s="541"/>
      <c r="AA151" s="52"/>
      <c r="AB151" s="541"/>
      <c r="AC151" s="541"/>
      <c r="AD151" s="541"/>
      <c r="AE151" s="541"/>
      <c r="AF151" s="541"/>
      <c r="AG151" s="541"/>
      <c r="AH151" s="541"/>
      <c r="AI151" s="606">
        <f>AI$126+AI137+AH$126+AG$126++Z126+AA126+AB126+AC126+AD126+AE126+AF126</f>
        <v>0</v>
      </c>
      <c r="AJ151" s="541"/>
      <c r="AK151" s="541"/>
      <c r="AL151" s="659"/>
    </row>
    <row r="152" spans="1:38" x14ac:dyDescent="0.2">
      <c r="A152" s="594" t="s">
        <v>195</v>
      </c>
      <c r="B152" s="658"/>
      <c r="C152" s="210"/>
      <c r="D152" s="541"/>
      <c r="E152" s="541"/>
      <c r="F152" s="541"/>
      <c r="G152" s="541"/>
      <c r="H152" s="541"/>
      <c r="I152" s="541"/>
      <c r="J152" s="541"/>
      <c r="K152" s="541"/>
      <c r="L152" s="606">
        <f>L$126+L138+K$126+J$126+I126+H126+G126+F126+E126+D126+C126+B126</f>
        <v>0</v>
      </c>
      <c r="M152" s="541"/>
      <c r="N152" s="541"/>
      <c r="O152" s="210"/>
      <c r="P152" s="541"/>
      <c r="Q152" s="541"/>
      <c r="R152" s="541"/>
      <c r="S152" s="541"/>
      <c r="T152" s="541"/>
      <c r="U152" s="541"/>
      <c r="V152" s="541"/>
      <c r="W152" s="541"/>
      <c r="X152" s="606">
        <f>X$126+X138+W$126+V$126+U126+T126+S126+R126+Q126+P126+O126+N126</f>
        <v>0</v>
      </c>
      <c r="Y152" s="541"/>
      <c r="Z152" s="541"/>
      <c r="AA152" s="210"/>
      <c r="AB152" s="541"/>
      <c r="AC152" s="541"/>
      <c r="AD152" s="541"/>
      <c r="AE152" s="541"/>
      <c r="AF152" s="541"/>
      <c r="AG152" s="541"/>
      <c r="AH152" s="541"/>
      <c r="AI152" s="541"/>
      <c r="AJ152" s="606">
        <f>AJ$126+AJ138+AI$126+AH$126+AG126+AF126+AE126+AD126+AC126+AB126+AA126+Z126</f>
        <v>0</v>
      </c>
      <c r="AK152" s="541"/>
      <c r="AL152" s="659"/>
    </row>
    <row r="153" spans="1:38" x14ac:dyDescent="0.2">
      <c r="A153" s="595" t="s">
        <v>196</v>
      </c>
      <c r="B153" s="52"/>
      <c r="C153" s="52"/>
      <c r="D153" s="541"/>
      <c r="E153" s="541"/>
      <c r="F153" s="541"/>
      <c r="G153" s="541"/>
      <c r="H153" s="541"/>
      <c r="I153" s="541"/>
      <c r="J153" s="541"/>
      <c r="K153" s="541"/>
      <c r="L153" s="541"/>
      <c r="M153" s="606">
        <f>M$126+M139+L$126+K$126+J126+I126+H126+G126+F126+E126+D126+C126+B126</f>
        <v>0</v>
      </c>
      <c r="N153" s="541"/>
      <c r="O153" s="52"/>
      <c r="P153" s="541"/>
      <c r="Q153" s="541"/>
      <c r="R153" s="541"/>
      <c r="S153" s="541"/>
      <c r="T153" s="541"/>
      <c r="U153" s="541"/>
      <c r="V153" s="541"/>
      <c r="W153" s="541"/>
      <c r="X153" s="541"/>
      <c r="Y153" s="606">
        <f>Y$126+Y139+X$126+W$126+V126+U126+T126+S126+R126+Q126+P126+O126+N126</f>
        <v>0</v>
      </c>
      <c r="Z153" s="541"/>
      <c r="AA153" s="52"/>
      <c r="AB153" s="541"/>
      <c r="AC153" s="541"/>
      <c r="AD153" s="541"/>
      <c r="AE153" s="541"/>
      <c r="AF153" s="541"/>
      <c r="AG153" s="541"/>
      <c r="AH153" s="541"/>
      <c r="AI153" s="541"/>
      <c r="AJ153" s="541"/>
      <c r="AK153" s="606">
        <f>AK$126+AK139+AJ$126+AI$126+AH126+AG126+AF126+AE126+AD126+AC126+AB126+AA126+Z126</f>
        <v>0</v>
      </c>
      <c r="AL153" s="659"/>
    </row>
    <row r="154" spans="1:38" ht="13.5" thickBot="1" x14ac:dyDescent="0.25">
      <c r="A154" s="596" t="s">
        <v>197</v>
      </c>
      <c r="B154" s="660"/>
      <c r="C154" s="213"/>
      <c r="D154" s="598"/>
      <c r="E154" s="598"/>
      <c r="F154" s="598"/>
      <c r="G154" s="598"/>
      <c r="H154" s="598"/>
      <c r="I154" s="598"/>
      <c r="J154" s="598"/>
      <c r="K154" s="598"/>
      <c r="L154" s="598"/>
      <c r="M154" s="598"/>
      <c r="N154" s="661">
        <f>N$126+N140+M$126+L$126+K126+J126+I126+H126+G126+F126+E126+D126+C126+B126</f>
        <v>0</v>
      </c>
      <c r="O154" s="213"/>
      <c r="P154" s="598"/>
      <c r="Q154" s="598"/>
      <c r="R154" s="598"/>
      <c r="S154" s="598"/>
      <c r="T154" s="598"/>
      <c r="U154" s="598"/>
      <c r="V154" s="598"/>
      <c r="W154" s="598"/>
      <c r="X154" s="598"/>
      <c r="Y154" s="598"/>
      <c r="Z154" s="661">
        <f>Z$126+Z140+Y$126+X$126+W126+V126+U126+T126+S126+R126+Q126+P126+O126</f>
        <v>0</v>
      </c>
      <c r="AA154" s="213"/>
      <c r="AB154" s="598"/>
      <c r="AC154" s="598"/>
      <c r="AD154" s="598"/>
      <c r="AE154" s="598"/>
      <c r="AF154" s="598"/>
      <c r="AG154" s="598"/>
      <c r="AH154" s="598"/>
      <c r="AI154" s="598"/>
      <c r="AJ154" s="598"/>
      <c r="AK154" s="598"/>
      <c r="AL154" s="662">
        <f>AL$126+AL140+AK$126+AJ$126+AI126+AH126+AG126+AF126+AE126+AD126+AC126+AB126+AA126</f>
        <v>0</v>
      </c>
    </row>
    <row r="155" spans="1:38" x14ac:dyDescent="0.2">
      <c r="A155" s="582" t="s">
        <v>206</v>
      </c>
      <c r="B155" s="583">
        <f>L16</f>
        <v>0</v>
      </c>
      <c r="C155" s="607">
        <f>B155-B156</f>
        <v>0</v>
      </c>
      <c r="D155" s="607">
        <f>C155-C156</f>
        <v>0</v>
      </c>
      <c r="E155" s="607">
        <f t="shared" ref="E155:AL155" si="19">D155-D156</f>
        <v>0</v>
      </c>
      <c r="F155" s="607">
        <f t="shared" si="19"/>
        <v>0</v>
      </c>
      <c r="G155" s="607">
        <f t="shared" si="19"/>
        <v>0</v>
      </c>
      <c r="H155" s="607">
        <f t="shared" si="19"/>
        <v>0</v>
      </c>
      <c r="I155" s="607">
        <f t="shared" si="19"/>
        <v>0</v>
      </c>
      <c r="J155" s="607">
        <f t="shared" si="19"/>
        <v>0</v>
      </c>
      <c r="K155" s="607">
        <f t="shared" si="19"/>
        <v>0</v>
      </c>
      <c r="L155" s="607">
        <f t="shared" si="19"/>
        <v>0</v>
      </c>
      <c r="M155" s="607">
        <f t="shared" si="19"/>
        <v>0</v>
      </c>
      <c r="N155" s="607">
        <f t="shared" si="19"/>
        <v>0</v>
      </c>
      <c r="O155" s="607">
        <f t="shared" si="19"/>
        <v>0</v>
      </c>
      <c r="P155" s="607">
        <f t="shared" si="19"/>
        <v>0</v>
      </c>
      <c r="Q155" s="607">
        <f t="shared" si="19"/>
        <v>0</v>
      </c>
      <c r="R155" s="607">
        <f t="shared" si="19"/>
        <v>0</v>
      </c>
      <c r="S155" s="607">
        <f t="shared" si="19"/>
        <v>0</v>
      </c>
      <c r="T155" s="607">
        <f t="shared" si="19"/>
        <v>0</v>
      </c>
      <c r="U155" s="607">
        <f t="shared" si="19"/>
        <v>0</v>
      </c>
      <c r="V155" s="607">
        <f t="shared" si="19"/>
        <v>0</v>
      </c>
      <c r="W155" s="607">
        <f t="shared" si="19"/>
        <v>0</v>
      </c>
      <c r="X155" s="607">
        <f t="shared" si="19"/>
        <v>0</v>
      </c>
      <c r="Y155" s="607">
        <f t="shared" si="19"/>
        <v>0</v>
      </c>
      <c r="Z155" s="607">
        <f t="shared" si="19"/>
        <v>0</v>
      </c>
      <c r="AA155" s="607">
        <f t="shared" si="19"/>
        <v>0</v>
      </c>
      <c r="AB155" s="607">
        <f t="shared" si="19"/>
        <v>0</v>
      </c>
      <c r="AC155" s="607">
        <f t="shared" si="19"/>
        <v>0</v>
      </c>
      <c r="AD155" s="607">
        <f t="shared" si="19"/>
        <v>0</v>
      </c>
      <c r="AE155" s="607">
        <f t="shared" si="19"/>
        <v>0</v>
      </c>
      <c r="AF155" s="607">
        <f t="shared" si="19"/>
        <v>0</v>
      </c>
      <c r="AG155" s="607">
        <f t="shared" si="19"/>
        <v>0</v>
      </c>
      <c r="AH155" s="607">
        <f t="shared" si="19"/>
        <v>0</v>
      </c>
      <c r="AI155" s="607">
        <f t="shared" si="19"/>
        <v>0</v>
      </c>
      <c r="AJ155" s="607">
        <f t="shared" si="19"/>
        <v>0</v>
      </c>
      <c r="AK155" s="607">
        <f t="shared" si="19"/>
        <v>0</v>
      </c>
      <c r="AL155" s="608">
        <f t="shared" si="19"/>
        <v>0</v>
      </c>
    </row>
    <row r="156" spans="1:38" x14ac:dyDescent="0.2">
      <c r="A156" s="584" t="s">
        <v>184</v>
      </c>
      <c r="B156" s="542">
        <f>K23</f>
        <v>0</v>
      </c>
      <c r="C156" s="543">
        <f>L23/3</f>
        <v>0</v>
      </c>
      <c r="D156" s="668">
        <f>C156</f>
        <v>0</v>
      </c>
      <c r="E156" s="668">
        <f>D156</f>
        <v>0</v>
      </c>
      <c r="F156" s="543">
        <f>M23/3</f>
        <v>0</v>
      </c>
      <c r="G156" s="668">
        <f>F156</f>
        <v>0</v>
      </c>
      <c r="H156" s="668">
        <f>G156</f>
        <v>0</v>
      </c>
      <c r="I156" s="543">
        <f>N23/3</f>
        <v>0</v>
      </c>
      <c r="J156" s="668">
        <f>I156</f>
        <v>0</v>
      </c>
      <c r="K156" s="668">
        <f>J156</f>
        <v>0</v>
      </c>
      <c r="L156" s="543">
        <f>O23/3</f>
        <v>0</v>
      </c>
      <c r="M156" s="668">
        <f>L156</f>
        <v>0</v>
      </c>
      <c r="N156" s="668">
        <f>M156</f>
        <v>0</v>
      </c>
      <c r="O156" s="543">
        <f>P23/3</f>
        <v>0</v>
      </c>
      <c r="P156" s="668">
        <f>O156</f>
        <v>0</v>
      </c>
      <c r="Q156" s="668">
        <f>P156</f>
        <v>0</v>
      </c>
      <c r="R156" s="543">
        <f>Q23/3</f>
        <v>0</v>
      </c>
      <c r="S156" s="668">
        <f>R156</f>
        <v>0</v>
      </c>
      <c r="T156" s="668">
        <f>S156</f>
        <v>0</v>
      </c>
      <c r="U156" s="543">
        <f>R23/3</f>
        <v>0</v>
      </c>
      <c r="V156" s="668">
        <f>U156</f>
        <v>0</v>
      </c>
      <c r="W156" s="668">
        <f>V156</f>
        <v>0</v>
      </c>
      <c r="X156" s="543">
        <f>S23/3</f>
        <v>0</v>
      </c>
      <c r="Y156" s="668">
        <f>X156</f>
        <v>0</v>
      </c>
      <c r="Z156" s="668">
        <f>Y156</f>
        <v>0</v>
      </c>
      <c r="AA156" s="543">
        <f>T23/3</f>
        <v>0</v>
      </c>
      <c r="AB156" s="668">
        <f>AA156</f>
        <v>0</v>
      </c>
      <c r="AC156" s="668">
        <f>AB156</f>
        <v>0</v>
      </c>
      <c r="AD156" s="543">
        <f>U23/3</f>
        <v>0</v>
      </c>
      <c r="AE156" s="668">
        <f>AD156</f>
        <v>0</v>
      </c>
      <c r="AF156" s="668">
        <f>AE156</f>
        <v>0</v>
      </c>
      <c r="AG156" s="543">
        <f>V23/3</f>
        <v>0</v>
      </c>
      <c r="AH156" s="668">
        <f>AG156</f>
        <v>0</v>
      </c>
      <c r="AI156" s="668">
        <f>AH156</f>
        <v>0</v>
      </c>
      <c r="AJ156" s="543">
        <f>W23/3</f>
        <v>0</v>
      </c>
      <c r="AK156" s="668">
        <f>AJ156</f>
        <v>0</v>
      </c>
      <c r="AL156" s="669">
        <f>AK156</f>
        <v>0</v>
      </c>
    </row>
    <row r="157" spans="1:38" x14ac:dyDescent="0.2">
      <c r="A157" s="584" t="s">
        <v>185</v>
      </c>
      <c r="B157" s="542">
        <f>K22</f>
        <v>0</v>
      </c>
      <c r="C157" s="603">
        <f>L21</f>
        <v>0</v>
      </c>
      <c r="D157" s="604">
        <f>C157</f>
        <v>0</v>
      </c>
      <c r="E157" s="604">
        <f>D157</f>
        <v>0</v>
      </c>
      <c r="F157" s="604">
        <f>M21</f>
        <v>0</v>
      </c>
      <c r="G157" s="604">
        <f>F157</f>
        <v>0</v>
      </c>
      <c r="H157" s="604">
        <f>G157</f>
        <v>0</v>
      </c>
      <c r="I157" s="604">
        <f>N21</f>
        <v>0</v>
      </c>
      <c r="J157" s="604">
        <f>I157</f>
        <v>0</v>
      </c>
      <c r="K157" s="604">
        <f>J157</f>
        <v>0</v>
      </c>
      <c r="L157" s="605">
        <f>O21</f>
        <v>0</v>
      </c>
      <c r="M157" s="604">
        <f>L157</f>
        <v>0</v>
      </c>
      <c r="N157" s="604">
        <f>M157</f>
        <v>0</v>
      </c>
      <c r="O157" s="543">
        <f>P21</f>
        <v>0</v>
      </c>
      <c r="P157" s="604">
        <f>O157</f>
        <v>0</v>
      </c>
      <c r="Q157" s="604">
        <f>P157</f>
        <v>0</v>
      </c>
      <c r="R157" s="543">
        <f>Q21</f>
        <v>0</v>
      </c>
      <c r="S157" s="604">
        <f>R157</f>
        <v>0</v>
      </c>
      <c r="T157" s="604">
        <f>S157</f>
        <v>0</v>
      </c>
      <c r="U157" s="543">
        <f>R21</f>
        <v>0</v>
      </c>
      <c r="V157" s="604">
        <f>U157</f>
        <v>0</v>
      </c>
      <c r="W157" s="604">
        <f>V157</f>
        <v>0</v>
      </c>
      <c r="X157" s="543">
        <f>S21</f>
        <v>0</v>
      </c>
      <c r="Y157" s="604">
        <f>X157</f>
        <v>0</v>
      </c>
      <c r="Z157" s="604">
        <f>Y157</f>
        <v>0</v>
      </c>
      <c r="AA157" s="543">
        <f>T21</f>
        <v>0</v>
      </c>
      <c r="AB157" s="604">
        <f>AA157</f>
        <v>0</v>
      </c>
      <c r="AC157" s="604">
        <f>AB157</f>
        <v>0</v>
      </c>
      <c r="AD157" s="543">
        <f>U21</f>
        <v>0</v>
      </c>
      <c r="AE157" s="604">
        <f>AD157</f>
        <v>0</v>
      </c>
      <c r="AF157" s="604">
        <f>AE157</f>
        <v>0</v>
      </c>
      <c r="AG157" s="543">
        <f>V21</f>
        <v>0</v>
      </c>
      <c r="AH157" s="604">
        <f>AG157</f>
        <v>0</v>
      </c>
      <c r="AI157" s="604">
        <f>AH157</f>
        <v>0</v>
      </c>
      <c r="AJ157" s="543">
        <f>W21</f>
        <v>0</v>
      </c>
      <c r="AK157" s="604">
        <f>AJ157</f>
        <v>0</v>
      </c>
      <c r="AL157" s="670">
        <f>AK157</f>
        <v>0</v>
      </c>
    </row>
    <row r="158" spans="1:38" x14ac:dyDescent="0.2">
      <c r="A158" s="585" t="s">
        <v>187</v>
      </c>
      <c r="B158" s="549">
        <f>K22</f>
        <v>0</v>
      </c>
      <c r="L158" s="211"/>
      <c r="M158" s="211"/>
      <c r="N158" s="550">
        <f>SUM(C157:N157)</f>
        <v>0</v>
      </c>
      <c r="O158" s="211"/>
      <c r="P158" s="99"/>
      <c r="Z158" s="550">
        <f>SUM(O157:Z157)</f>
        <v>0</v>
      </c>
      <c r="AL158" s="158" t="s">
        <v>0</v>
      </c>
    </row>
    <row r="159" spans="1:38" x14ac:dyDescent="0.2">
      <c r="A159" s="586" t="s">
        <v>188</v>
      </c>
      <c r="B159" s="70"/>
      <c r="C159" s="551">
        <f>$L$21*C$70</f>
        <v>0</v>
      </c>
      <c r="D159" s="211"/>
      <c r="E159" s="211"/>
      <c r="F159" s="211"/>
      <c r="G159" s="211"/>
      <c r="H159" s="211"/>
      <c r="I159" s="211"/>
      <c r="J159" s="211"/>
      <c r="K159" s="211"/>
      <c r="L159" s="211"/>
      <c r="M159" s="211"/>
      <c r="O159" s="552">
        <f>SUM(D157:O157)</f>
        <v>0</v>
      </c>
      <c r="P159" s="99"/>
      <c r="AA159" s="552">
        <f>SUM(P157:AA157)</f>
        <v>0</v>
      </c>
      <c r="AB159" s="99"/>
      <c r="AL159" s="158"/>
    </row>
    <row r="160" spans="1:38" x14ac:dyDescent="0.2">
      <c r="A160" s="587" t="s">
        <v>199</v>
      </c>
      <c r="B160" s="52"/>
      <c r="C160" s="52"/>
      <c r="D160" s="553">
        <f>$L$21*D$70</f>
        <v>0</v>
      </c>
      <c r="E160" s="541"/>
      <c r="F160" s="541"/>
      <c r="G160" s="541"/>
      <c r="H160" s="541"/>
      <c r="I160" s="541"/>
      <c r="J160" s="541"/>
      <c r="K160" s="541"/>
      <c r="L160" s="541"/>
      <c r="M160" s="541"/>
      <c r="N160" s="541"/>
      <c r="O160" s="211"/>
      <c r="P160" s="554">
        <f>SUM(E157:P157)</f>
        <v>0</v>
      </c>
      <c r="AA160" s="211"/>
      <c r="AB160" s="554">
        <f>SUM(Q157:AB157)</f>
        <v>0</v>
      </c>
      <c r="AL160" s="158"/>
    </row>
    <row r="161" spans="1:38" x14ac:dyDescent="0.2">
      <c r="A161" s="632" t="s">
        <v>198</v>
      </c>
      <c r="B161" s="70"/>
      <c r="C161" s="210"/>
      <c r="D161" s="541"/>
      <c r="E161" s="556">
        <f>$L$21*E$70</f>
        <v>0</v>
      </c>
      <c r="F161" s="541"/>
      <c r="G161" s="541"/>
      <c r="H161" s="541"/>
      <c r="I161" s="541"/>
      <c r="J161" s="541"/>
      <c r="K161" s="541"/>
      <c r="L161" s="541"/>
      <c r="M161" s="541"/>
      <c r="N161" s="541"/>
      <c r="O161" s="211"/>
      <c r="P161" s="99"/>
      <c r="Q161" s="555">
        <f>SUM(F157:Q157)</f>
        <v>0</v>
      </c>
      <c r="AA161" s="211"/>
      <c r="AB161" s="99"/>
      <c r="AC161" s="555">
        <f>SUM(R157:AC157)</f>
        <v>0</v>
      </c>
      <c r="AL161" s="158"/>
    </row>
    <row r="162" spans="1:38" x14ac:dyDescent="0.2">
      <c r="A162" s="588" t="s">
        <v>189</v>
      </c>
      <c r="B162" s="70"/>
      <c r="C162" s="210"/>
      <c r="D162" s="541"/>
      <c r="E162" s="541"/>
      <c r="F162" s="557">
        <f>F$70*$M$21</f>
        <v>0</v>
      </c>
      <c r="G162" s="541"/>
      <c r="H162" s="541"/>
      <c r="I162" s="541"/>
      <c r="J162" s="541"/>
      <c r="K162" s="541"/>
      <c r="L162" s="541"/>
      <c r="M162" s="541"/>
      <c r="N162" s="541"/>
      <c r="O162" s="211"/>
      <c r="P162" s="99"/>
      <c r="R162" s="558">
        <f>SUM(G157:R157)</f>
        <v>0</v>
      </c>
      <c r="AA162" s="211"/>
      <c r="AB162" s="99"/>
      <c r="AD162" s="558">
        <f>SUM(S157:AD157)</f>
        <v>0</v>
      </c>
      <c r="AL162" s="158"/>
    </row>
    <row r="163" spans="1:38" x14ac:dyDescent="0.2">
      <c r="A163" s="589" t="s">
        <v>190</v>
      </c>
      <c r="B163" s="52"/>
      <c r="C163" s="52"/>
      <c r="D163" s="541"/>
      <c r="E163" s="541"/>
      <c r="F163" s="541"/>
      <c r="G163" s="560">
        <f>G$70*$M$21</f>
        <v>0</v>
      </c>
      <c r="H163" s="541"/>
      <c r="I163" s="541"/>
      <c r="J163" s="541"/>
      <c r="K163" s="541"/>
      <c r="L163" s="541"/>
      <c r="M163" s="541"/>
      <c r="N163" s="541"/>
      <c r="O163" s="211"/>
      <c r="P163" s="99"/>
      <c r="S163" s="559">
        <f>SUM(H157:S157)</f>
        <v>0</v>
      </c>
      <c r="AA163" s="211"/>
      <c r="AB163" s="99"/>
      <c r="AE163" s="559">
        <f>SUM(T157:AE157)</f>
        <v>0</v>
      </c>
      <c r="AL163" s="158"/>
    </row>
    <row r="164" spans="1:38" x14ac:dyDescent="0.2">
      <c r="A164" s="590" t="s">
        <v>191</v>
      </c>
      <c r="B164" s="70"/>
      <c r="C164" s="210"/>
      <c r="D164" s="541"/>
      <c r="E164" s="541"/>
      <c r="F164" s="541"/>
      <c r="G164" s="541"/>
      <c r="H164" s="561">
        <f>H$70*$M$21</f>
        <v>0</v>
      </c>
      <c r="I164" s="541"/>
      <c r="J164" s="541"/>
      <c r="K164" s="541"/>
      <c r="L164" s="541"/>
      <c r="M164" s="541"/>
      <c r="N164" s="541"/>
      <c r="O164" s="211"/>
      <c r="P164" s="99"/>
      <c r="T164" s="562">
        <f>SUM(I157:T157)</f>
        <v>0</v>
      </c>
      <c r="AA164" s="211"/>
      <c r="AB164" s="99"/>
      <c r="AF164" s="562">
        <f>SUM(U157:AF157)</f>
        <v>0</v>
      </c>
      <c r="AL164" s="158"/>
    </row>
    <row r="165" spans="1:38" x14ac:dyDescent="0.2">
      <c r="A165" s="591" t="s">
        <v>192</v>
      </c>
      <c r="B165" s="52"/>
      <c r="C165" s="52"/>
      <c r="D165" s="541"/>
      <c r="E165" s="541"/>
      <c r="F165" s="541"/>
      <c r="G165" s="541"/>
      <c r="H165" s="541"/>
      <c r="I165" s="567">
        <f>I$70*$N$21</f>
        <v>0</v>
      </c>
      <c r="J165" s="541"/>
      <c r="K165" s="541"/>
      <c r="L165" s="541"/>
      <c r="M165" s="541"/>
      <c r="N165" s="541"/>
      <c r="O165" s="211"/>
      <c r="P165" s="99"/>
      <c r="U165" s="563">
        <f>SUM(J157:U157)</f>
        <v>0</v>
      </c>
      <c r="AA165" s="211"/>
      <c r="AB165" s="99"/>
      <c r="AG165" s="563">
        <f>SUM(V157:AG157)</f>
        <v>0</v>
      </c>
      <c r="AL165" s="158"/>
    </row>
    <row r="166" spans="1:38" x14ac:dyDescent="0.2">
      <c r="A166" s="592" t="s">
        <v>193</v>
      </c>
      <c r="B166" s="70"/>
      <c r="C166" s="210"/>
      <c r="D166" s="541"/>
      <c r="E166" s="541"/>
      <c r="F166" s="541"/>
      <c r="G166" s="541"/>
      <c r="H166" s="541"/>
      <c r="I166" s="541"/>
      <c r="J166" s="568">
        <f>J$70*$N$21</f>
        <v>0</v>
      </c>
      <c r="K166" s="541"/>
      <c r="L166" s="541"/>
      <c r="M166" s="541"/>
      <c r="N166" s="541"/>
      <c r="O166" s="211"/>
      <c r="P166" s="99"/>
      <c r="V166" s="564">
        <f>SUM(K157:V157)</f>
        <v>0</v>
      </c>
      <c r="AA166" s="211"/>
      <c r="AB166" s="99"/>
      <c r="AH166" s="564">
        <f>SUM(W157:AH157)</f>
        <v>0</v>
      </c>
      <c r="AL166" s="158"/>
    </row>
    <row r="167" spans="1:38" x14ac:dyDescent="0.2">
      <c r="A167" s="593" t="s">
        <v>194</v>
      </c>
      <c r="B167" s="52"/>
      <c r="C167" s="52"/>
      <c r="D167" s="541"/>
      <c r="E167" s="541"/>
      <c r="F167" s="541"/>
      <c r="G167" s="541"/>
      <c r="H167" s="541"/>
      <c r="I167" s="541"/>
      <c r="J167" s="541"/>
      <c r="K167" s="569">
        <f>K$70*$N$21</f>
        <v>0</v>
      </c>
      <c r="L167" s="541"/>
      <c r="M167" s="541"/>
      <c r="N167" s="541"/>
      <c r="O167" s="211"/>
      <c r="P167" s="99"/>
      <c r="W167" s="565">
        <f>SUM(L157:W157)</f>
        <v>0</v>
      </c>
      <c r="AA167" s="211"/>
      <c r="AB167" s="99"/>
      <c r="AI167" s="565">
        <f>SUM(X157:AI157)</f>
        <v>0</v>
      </c>
      <c r="AL167" s="158"/>
    </row>
    <row r="168" spans="1:38" x14ac:dyDescent="0.2">
      <c r="A168" s="594" t="s">
        <v>195</v>
      </c>
      <c r="B168" s="70"/>
      <c r="C168" s="210"/>
      <c r="D168" s="541"/>
      <c r="E168" s="541"/>
      <c r="F168" s="541"/>
      <c r="G168" s="541"/>
      <c r="H168" s="541"/>
      <c r="I168" s="541"/>
      <c r="J168" s="541"/>
      <c r="K168" s="541"/>
      <c r="L168" s="570">
        <f>L$70*$O$21</f>
        <v>0</v>
      </c>
      <c r="M168" s="541"/>
      <c r="N168" s="541"/>
      <c r="O168" s="211"/>
      <c r="P168" s="99"/>
      <c r="X168" s="566">
        <f>SUM(M157:X157)</f>
        <v>0</v>
      </c>
      <c r="AA168" s="211"/>
      <c r="AB168" s="99"/>
      <c r="AJ168" s="566">
        <f>SUM(Y157:AJ157)</f>
        <v>0</v>
      </c>
      <c r="AL168" s="158"/>
    </row>
    <row r="169" spans="1:38" x14ac:dyDescent="0.2">
      <c r="A169" s="595" t="s">
        <v>196</v>
      </c>
      <c r="B169" s="52"/>
      <c r="C169" s="52"/>
      <c r="D169" s="541"/>
      <c r="E169" s="541"/>
      <c r="F169" s="541"/>
      <c r="G169" s="541"/>
      <c r="H169" s="541"/>
      <c r="I169" s="541"/>
      <c r="J169" s="541"/>
      <c r="K169" s="541"/>
      <c r="L169" s="541"/>
      <c r="M169" s="572">
        <f>M$70*$O$21</f>
        <v>0</v>
      </c>
      <c r="N169" s="541"/>
      <c r="O169" s="211"/>
      <c r="P169" s="99"/>
      <c r="Y169" s="571">
        <f>SUM(N157:Y157)</f>
        <v>0</v>
      </c>
      <c r="AA169" s="211"/>
      <c r="AB169" s="99"/>
      <c r="AK169" s="571">
        <f>SUM(Z157:AK157)</f>
        <v>0</v>
      </c>
      <c r="AL169" s="158"/>
    </row>
    <row r="170" spans="1:38" x14ac:dyDescent="0.2">
      <c r="A170" s="671" t="s">
        <v>197</v>
      </c>
      <c r="B170" s="70"/>
      <c r="C170" s="210"/>
      <c r="D170" s="541"/>
      <c r="E170" s="541"/>
      <c r="F170" s="541"/>
      <c r="G170" s="541"/>
      <c r="H170" s="541"/>
      <c r="I170" s="541"/>
      <c r="J170" s="541"/>
      <c r="K170" s="541"/>
      <c r="L170" s="541"/>
      <c r="M170" s="541"/>
      <c r="N170" s="573">
        <f>N$70*$O$21</f>
        <v>0</v>
      </c>
      <c r="O170" s="211"/>
      <c r="P170" s="99"/>
      <c r="Z170" s="574">
        <f>SUM(O157:Z157)</f>
        <v>0</v>
      </c>
      <c r="AA170" s="211"/>
      <c r="AB170" s="99"/>
      <c r="AL170" s="672">
        <f>SUM(AA157:AL157)</f>
        <v>0</v>
      </c>
    </row>
    <row r="171" spans="1:38" ht="13.5" thickBot="1" x14ac:dyDescent="0.25">
      <c r="A171" s="241"/>
      <c r="B171" s="222"/>
      <c r="C171" s="233"/>
      <c r="D171" s="7"/>
      <c r="E171" s="7"/>
      <c r="F171" s="7"/>
      <c r="G171" s="7"/>
      <c r="H171" s="7"/>
      <c r="I171" s="7"/>
      <c r="J171" s="7"/>
      <c r="K171" s="7"/>
      <c r="L171" s="7"/>
      <c r="M171" s="7"/>
      <c r="N171" s="7"/>
      <c r="O171" s="7"/>
      <c r="P171" s="7"/>
      <c r="AL171" s="158"/>
    </row>
    <row r="172" spans="1:38" x14ac:dyDescent="0.2">
      <c r="A172" s="663" t="s">
        <v>234</v>
      </c>
      <c r="B172" s="653"/>
      <c r="C172" s="654"/>
      <c r="D172" s="655"/>
      <c r="E172" s="655"/>
      <c r="F172" s="655"/>
      <c r="G172" s="655"/>
      <c r="H172" s="655"/>
      <c r="I172" s="655"/>
      <c r="J172" s="655"/>
      <c r="K172" s="655"/>
      <c r="L172" s="655"/>
      <c r="M172" s="655"/>
      <c r="N172" s="655"/>
      <c r="O172" s="655"/>
      <c r="P172" s="655"/>
      <c r="Q172" s="656"/>
      <c r="R172" s="656"/>
      <c r="S172" s="656"/>
      <c r="T172" s="656"/>
      <c r="U172" s="656"/>
      <c r="V172" s="656"/>
      <c r="W172" s="656"/>
      <c r="X172" s="656"/>
      <c r="Y172" s="656"/>
      <c r="Z172" s="656"/>
      <c r="AA172" s="656"/>
      <c r="AB172" s="656"/>
      <c r="AC172" s="656"/>
      <c r="AD172" s="656"/>
      <c r="AE172" s="656"/>
      <c r="AF172" s="656"/>
      <c r="AG172" s="656"/>
      <c r="AH172" s="656"/>
      <c r="AI172" s="656"/>
      <c r="AJ172" s="656"/>
      <c r="AK172" s="656"/>
      <c r="AL172" s="664"/>
    </row>
    <row r="173" spans="1:38" x14ac:dyDescent="0.2">
      <c r="A173" s="665" t="s">
        <v>204</v>
      </c>
      <c r="B173" s="542">
        <f>B71+B89+B107</f>
        <v>0</v>
      </c>
      <c r="C173" s="542">
        <f t="shared" ref="C173:AL173" si="20">C71+C89+C107</f>
        <v>0</v>
      </c>
      <c r="D173" s="542">
        <f t="shared" si="20"/>
        <v>0</v>
      </c>
      <c r="E173" s="542">
        <f t="shared" si="20"/>
        <v>0</v>
      </c>
      <c r="F173" s="542">
        <f t="shared" si="20"/>
        <v>0</v>
      </c>
      <c r="G173" s="542">
        <f t="shared" si="20"/>
        <v>0</v>
      </c>
      <c r="H173" s="542">
        <f t="shared" si="20"/>
        <v>0</v>
      </c>
      <c r="I173" s="542">
        <f t="shared" si="20"/>
        <v>0</v>
      </c>
      <c r="J173" s="542">
        <f t="shared" si="20"/>
        <v>0</v>
      </c>
      <c r="K173" s="542">
        <f t="shared" si="20"/>
        <v>0</v>
      </c>
      <c r="L173" s="542">
        <f t="shared" si="20"/>
        <v>0</v>
      </c>
      <c r="M173" s="542">
        <f t="shared" si="20"/>
        <v>0</v>
      </c>
      <c r="N173" s="542">
        <f t="shared" si="20"/>
        <v>0</v>
      </c>
      <c r="O173" s="542">
        <f t="shared" si="20"/>
        <v>0</v>
      </c>
      <c r="P173" s="542">
        <f t="shared" si="20"/>
        <v>0</v>
      </c>
      <c r="Q173" s="542">
        <f t="shared" si="20"/>
        <v>0</v>
      </c>
      <c r="R173" s="542">
        <f t="shared" si="20"/>
        <v>0</v>
      </c>
      <c r="S173" s="542">
        <f t="shared" si="20"/>
        <v>0</v>
      </c>
      <c r="T173" s="542">
        <f t="shared" si="20"/>
        <v>0</v>
      </c>
      <c r="U173" s="542">
        <f t="shared" si="20"/>
        <v>0</v>
      </c>
      <c r="V173" s="542">
        <f t="shared" si="20"/>
        <v>0</v>
      </c>
      <c r="W173" s="542">
        <f t="shared" si="20"/>
        <v>0</v>
      </c>
      <c r="X173" s="542">
        <f t="shared" si="20"/>
        <v>0</v>
      </c>
      <c r="Y173" s="542">
        <f t="shared" si="20"/>
        <v>0</v>
      </c>
      <c r="Z173" s="542">
        <f t="shared" si="20"/>
        <v>0</v>
      </c>
      <c r="AA173" s="542">
        <f t="shared" si="20"/>
        <v>0</v>
      </c>
      <c r="AB173" s="542">
        <f t="shared" si="20"/>
        <v>0</v>
      </c>
      <c r="AC173" s="542">
        <f t="shared" si="20"/>
        <v>0</v>
      </c>
      <c r="AD173" s="542">
        <f t="shared" si="20"/>
        <v>0</v>
      </c>
      <c r="AE173" s="542">
        <f t="shared" si="20"/>
        <v>0</v>
      </c>
      <c r="AF173" s="542">
        <f t="shared" si="20"/>
        <v>0</v>
      </c>
      <c r="AG173" s="542">
        <f t="shared" si="20"/>
        <v>0</v>
      </c>
      <c r="AH173" s="542">
        <f t="shared" si="20"/>
        <v>0</v>
      </c>
      <c r="AI173" s="542">
        <f t="shared" si="20"/>
        <v>0</v>
      </c>
      <c r="AJ173" s="542">
        <f t="shared" si="20"/>
        <v>0</v>
      </c>
      <c r="AK173" s="542">
        <f t="shared" si="20"/>
        <v>0</v>
      </c>
      <c r="AL173" s="666">
        <f t="shared" si="20"/>
        <v>0</v>
      </c>
    </row>
    <row r="174" spans="1:38" x14ac:dyDescent="0.2">
      <c r="A174" s="584" t="s">
        <v>205</v>
      </c>
      <c r="B174" s="542">
        <f t="shared" ref="B174:AL174" si="21">B72+B90+B108+B156</f>
        <v>0</v>
      </c>
      <c r="C174" s="542">
        <f t="shared" si="21"/>
        <v>0</v>
      </c>
      <c r="D174" s="542">
        <f t="shared" si="21"/>
        <v>0</v>
      </c>
      <c r="E174" s="542">
        <f t="shared" si="21"/>
        <v>0</v>
      </c>
      <c r="F174" s="542">
        <f t="shared" si="21"/>
        <v>0</v>
      </c>
      <c r="G174" s="542">
        <f t="shared" si="21"/>
        <v>0</v>
      </c>
      <c r="H174" s="542">
        <f t="shared" si="21"/>
        <v>0</v>
      </c>
      <c r="I174" s="542">
        <f t="shared" si="21"/>
        <v>0</v>
      </c>
      <c r="J174" s="542">
        <f t="shared" si="21"/>
        <v>0</v>
      </c>
      <c r="K174" s="542">
        <f t="shared" si="21"/>
        <v>0</v>
      </c>
      <c r="L174" s="542">
        <f t="shared" si="21"/>
        <v>0</v>
      </c>
      <c r="M174" s="542">
        <f t="shared" si="21"/>
        <v>0</v>
      </c>
      <c r="N174" s="542">
        <f>N72+N90+N108+N156</f>
        <v>0</v>
      </c>
      <c r="O174" s="542">
        <f t="shared" si="21"/>
        <v>0</v>
      </c>
      <c r="P174" s="542">
        <f t="shared" si="21"/>
        <v>0</v>
      </c>
      <c r="Q174" s="542">
        <f t="shared" si="21"/>
        <v>0</v>
      </c>
      <c r="R174" s="542">
        <f t="shared" si="21"/>
        <v>0</v>
      </c>
      <c r="S174" s="542">
        <f t="shared" si="21"/>
        <v>0</v>
      </c>
      <c r="T174" s="542">
        <f t="shared" si="21"/>
        <v>0</v>
      </c>
      <c r="U174" s="542">
        <f t="shared" si="21"/>
        <v>0</v>
      </c>
      <c r="V174" s="542">
        <f t="shared" si="21"/>
        <v>0</v>
      </c>
      <c r="W174" s="542">
        <f t="shared" si="21"/>
        <v>0</v>
      </c>
      <c r="X174" s="542">
        <f t="shared" si="21"/>
        <v>0</v>
      </c>
      <c r="Y174" s="542">
        <f t="shared" si="21"/>
        <v>0</v>
      </c>
      <c r="Z174" s="542">
        <f t="shared" si="21"/>
        <v>0</v>
      </c>
      <c r="AA174" s="542">
        <f t="shared" si="21"/>
        <v>0</v>
      </c>
      <c r="AB174" s="542">
        <f t="shared" si="21"/>
        <v>0</v>
      </c>
      <c r="AC174" s="542">
        <f t="shared" si="21"/>
        <v>0</v>
      </c>
      <c r="AD174" s="542">
        <f t="shared" si="21"/>
        <v>0</v>
      </c>
      <c r="AE174" s="542">
        <f t="shared" si="21"/>
        <v>0</v>
      </c>
      <c r="AF174" s="542">
        <f t="shared" si="21"/>
        <v>0</v>
      </c>
      <c r="AG174" s="542">
        <f t="shared" si="21"/>
        <v>0</v>
      </c>
      <c r="AH174" s="542">
        <f t="shared" si="21"/>
        <v>0</v>
      </c>
      <c r="AI174" s="542">
        <f t="shared" si="21"/>
        <v>0</v>
      </c>
      <c r="AJ174" s="542">
        <f t="shared" si="21"/>
        <v>0</v>
      </c>
      <c r="AK174" s="542">
        <f t="shared" si="21"/>
        <v>0</v>
      </c>
      <c r="AL174" s="542">
        <f t="shared" si="21"/>
        <v>0</v>
      </c>
    </row>
    <row r="175" spans="1:38" x14ac:dyDescent="0.2">
      <c r="A175" s="606" t="s">
        <v>224</v>
      </c>
      <c r="B175" s="549">
        <f>B174</f>
        <v>0</v>
      </c>
      <c r="C175" s="210"/>
      <c r="D175" s="211"/>
      <c r="E175" s="211"/>
      <c r="F175" s="211"/>
      <c r="G175" s="211"/>
      <c r="H175" s="211"/>
      <c r="I175" s="211"/>
      <c r="J175" s="211"/>
      <c r="K175" s="211"/>
      <c r="L175" s="211"/>
      <c r="M175" s="211"/>
      <c r="N175" s="549">
        <f>SUM(C$174:N$174)</f>
        <v>0</v>
      </c>
      <c r="O175" s="211"/>
      <c r="P175" s="99"/>
      <c r="Z175" s="549">
        <f>SUM(O$174:Z$174)</f>
        <v>0</v>
      </c>
      <c r="AL175" s="158"/>
    </row>
    <row r="176" spans="1:38" x14ac:dyDescent="0.2">
      <c r="A176" s="586" t="s">
        <v>188</v>
      </c>
      <c r="B176" s="70"/>
      <c r="C176" s="551">
        <f>B174+C174</f>
        <v>0</v>
      </c>
      <c r="D176" s="211"/>
      <c r="E176" s="211"/>
      <c r="F176" s="211"/>
      <c r="G176" s="211"/>
      <c r="H176" s="211"/>
      <c r="I176" s="211"/>
      <c r="J176" s="211"/>
      <c r="K176" s="211"/>
      <c r="L176" s="211"/>
      <c r="M176" s="211"/>
      <c r="O176" s="552">
        <f>SUM(D$174:O$174)</f>
        <v>0</v>
      </c>
      <c r="P176" s="99"/>
      <c r="AA176" s="552">
        <f>SUM(P$174:AA$174)</f>
        <v>0</v>
      </c>
      <c r="AB176" s="99"/>
      <c r="AL176" s="158"/>
    </row>
    <row r="177" spans="1:38" x14ac:dyDescent="0.2">
      <c r="A177" s="587" t="s">
        <v>199</v>
      </c>
      <c r="B177" s="52"/>
      <c r="C177" s="52"/>
      <c r="D177" s="553">
        <f>B174+C174+D174</f>
        <v>0</v>
      </c>
      <c r="E177" s="541"/>
      <c r="F177" s="541"/>
      <c r="G177" s="541"/>
      <c r="H177" s="541"/>
      <c r="I177" s="541"/>
      <c r="J177" s="541"/>
      <c r="K177" s="541"/>
      <c r="L177" s="541"/>
      <c r="M177" s="541"/>
      <c r="N177" s="541"/>
      <c r="O177" s="211"/>
      <c r="P177" s="554">
        <f>SUM(E$174:P$174)</f>
        <v>0</v>
      </c>
      <c r="AA177" s="211"/>
      <c r="AB177" s="554">
        <f>SUM(Q$174:AB$174)</f>
        <v>0</v>
      </c>
      <c r="AL177" s="158"/>
    </row>
    <row r="178" spans="1:38" x14ac:dyDescent="0.2">
      <c r="A178" s="632" t="s">
        <v>198</v>
      </c>
      <c r="B178" s="70"/>
      <c r="C178" s="210"/>
      <c r="D178" s="541"/>
      <c r="E178" s="556">
        <f>SUM(B174:E174)</f>
        <v>0</v>
      </c>
      <c r="F178" s="541"/>
      <c r="G178" s="541"/>
      <c r="H178" s="541"/>
      <c r="I178" s="541"/>
      <c r="J178" s="541"/>
      <c r="K178" s="541"/>
      <c r="L178" s="541"/>
      <c r="M178" s="541"/>
      <c r="N178" s="541"/>
      <c r="O178" s="211"/>
      <c r="P178" s="99"/>
      <c r="Q178" s="555">
        <f>SUM(F$174:Q$174)</f>
        <v>0</v>
      </c>
      <c r="AA178" s="211"/>
      <c r="AB178" s="99"/>
      <c r="AC178" s="555">
        <f>SUM(R$174:AC$174)</f>
        <v>0</v>
      </c>
      <c r="AL178" s="158"/>
    </row>
    <row r="179" spans="1:38" x14ac:dyDescent="0.2">
      <c r="A179" s="588" t="s">
        <v>189</v>
      </c>
      <c r="B179" s="70"/>
      <c r="C179" s="210"/>
      <c r="D179" s="541"/>
      <c r="E179" s="541"/>
      <c r="F179" s="557">
        <f>SUM(B174:F174)</f>
        <v>0</v>
      </c>
      <c r="G179" s="541"/>
      <c r="H179" s="541"/>
      <c r="I179" s="541"/>
      <c r="J179" s="541"/>
      <c r="K179" s="541"/>
      <c r="L179" s="541"/>
      <c r="M179" s="541"/>
      <c r="N179" s="541"/>
      <c r="O179" s="211"/>
      <c r="P179" s="99"/>
      <c r="R179" s="558">
        <f>SUM(G$174:R$174)</f>
        <v>0</v>
      </c>
      <c r="AA179" s="211"/>
      <c r="AB179" s="99"/>
      <c r="AD179" s="558">
        <f>SUM(S$174:AD$174)</f>
        <v>0</v>
      </c>
      <c r="AL179" s="158"/>
    </row>
    <row r="180" spans="1:38" x14ac:dyDescent="0.2">
      <c r="A180" s="589" t="s">
        <v>190</v>
      </c>
      <c r="B180" s="52"/>
      <c r="C180" s="52"/>
      <c r="D180" s="541"/>
      <c r="E180" s="541"/>
      <c r="F180" s="541"/>
      <c r="G180" s="560">
        <f>SUM(B174:G174)</f>
        <v>0</v>
      </c>
      <c r="H180" s="541"/>
      <c r="I180" s="541"/>
      <c r="J180" s="541"/>
      <c r="K180" s="541"/>
      <c r="L180" s="541"/>
      <c r="M180" s="541"/>
      <c r="N180" s="541"/>
      <c r="O180" s="211"/>
      <c r="P180" s="99"/>
      <c r="S180" s="559">
        <f>SUM(H$174:S$174)</f>
        <v>0</v>
      </c>
      <c r="AA180" s="211"/>
      <c r="AB180" s="99"/>
      <c r="AE180" s="559">
        <f>SUM(T$174:AE$174)</f>
        <v>0</v>
      </c>
      <c r="AL180" s="158"/>
    </row>
    <row r="181" spans="1:38" x14ac:dyDescent="0.2">
      <c r="A181" s="590" t="s">
        <v>191</v>
      </c>
      <c r="B181" s="70"/>
      <c r="C181" s="210"/>
      <c r="D181" s="541"/>
      <c r="E181" s="541"/>
      <c r="F181" s="541"/>
      <c r="G181" s="541"/>
      <c r="H181" s="561">
        <f>SUM(B174:H174)</f>
        <v>0</v>
      </c>
      <c r="I181" s="541"/>
      <c r="J181" s="541"/>
      <c r="K181" s="541"/>
      <c r="L181" s="541"/>
      <c r="M181" s="541"/>
      <c r="N181" s="541"/>
      <c r="O181" s="211"/>
      <c r="P181" s="99"/>
      <c r="T181" s="562">
        <f>SUM(I$174:T$174)</f>
        <v>0</v>
      </c>
      <c r="AA181" s="211"/>
      <c r="AB181" s="99"/>
      <c r="AF181" s="562">
        <f>SUM(U$174:AF$174)</f>
        <v>0</v>
      </c>
      <c r="AL181" s="158"/>
    </row>
    <row r="182" spans="1:38" x14ac:dyDescent="0.2">
      <c r="A182" s="591" t="s">
        <v>192</v>
      </c>
      <c r="B182" s="52"/>
      <c r="C182" s="52"/>
      <c r="D182" s="541"/>
      <c r="E182" s="541"/>
      <c r="F182" s="541"/>
      <c r="G182" s="541"/>
      <c r="H182" s="541"/>
      <c r="I182" s="567">
        <f>SUM(B174:I174)</f>
        <v>0</v>
      </c>
      <c r="J182" s="541"/>
      <c r="K182" s="541"/>
      <c r="L182" s="541"/>
      <c r="M182" s="541"/>
      <c r="N182" s="541"/>
      <c r="O182" s="211"/>
      <c r="P182" s="99"/>
      <c r="U182" s="563">
        <f>SUM(J$174:U$174)</f>
        <v>0</v>
      </c>
      <c r="AA182" s="211"/>
      <c r="AB182" s="99"/>
      <c r="AG182" s="563">
        <f>SUM(V$174:AG$174)</f>
        <v>0</v>
      </c>
      <c r="AL182" s="158"/>
    </row>
    <row r="183" spans="1:38" x14ac:dyDescent="0.2">
      <c r="A183" s="592" t="s">
        <v>193</v>
      </c>
      <c r="B183" s="70"/>
      <c r="C183" s="210"/>
      <c r="D183" s="541"/>
      <c r="E183" s="541"/>
      <c r="F183" s="541"/>
      <c r="G183" s="541"/>
      <c r="H183" s="541"/>
      <c r="I183" s="541"/>
      <c r="J183" s="568">
        <f>SUM(B174:K174)</f>
        <v>0</v>
      </c>
      <c r="K183" s="541"/>
      <c r="L183" s="541"/>
      <c r="M183" s="541"/>
      <c r="N183" s="541"/>
      <c r="O183" s="211"/>
      <c r="P183" s="99"/>
      <c r="V183" s="564">
        <f>SUM(K$174:V$174)</f>
        <v>0</v>
      </c>
      <c r="AA183" s="211"/>
      <c r="AB183" s="99"/>
      <c r="AH183" s="564">
        <f>SUM(W$174:AH$174)</f>
        <v>0</v>
      </c>
      <c r="AL183" s="158"/>
    </row>
    <row r="184" spans="1:38" x14ac:dyDescent="0.2">
      <c r="A184" s="593" t="s">
        <v>194</v>
      </c>
      <c r="B184" s="52"/>
      <c r="C184" s="52"/>
      <c r="D184" s="541"/>
      <c r="E184" s="541"/>
      <c r="F184" s="541"/>
      <c r="G184" s="541"/>
      <c r="H184" s="541"/>
      <c r="I184" s="541"/>
      <c r="J184" s="541"/>
      <c r="K184" s="569">
        <f>SUM(B174:K174)</f>
        <v>0</v>
      </c>
      <c r="L184" s="541"/>
      <c r="M184" s="541"/>
      <c r="N184" s="541"/>
      <c r="O184" s="211"/>
      <c r="P184" s="99"/>
      <c r="W184" s="565">
        <f>SUM(L$174:W$174)</f>
        <v>0</v>
      </c>
      <c r="AA184" s="211"/>
      <c r="AB184" s="99"/>
      <c r="AI184" s="565">
        <f>SUM(X$174:AI$174)</f>
        <v>0</v>
      </c>
      <c r="AL184" s="158"/>
    </row>
    <row r="185" spans="1:38" x14ac:dyDescent="0.2">
      <c r="A185" s="594" t="s">
        <v>195</v>
      </c>
      <c r="B185" s="70"/>
      <c r="C185" s="210"/>
      <c r="D185" s="541"/>
      <c r="E185" s="541"/>
      <c r="F185" s="541"/>
      <c r="G185" s="541"/>
      <c r="H185" s="541"/>
      <c r="I185" s="541"/>
      <c r="J185" s="541"/>
      <c r="K185" s="541"/>
      <c r="L185" s="570">
        <f>SUM(B174:L174)</f>
        <v>0</v>
      </c>
      <c r="M185" s="541"/>
      <c r="N185" s="541"/>
      <c r="O185" s="211"/>
      <c r="P185" s="99"/>
      <c r="X185" s="566">
        <f>SUM(M$174:X$174)</f>
        <v>0</v>
      </c>
      <c r="AA185" s="211"/>
      <c r="AB185" s="99"/>
      <c r="AJ185" s="566">
        <f>SUM(Y$174:AJ$174)</f>
        <v>0</v>
      </c>
      <c r="AL185" s="158"/>
    </row>
    <row r="186" spans="1:38" x14ac:dyDescent="0.2">
      <c r="A186" s="595" t="s">
        <v>196</v>
      </c>
      <c r="B186" s="52"/>
      <c r="C186" s="52"/>
      <c r="D186" s="541"/>
      <c r="E186" s="541"/>
      <c r="F186" s="541"/>
      <c r="G186" s="541"/>
      <c r="H186" s="541"/>
      <c r="I186" s="541"/>
      <c r="J186" s="541"/>
      <c r="K186" s="541"/>
      <c r="L186" s="541"/>
      <c r="M186" s="572">
        <f>SUM(B174:M174)</f>
        <v>0</v>
      </c>
      <c r="N186" s="541"/>
      <c r="O186" s="211"/>
      <c r="P186" s="99"/>
      <c r="Y186" s="571">
        <f>SUM(N$174:Y$174)</f>
        <v>0</v>
      </c>
      <c r="AA186" s="211"/>
      <c r="AB186" s="99"/>
      <c r="AK186" s="571">
        <f>SUM(Z$174:AK$174)</f>
        <v>0</v>
      </c>
      <c r="AL186" s="158"/>
    </row>
    <row r="187" spans="1:38" ht="13.5" thickBot="1" x14ac:dyDescent="0.25">
      <c r="A187" s="596" t="s">
        <v>197</v>
      </c>
      <c r="B187" s="597"/>
      <c r="C187" s="213"/>
      <c r="D187" s="598"/>
      <c r="E187" s="598"/>
      <c r="F187" s="598"/>
      <c r="G187" s="598"/>
      <c r="H187" s="598"/>
      <c r="I187" s="598"/>
      <c r="J187" s="598"/>
      <c r="K187" s="598"/>
      <c r="L187" s="598"/>
      <c r="M187" s="598"/>
      <c r="N187" s="599">
        <f>SUM(B174:N174)</f>
        <v>0</v>
      </c>
      <c r="O187" s="318"/>
      <c r="P187" s="600"/>
      <c r="Q187" s="166"/>
      <c r="R187" s="166"/>
      <c r="S187" s="166"/>
      <c r="T187" s="166"/>
      <c r="U187" s="166"/>
      <c r="V187" s="166"/>
      <c r="W187" s="166"/>
      <c r="X187" s="166"/>
      <c r="Y187" s="166"/>
      <c r="Z187" s="601">
        <f>SUM(O$174:Z$174)</f>
        <v>0</v>
      </c>
      <c r="AA187" s="318"/>
      <c r="AB187" s="600"/>
      <c r="AC187" s="166"/>
      <c r="AD187" s="166"/>
      <c r="AE187" s="166"/>
      <c r="AF187" s="166"/>
      <c r="AG187" s="166"/>
      <c r="AH187" s="166"/>
      <c r="AI187" s="166"/>
      <c r="AJ187" s="166"/>
      <c r="AK187" s="166"/>
      <c r="AL187" s="602">
        <f>SUM(AA$174:AL$174)</f>
        <v>0</v>
      </c>
    </row>
    <row r="188" spans="1:38" x14ac:dyDescent="0.2">
      <c r="A188" s="606" t="s">
        <v>223</v>
      </c>
      <c r="B188" s="549">
        <f>B76+B94+B112+B158</f>
        <v>0</v>
      </c>
      <c r="C188" s="210"/>
      <c r="D188" s="211"/>
      <c r="E188" s="211"/>
      <c r="F188" s="211"/>
      <c r="G188" s="211"/>
      <c r="H188" s="211"/>
      <c r="I188" s="211"/>
      <c r="J188" s="211"/>
      <c r="K188" s="211"/>
      <c r="L188" s="211"/>
      <c r="M188" s="211"/>
      <c r="N188" s="549">
        <f>N76+N94+N112+N158</f>
        <v>0</v>
      </c>
      <c r="O188" s="211"/>
      <c r="P188" s="99"/>
      <c r="Z188" s="549">
        <f>Z76+Z94+Z112+Z158</f>
        <v>0</v>
      </c>
      <c r="AL188" s="158"/>
    </row>
    <row r="189" spans="1:38" x14ac:dyDescent="0.2">
      <c r="A189" s="586" t="s">
        <v>188</v>
      </c>
      <c r="B189" s="70"/>
      <c r="C189" s="551">
        <f>C77+C95+C113+C159</f>
        <v>0</v>
      </c>
      <c r="D189" s="211"/>
      <c r="E189" s="211"/>
      <c r="F189" s="211"/>
      <c r="G189" s="211"/>
      <c r="H189" s="211"/>
      <c r="I189" s="211"/>
      <c r="J189" s="211"/>
      <c r="K189" s="211"/>
      <c r="L189" s="211"/>
      <c r="M189" s="211"/>
      <c r="O189" s="552">
        <f>O77+O95+O113+O159</f>
        <v>0</v>
      </c>
      <c r="P189" s="99"/>
      <c r="AA189" s="552">
        <f>AA77+AA95+AA113+AA159</f>
        <v>0</v>
      </c>
      <c r="AB189" s="99"/>
      <c r="AL189" s="158"/>
    </row>
    <row r="190" spans="1:38" x14ac:dyDescent="0.2">
      <c r="A190" s="587" t="s">
        <v>199</v>
      </c>
      <c r="B190" s="52"/>
      <c r="C190" s="52"/>
      <c r="D190" s="553">
        <f>D78+D96+D114+D160</f>
        <v>0</v>
      </c>
      <c r="E190" s="541"/>
      <c r="F190" s="541"/>
      <c r="G190" s="541"/>
      <c r="H190" s="541"/>
      <c r="I190" s="541"/>
      <c r="J190" s="541"/>
      <c r="K190" s="541"/>
      <c r="L190" s="541"/>
      <c r="M190" s="541"/>
      <c r="N190" s="541"/>
      <c r="O190" s="211"/>
      <c r="P190" s="554">
        <f>P78+P96+P114+P160</f>
        <v>0</v>
      </c>
      <c r="AA190" s="211"/>
      <c r="AB190" s="554">
        <f>AB78+AB96+AB114+AB160</f>
        <v>0</v>
      </c>
      <c r="AL190" s="158"/>
    </row>
    <row r="191" spans="1:38" x14ac:dyDescent="0.2">
      <c r="A191" s="632" t="s">
        <v>198</v>
      </c>
      <c r="B191" s="70"/>
      <c r="C191" s="210"/>
      <c r="D191" s="541"/>
      <c r="E191" s="556">
        <f>E79+E97+E115+E161</f>
        <v>0</v>
      </c>
      <c r="F191" s="541"/>
      <c r="G191" s="541"/>
      <c r="H191" s="541"/>
      <c r="I191" s="541"/>
      <c r="J191" s="541"/>
      <c r="K191" s="541"/>
      <c r="L191" s="541"/>
      <c r="M191" s="541"/>
      <c r="N191" s="541"/>
      <c r="O191" s="211"/>
      <c r="P191" s="99"/>
      <c r="Q191" s="555">
        <f>Q79+Q97+Q115+Q161</f>
        <v>0</v>
      </c>
      <c r="AA191" s="211"/>
      <c r="AB191" s="99"/>
      <c r="AC191" s="555">
        <f>AC79+AC97+AC115+AC161</f>
        <v>0</v>
      </c>
      <c r="AL191" s="158"/>
    </row>
    <row r="192" spans="1:38" x14ac:dyDescent="0.2">
      <c r="A192" s="588" t="s">
        <v>189</v>
      </c>
      <c r="B192" s="70"/>
      <c r="C192" s="210"/>
      <c r="D192" s="541"/>
      <c r="E192" s="541"/>
      <c r="F192" s="557">
        <f>F80+F98+F116+F162</f>
        <v>0</v>
      </c>
      <c r="G192" s="541"/>
      <c r="H192" s="541"/>
      <c r="I192" s="541"/>
      <c r="J192" s="541"/>
      <c r="K192" s="541"/>
      <c r="L192" s="541"/>
      <c r="M192" s="541"/>
      <c r="N192" s="541"/>
      <c r="O192" s="211"/>
      <c r="P192" s="99"/>
      <c r="R192" s="558">
        <f>R80+R98+R116+R162</f>
        <v>0</v>
      </c>
      <c r="AA192" s="211"/>
      <c r="AB192" s="99"/>
      <c r="AD192" s="558">
        <f>AD80+AD98+AD116+AD162</f>
        <v>0</v>
      </c>
      <c r="AL192" s="158"/>
    </row>
    <row r="193" spans="1:38" x14ac:dyDescent="0.2">
      <c r="A193" s="589" t="s">
        <v>190</v>
      </c>
      <c r="B193" s="52"/>
      <c r="C193" s="52"/>
      <c r="D193" s="541"/>
      <c r="E193" s="541"/>
      <c r="F193" s="541"/>
      <c r="G193" s="560">
        <f>G81+G99+G117+G163</f>
        <v>0</v>
      </c>
      <c r="H193" s="541"/>
      <c r="I193" s="541"/>
      <c r="J193" s="541"/>
      <c r="K193" s="541"/>
      <c r="L193" s="541"/>
      <c r="M193" s="541"/>
      <c r="N193" s="541"/>
      <c r="O193" s="211"/>
      <c r="P193" s="99"/>
      <c r="S193" s="559">
        <f>S81+S99+S117+S163</f>
        <v>0</v>
      </c>
      <c r="AA193" s="211"/>
      <c r="AB193" s="99"/>
      <c r="AE193" s="559">
        <f>AE81+AE99+AE117+AE163</f>
        <v>0</v>
      </c>
      <c r="AL193" s="158"/>
    </row>
    <row r="194" spans="1:38" x14ac:dyDescent="0.2">
      <c r="A194" s="590" t="s">
        <v>191</v>
      </c>
      <c r="B194" s="70"/>
      <c r="C194" s="210"/>
      <c r="D194" s="541"/>
      <c r="E194" s="541"/>
      <c r="F194" s="541"/>
      <c r="G194" s="541"/>
      <c r="H194" s="561">
        <f>H82+H100+H118+H164</f>
        <v>0</v>
      </c>
      <c r="I194" s="541"/>
      <c r="J194" s="541"/>
      <c r="K194" s="541"/>
      <c r="L194" s="541"/>
      <c r="M194" s="541"/>
      <c r="N194" s="541"/>
      <c r="O194" s="211"/>
      <c r="P194" s="99"/>
      <c r="T194" s="562">
        <f>T82+T100+T118+T164</f>
        <v>0</v>
      </c>
      <c r="AA194" s="211"/>
      <c r="AB194" s="99"/>
      <c r="AF194" s="562">
        <f>AF82+AF100+AF118+AF164</f>
        <v>0</v>
      </c>
      <c r="AL194" s="158"/>
    </row>
    <row r="195" spans="1:38" x14ac:dyDescent="0.2">
      <c r="A195" s="591" t="s">
        <v>192</v>
      </c>
      <c r="B195" s="52"/>
      <c r="C195" s="52"/>
      <c r="D195" s="541"/>
      <c r="E195" s="541"/>
      <c r="F195" s="541"/>
      <c r="G195" s="541"/>
      <c r="H195" s="541"/>
      <c r="I195" s="567">
        <f>I83+I101+I119+I165</f>
        <v>0</v>
      </c>
      <c r="J195" s="541"/>
      <c r="K195" s="541"/>
      <c r="L195" s="541"/>
      <c r="M195" s="541"/>
      <c r="N195" s="541"/>
      <c r="O195" s="211"/>
      <c r="P195" s="99"/>
      <c r="U195" s="563">
        <f>U83+U101+U119+U165</f>
        <v>0</v>
      </c>
      <c r="AA195" s="211"/>
      <c r="AB195" s="99"/>
      <c r="AG195" s="563">
        <f>AG83+AG101+AG119+AG165</f>
        <v>0</v>
      </c>
      <c r="AL195" s="158"/>
    </row>
    <row r="196" spans="1:38" x14ac:dyDescent="0.2">
      <c r="A196" s="592" t="s">
        <v>193</v>
      </c>
      <c r="B196" s="70"/>
      <c r="C196" s="210"/>
      <c r="D196" s="541"/>
      <c r="E196" s="541"/>
      <c r="F196" s="541"/>
      <c r="G196" s="541"/>
      <c r="H196" s="541"/>
      <c r="I196" s="541"/>
      <c r="J196" s="568">
        <f>J84+J102+J120+J166</f>
        <v>0</v>
      </c>
      <c r="K196" s="541"/>
      <c r="L196" s="541"/>
      <c r="M196" s="541"/>
      <c r="N196" s="541"/>
      <c r="O196" s="211"/>
      <c r="P196" s="99"/>
      <c r="V196" s="564">
        <f>V84+V102+V120+V166</f>
        <v>0</v>
      </c>
      <c r="AA196" s="211"/>
      <c r="AB196" s="99"/>
      <c r="AG196">
        <f>AG84+AG102+AG120+AG166</f>
        <v>0</v>
      </c>
      <c r="AH196" s="564">
        <f>AH84+AH102+AH120+AH166</f>
        <v>0</v>
      </c>
      <c r="AL196" s="158"/>
    </row>
    <row r="197" spans="1:38" x14ac:dyDescent="0.2">
      <c r="A197" s="593" t="s">
        <v>194</v>
      </c>
      <c r="B197" s="52"/>
      <c r="C197" s="52"/>
      <c r="D197" s="541"/>
      <c r="E197" s="541"/>
      <c r="F197" s="541"/>
      <c r="G197" s="541"/>
      <c r="H197" s="541"/>
      <c r="I197" s="541"/>
      <c r="J197" s="541"/>
      <c r="K197" s="569">
        <f>K85+K103+K121+K167</f>
        <v>0</v>
      </c>
      <c r="L197" s="541"/>
      <c r="M197" s="541"/>
      <c r="N197" s="541"/>
      <c r="O197" s="211"/>
      <c r="P197" s="99"/>
      <c r="W197" s="565">
        <f>W85+W103+W121+W167</f>
        <v>0</v>
      </c>
      <c r="AA197" s="211"/>
      <c r="AB197" s="99"/>
      <c r="AI197" s="565">
        <f>AI85+AI103+AI121+AI167</f>
        <v>0</v>
      </c>
      <c r="AL197" s="158"/>
    </row>
    <row r="198" spans="1:38" x14ac:dyDescent="0.2">
      <c r="A198" s="594" t="s">
        <v>195</v>
      </c>
      <c r="B198" s="70"/>
      <c r="C198" s="210"/>
      <c r="D198" s="541"/>
      <c r="E198" s="541"/>
      <c r="F198" s="541"/>
      <c r="G198" s="541"/>
      <c r="H198" s="541"/>
      <c r="I198" s="541"/>
      <c r="J198" s="541"/>
      <c r="K198" s="541"/>
      <c r="L198" s="570">
        <f>L86+L104+L122+L168</f>
        <v>0</v>
      </c>
      <c r="M198" s="541"/>
      <c r="N198" s="541"/>
      <c r="O198" s="211"/>
      <c r="P198" s="99"/>
      <c r="X198" s="566">
        <f>X86+X104+X122+X168</f>
        <v>0</v>
      </c>
      <c r="AA198" s="211"/>
      <c r="AB198" s="99"/>
      <c r="AJ198" s="566">
        <f>AJ86+AJ104+AJ122+AJ168</f>
        <v>0</v>
      </c>
      <c r="AL198" s="158"/>
    </row>
    <row r="199" spans="1:38" x14ac:dyDescent="0.2">
      <c r="A199" s="595" t="s">
        <v>196</v>
      </c>
      <c r="B199" s="52"/>
      <c r="C199" s="52"/>
      <c r="D199" s="541"/>
      <c r="E199" s="541"/>
      <c r="F199" s="541"/>
      <c r="G199" s="541"/>
      <c r="H199" s="541"/>
      <c r="I199" s="541"/>
      <c r="J199" s="541"/>
      <c r="K199" s="541"/>
      <c r="L199" s="541"/>
      <c r="M199" s="572">
        <f>M87+M105+M123+M169</f>
        <v>0</v>
      </c>
      <c r="N199" s="541"/>
      <c r="O199" s="211"/>
      <c r="P199" s="99"/>
      <c r="Y199" s="571">
        <f>Y87+Y105+Y123+Y169</f>
        <v>0</v>
      </c>
      <c r="AA199" s="211"/>
      <c r="AB199" s="99"/>
      <c r="AK199" s="571">
        <f>AK87+AK105+AK123+AK169</f>
        <v>0</v>
      </c>
      <c r="AL199" s="158"/>
    </row>
    <row r="200" spans="1:38" ht="13.5" thickBot="1" x14ac:dyDescent="0.25">
      <c r="A200" s="596" t="s">
        <v>197</v>
      </c>
      <c r="B200" s="597"/>
      <c r="C200" s="213"/>
      <c r="D200" s="598"/>
      <c r="E200" s="598"/>
      <c r="F200" s="598"/>
      <c r="G200" s="598"/>
      <c r="H200" s="598"/>
      <c r="I200" s="598"/>
      <c r="J200" s="598"/>
      <c r="K200" s="598"/>
      <c r="L200" s="598"/>
      <c r="M200" s="598"/>
      <c r="N200" s="599">
        <f>N88+N106+N124+N170</f>
        <v>0</v>
      </c>
      <c r="O200" s="318"/>
      <c r="P200" s="600"/>
      <c r="Q200" s="166"/>
      <c r="R200" s="166"/>
      <c r="S200" s="166"/>
      <c r="T200" s="166"/>
      <c r="U200" s="166"/>
      <c r="V200" s="166"/>
      <c r="W200" s="166"/>
      <c r="X200" s="166"/>
      <c r="Y200" s="166"/>
      <c r="Z200" s="601">
        <f>Z88+Z106+Z124+Z170</f>
        <v>0</v>
      </c>
      <c r="AA200" s="318"/>
      <c r="AB200" s="600"/>
      <c r="AC200" s="166"/>
      <c r="AD200" s="166"/>
      <c r="AE200" s="166"/>
      <c r="AF200" s="166"/>
      <c r="AG200" s="166"/>
      <c r="AH200" s="166"/>
      <c r="AI200" s="166"/>
      <c r="AJ200" s="166"/>
      <c r="AK200" s="166"/>
      <c r="AL200" s="602">
        <f>AL88+AL106+AL124+AL170</f>
        <v>0</v>
      </c>
    </row>
  </sheetData>
  <sheetProtection algorithmName="SHA-512" hashValue="64Gv8NI7FoEibdW3P4x0QEixrqIjU86Dq8T34FTIHXjNJliARG/CBjhVbWdFBpdAjRdHHZy3eJ0J1j4gi1aQMA==" saltValue="r9s5D8p+tM9WOcXAKcWL/Q==" spinCount="100000" sheet="1" objects="1" scenarios="1" selectLockedCells="1" selectUnlockedCells="1"/>
  <mergeCells count="9">
    <mergeCell ref="G13:I13"/>
    <mergeCell ref="C21:E21"/>
    <mergeCell ref="B10:E10"/>
    <mergeCell ref="B5:C5"/>
    <mergeCell ref="B4:E4"/>
    <mergeCell ref="B7:E7"/>
    <mergeCell ref="B8:E8"/>
    <mergeCell ref="B9:E9"/>
    <mergeCell ref="G21:I21"/>
  </mergeCells>
  <pageMargins left="0.7" right="0.7" top="0.75" bottom="0.75" header="0.3" footer="0.3"/>
  <pageSetup paperSize="9" orientation="portrait" horizontalDpi="1200" verticalDpi="4"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5F9AA-A918-4402-B457-DF56993968F2}">
  <sheetPr>
    <tabColor rgb="FFFFC000"/>
  </sheetPr>
  <dimension ref="B1:AB74"/>
  <sheetViews>
    <sheetView showGridLines="0" defaultGridColor="0" topLeftCell="A22" colorId="55" zoomScaleNormal="100" workbookViewId="0">
      <selection activeCell="B57" sqref="B57"/>
    </sheetView>
  </sheetViews>
  <sheetFormatPr defaultRowHeight="12.75" x14ac:dyDescent="0.2"/>
  <cols>
    <col min="1" max="1" width="1.85546875" customWidth="1"/>
    <col min="2" max="2" width="5.28515625" style="101" customWidth="1"/>
    <col min="3" max="3" width="48.140625" customWidth="1"/>
    <col min="4" max="9" width="11.28515625" style="1038" customWidth="1"/>
    <col min="10" max="10" width="1.42578125" style="1038" customWidth="1"/>
    <col min="11" max="14" width="9.140625" customWidth="1"/>
    <col min="15" max="15" width="11.28515625" customWidth="1"/>
    <col min="16" max="16" width="10.28515625" customWidth="1"/>
    <col min="17" max="17" width="2.140625" style="789" customWidth="1"/>
    <col min="18" max="21" width="9.140625" customWidth="1"/>
    <col min="22" max="22" width="11.28515625" style="828" customWidth="1"/>
    <col min="23" max="23" width="10.28515625" customWidth="1"/>
    <col min="24" max="24" width="2.140625" customWidth="1"/>
    <col min="25" max="25" width="9.140625" customWidth="1"/>
  </cols>
  <sheetData>
    <row r="1" spans="2:25" x14ac:dyDescent="0.2">
      <c r="C1" s="941"/>
      <c r="D1" s="941"/>
      <c r="E1" s="941"/>
      <c r="F1" s="941"/>
      <c r="G1" s="941"/>
      <c r="H1" s="941"/>
      <c r="I1" s="941"/>
      <c r="J1" s="941"/>
    </row>
    <row r="2" spans="2:25" ht="15.75" x14ac:dyDescent="0.25">
      <c r="B2" s="299"/>
      <c r="C2" s="264"/>
      <c r="D2" s="2020" t="s">
        <v>647</v>
      </c>
      <c r="E2" s="2020"/>
      <c r="F2" s="264"/>
      <c r="G2" s="264"/>
      <c r="H2" s="264"/>
      <c r="I2" s="264"/>
      <c r="J2" s="264"/>
      <c r="K2" s="2019"/>
      <c r="L2" s="2019"/>
      <c r="M2" s="264"/>
      <c r="N2" s="264"/>
      <c r="O2" s="264"/>
      <c r="P2" s="264"/>
      <c r="Q2" s="264"/>
      <c r="S2" s="726"/>
      <c r="T2" s="726"/>
      <c r="U2" s="726"/>
      <c r="V2" s="726"/>
      <c r="W2" s="726"/>
      <c r="X2" s="726"/>
      <c r="Y2" s="726"/>
    </row>
    <row r="3" spans="2:25" ht="39.75" customHeight="1" x14ac:dyDescent="0.2">
      <c r="B3" s="299"/>
      <c r="C3" s="263"/>
      <c r="D3" s="1181" t="s">
        <v>700</v>
      </c>
      <c r="E3" s="1181"/>
      <c r="F3" s="1181"/>
      <c r="G3" s="1181"/>
      <c r="H3" s="1181"/>
      <c r="I3" s="1181"/>
      <c r="J3" s="1181"/>
      <c r="K3" s="1181"/>
      <c r="L3" s="1181"/>
      <c r="M3" s="1181"/>
      <c r="N3" s="1181"/>
      <c r="O3" s="263"/>
      <c r="P3" s="263"/>
      <c r="Q3" s="263"/>
      <c r="R3" s="1041"/>
      <c r="S3" s="797"/>
      <c r="T3" s="797"/>
      <c r="U3" s="797"/>
      <c r="V3" s="797"/>
      <c r="W3" s="797"/>
      <c r="X3" s="825"/>
      <c r="Y3" s="797"/>
    </row>
    <row r="4" spans="2:25" s="2" customFormat="1" ht="15.75" customHeight="1" x14ac:dyDescent="0.2">
      <c r="B4" s="736"/>
      <c r="C4" s="503"/>
      <c r="D4" s="1164" t="s">
        <v>0</v>
      </c>
      <c r="E4" s="1164"/>
      <c r="F4" s="1155" t="s">
        <v>692</v>
      </c>
      <c r="G4" s="1165">
        <v>2020</v>
      </c>
      <c r="H4" s="1164"/>
      <c r="I4" s="1164"/>
      <c r="J4" s="1171"/>
      <c r="K4" s="1164" t="s">
        <v>0</v>
      </c>
      <c r="L4" s="1164"/>
      <c r="M4" s="1155" t="s">
        <v>692</v>
      </c>
      <c r="N4" s="1165">
        <v>2019</v>
      </c>
      <c r="O4" s="1164"/>
      <c r="P4" s="1164"/>
      <c r="Q4" s="796"/>
      <c r="R4" s="1164"/>
      <c r="S4" s="1164"/>
      <c r="T4" s="1155" t="s">
        <v>692</v>
      </c>
      <c r="U4" s="1165">
        <v>2018</v>
      </c>
      <c r="V4" s="1164"/>
      <c r="W4" s="1164"/>
      <c r="X4" s="796"/>
      <c r="Y4" s="1164"/>
    </row>
    <row r="5" spans="2:25" ht="14.25" customHeight="1" x14ac:dyDescent="0.2">
      <c r="B5" s="299"/>
      <c r="C5" s="263"/>
      <c r="D5" s="1105" t="s">
        <v>565</v>
      </c>
      <c r="E5" s="1100" t="s">
        <v>566</v>
      </c>
      <c r="F5" s="1100" t="s">
        <v>567</v>
      </c>
      <c r="G5" s="1100" t="s">
        <v>567</v>
      </c>
      <c r="H5" s="1098" t="s">
        <v>697</v>
      </c>
      <c r="I5" s="2021" t="s">
        <v>669</v>
      </c>
      <c r="J5" s="1080"/>
      <c r="K5" s="1101" t="s">
        <v>565</v>
      </c>
      <c r="L5" s="1100" t="s">
        <v>566</v>
      </c>
      <c r="M5" s="1100" t="s">
        <v>567</v>
      </c>
      <c r="N5" s="1100" t="s">
        <v>567</v>
      </c>
      <c r="O5" s="1098" t="s">
        <v>697</v>
      </c>
      <c r="P5" s="2026" t="s">
        <v>669</v>
      </c>
      <c r="Q5" s="953"/>
      <c r="R5" s="1105" t="s">
        <v>565</v>
      </c>
      <c r="S5" s="1100" t="s">
        <v>566</v>
      </c>
      <c r="T5" s="1100" t="s">
        <v>567</v>
      </c>
      <c r="U5" s="1100" t="s">
        <v>567</v>
      </c>
      <c r="V5" s="1098" t="s">
        <v>697</v>
      </c>
      <c r="W5" s="2026" t="s">
        <v>669</v>
      </c>
      <c r="X5" s="953" t="s">
        <v>568</v>
      </c>
      <c r="Y5" s="2024" t="s">
        <v>670</v>
      </c>
    </row>
    <row r="6" spans="2:25" ht="20.100000000000001" customHeight="1" x14ac:dyDescent="0.2">
      <c r="B6" s="1040" t="s">
        <v>620</v>
      </c>
      <c r="C6" s="1103" t="s">
        <v>687</v>
      </c>
      <c r="D6" s="1106" t="s">
        <v>569</v>
      </c>
      <c r="E6" s="1107" t="s">
        <v>570</v>
      </c>
      <c r="F6" s="1107" t="s">
        <v>667</v>
      </c>
      <c r="G6" s="1107" t="s">
        <v>668</v>
      </c>
      <c r="H6" s="1104" t="s">
        <v>698</v>
      </c>
      <c r="I6" s="2022"/>
      <c r="J6" s="1172"/>
      <c r="K6" s="1180" t="s">
        <v>569</v>
      </c>
      <c r="L6" s="1107" t="s">
        <v>570</v>
      </c>
      <c r="M6" s="1107" t="s">
        <v>667</v>
      </c>
      <c r="N6" s="1107" t="s">
        <v>668</v>
      </c>
      <c r="O6" s="1104" t="s">
        <v>698</v>
      </c>
      <c r="P6" s="2027"/>
      <c r="Q6" s="953"/>
      <c r="R6" s="1106" t="s">
        <v>569</v>
      </c>
      <c r="S6" s="1107" t="s">
        <v>570</v>
      </c>
      <c r="T6" s="1107" t="s">
        <v>667</v>
      </c>
      <c r="U6" s="1107" t="s">
        <v>668</v>
      </c>
      <c r="V6" s="1104" t="s">
        <v>698</v>
      </c>
      <c r="W6" s="2027"/>
      <c r="X6" s="953" t="s">
        <v>571</v>
      </c>
      <c r="Y6" s="2025"/>
    </row>
    <row r="7" spans="2:25" ht="15" x14ac:dyDescent="0.2">
      <c r="B7" s="723">
        <v>1</v>
      </c>
      <c r="C7" s="750" t="s">
        <v>572</v>
      </c>
      <c r="D7" s="1081">
        <v>5</v>
      </c>
      <c r="E7" s="1082">
        <v>82000</v>
      </c>
      <c r="F7" s="1083">
        <v>7.1999999999999995E-2</v>
      </c>
      <c r="G7" s="1083">
        <v>9.0999999999999998E-2</v>
      </c>
      <c r="H7" s="1084">
        <f>E7*G7</f>
        <v>7462</v>
      </c>
      <c r="I7" s="1085">
        <v>-0.04</v>
      </c>
      <c r="J7" s="1173"/>
      <c r="K7" s="1086">
        <v>4</v>
      </c>
      <c r="L7" s="1082">
        <v>122000</v>
      </c>
      <c r="M7" s="1083">
        <v>0.06</v>
      </c>
      <c r="N7" s="1083">
        <v>0.06</v>
      </c>
      <c r="O7" s="1087">
        <f>N7*L7</f>
        <v>7320</v>
      </c>
      <c r="P7" s="1085">
        <v>3.3000000000000002E-2</v>
      </c>
      <c r="Q7" s="1168"/>
      <c r="R7" s="793">
        <v>3</v>
      </c>
      <c r="S7" s="804">
        <v>151000</v>
      </c>
      <c r="T7" s="805">
        <v>5.6000000000000001E-2</v>
      </c>
      <c r="U7" s="805">
        <v>8.8999999999999996E-2</v>
      </c>
      <c r="V7" s="926">
        <f>U7*S7</f>
        <v>13439</v>
      </c>
      <c r="W7" s="806">
        <v>5.7</v>
      </c>
      <c r="X7" s="823"/>
      <c r="Y7" s="1183">
        <v>101</v>
      </c>
    </row>
    <row r="8" spans="2:25" ht="15" x14ac:dyDescent="0.2">
      <c r="B8" s="1111">
        <v>2</v>
      </c>
      <c r="C8" s="1112" t="s">
        <v>573</v>
      </c>
      <c r="D8" s="1113">
        <v>10</v>
      </c>
      <c r="E8" s="1114">
        <v>75000</v>
      </c>
      <c r="F8" s="1115">
        <v>8.7999999999999995E-2</v>
      </c>
      <c r="G8" s="1115">
        <v>3.1E-2</v>
      </c>
      <c r="H8" s="1116">
        <f t="shared" ref="H8:H22" si="0">E8*G8</f>
        <v>2325</v>
      </c>
      <c r="I8" s="1117">
        <v>-7.0000000000000001E-3</v>
      </c>
      <c r="J8" s="833"/>
      <c r="K8" s="1118">
        <v>9</v>
      </c>
      <c r="L8" s="1114">
        <v>74000</v>
      </c>
      <c r="M8" s="1115">
        <v>5.2999999999999999E-2</v>
      </c>
      <c r="N8" s="1115">
        <v>3.6999999999999998E-2</v>
      </c>
      <c r="O8" s="1119">
        <f t="shared" ref="O8:O22" si="1">N8*L8</f>
        <v>2738</v>
      </c>
      <c r="P8" s="1117">
        <v>4.2999999999999997E-2</v>
      </c>
      <c r="Q8" s="843"/>
      <c r="R8" s="1120">
        <v>11</v>
      </c>
      <c r="S8" s="1121">
        <v>78000</v>
      </c>
      <c r="T8" s="1122">
        <v>5.8999999999999997E-2</v>
      </c>
      <c r="U8" s="1122">
        <v>3.5000000000000003E-2</v>
      </c>
      <c r="V8" s="1114">
        <f t="shared" ref="V8:V22" si="2">U8*S8</f>
        <v>2730.0000000000005</v>
      </c>
      <c r="W8" s="1123">
        <v>0</v>
      </c>
      <c r="X8" s="823"/>
      <c r="Y8" s="1184">
        <v>1071</v>
      </c>
    </row>
    <row r="9" spans="2:25" ht="15" x14ac:dyDescent="0.2">
      <c r="B9" s="723">
        <f t="shared" ref="B9:B22" si="3">B8+1</f>
        <v>3</v>
      </c>
      <c r="C9" s="722" t="s">
        <v>574</v>
      </c>
      <c r="D9" s="684">
        <v>6</v>
      </c>
      <c r="E9" s="798">
        <v>132000</v>
      </c>
      <c r="F9" s="799">
        <v>0.126</v>
      </c>
      <c r="G9" s="799">
        <v>0.182</v>
      </c>
      <c r="H9" s="1084">
        <f t="shared" si="0"/>
        <v>24024</v>
      </c>
      <c r="I9" s="800">
        <v>1.2999999999999999E-2</v>
      </c>
      <c r="J9" s="833"/>
      <c r="K9" s="795">
        <v>2</v>
      </c>
      <c r="L9" s="798">
        <v>103000</v>
      </c>
      <c r="M9" s="799">
        <v>5.8000000000000003E-2</v>
      </c>
      <c r="N9" s="799">
        <v>0.16200000000000001</v>
      </c>
      <c r="O9" s="1087">
        <f t="shared" si="1"/>
        <v>16686</v>
      </c>
      <c r="P9" s="800">
        <v>1.4E-2</v>
      </c>
      <c r="Q9" s="843"/>
      <c r="R9" s="792">
        <v>3</v>
      </c>
      <c r="S9" s="801">
        <v>90000</v>
      </c>
      <c r="T9" s="802">
        <v>0.05</v>
      </c>
      <c r="U9" s="802">
        <v>0.14799999999999999</v>
      </c>
      <c r="V9" s="798">
        <f t="shared" si="2"/>
        <v>13320</v>
      </c>
      <c r="W9" s="803">
        <v>1.2</v>
      </c>
      <c r="X9" s="823"/>
      <c r="Y9" s="1185">
        <v>139</v>
      </c>
    </row>
    <row r="10" spans="2:25" ht="15" x14ac:dyDescent="0.2">
      <c r="B10" s="1111">
        <f t="shared" si="3"/>
        <v>4</v>
      </c>
      <c r="C10" s="1112" t="s">
        <v>575</v>
      </c>
      <c r="D10" s="1113">
        <v>7</v>
      </c>
      <c r="E10" s="1114">
        <v>131000</v>
      </c>
      <c r="F10" s="1115">
        <v>5.3999999999999999E-2</v>
      </c>
      <c r="G10" s="1115">
        <v>0.318</v>
      </c>
      <c r="H10" s="1116">
        <f t="shared" si="0"/>
        <v>41658</v>
      </c>
      <c r="I10" s="1117">
        <v>0</v>
      </c>
      <c r="J10" s="833"/>
      <c r="K10" s="1118">
        <v>4</v>
      </c>
      <c r="L10" s="1114">
        <v>90000</v>
      </c>
      <c r="M10" s="1115">
        <v>2.9000000000000001E-2</v>
      </c>
      <c r="N10" s="1115">
        <v>0.27200000000000002</v>
      </c>
      <c r="O10" s="1119">
        <f t="shared" si="1"/>
        <v>24480</v>
      </c>
      <c r="P10" s="1117">
        <v>0</v>
      </c>
      <c r="Q10" s="843"/>
      <c r="R10" s="1120">
        <v>2</v>
      </c>
      <c r="S10" s="1121">
        <v>78000</v>
      </c>
      <c r="T10" s="1122">
        <v>3.6999999999999998E-2</v>
      </c>
      <c r="U10" s="1122">
        <v>0.29299999999999998</v>
      </c>
      <c r="V10" s="1114">
        <f t="shared" si="2"/>
        <v>22854</v>
      </c>
      <c r="W10" s="1123">
        <v>0</v>
      </c>
      <c r="X10" s="823"/>
      <c r="Y10" s="1184">
        <v>14</v>
      </c>
    </row>
    <row r="11" spans="2:25" ht="15" x14ac:dyDescent="0.2">
      <c r="B11" s="723">
        <f t="shared" si="3"/>
        <v>5</v>
      </c>
      <c r="C11" s="722" t="s">
        <v>576</v>
      </c>
      <c r="D11" s="684">
        <v>20</v>
      </c>
      <c r="E11" s="798">
        <v>377000</v>
      </c>
      <c r="F11" s="799">
        <v>4.1000000000000002E-2</v>
      </c>
      <c r="G11" s="799">
        <v>0.11899999999999999</v>
      </c>
      <c r="H11" s="1084">
        <f t="shared" si="0"/>
        <v>44863</v>
      </c>
      <c r="I11" s="800">
        <v>-8.0000000000000002E-3</v>
      </c>
      <c r="J11" s="833"/>
      <c r="K11" s="795">
        <v>20</v>
      </c>
      <c r="L11" s="798">
        <v>364000</v>
      </c>
      <c r="M11" s="799">
        <v>0.05</v>
      </c>
      <c r="N11" s="799">
        <v>0.113</v>
      </c>
      <c r="O11" s="1087">
        <f t="shared" si="1"/>
        <v>41132</v>
      </c>
      <c r="P11" s="800">
        <v>1E-3</v>
      </c>
      <c r="Q11" s="843"/>
      <c r="R11" s="792">
        <v>23</v>
      </c>
      <c r="S11" s="801">
        <v>352000</v>
      </c>
      <c r="T11" s="802">
        <v>7.0999999999999994E-2</v>
      </c>
      <c r="U11" s="802">
        <v>0.11899999999999999</v>
      </c>
      <c r="V11" s="798">
        <f t="shared" si="2"/>
        <v>41888</v>
      </c>
      <c r="W11" s="803">
        <v>5.8</v>
      </c>
      <c r="X11" s="823"/>
      <c r="Y11" s="1185">
        <v>16100</v>
      </c>
    </row>
    <row r="12" spans="2:25" ht="15" x14ac:dyDescent="0.2">
      <c r="B12" s="1111">
        <f t="shared" si="3"/>
        <v>6</v>
      </c>
      <c r="C12" s="1112" t="s">
        <v>577</v>
      </c>
      <c r="D12" s="1113">
        <v>14</v>
      </c>
      <c r="E12" s="1114">
        <v>139000</v>
      </c>
      <c r="F12" s="1115">
        <v>6.6000000000000003E-2</v>
      </c>
      <c r="G12" s="1115">
        <v>0.129</v>
      </c>
      <c r="H12" s="1116">
        <f t="shared" si="0"/>
        <v>17931</v>
      </c>
      <c r="I12" s="1117">
        <v>7.0000000000000001E-3</v>
      </c>
      <c r="J12" s="833"/>
      <c r="K12" s="1118">
        <v>11</v>
      </c>
      <c r="L12" s="1114">
        <v>136000</v>
      </c>
      <c r="M12" s="1115">
        <v>6.0999999999999999E-2</v>
      </c>
      <c r="N12" s="1115">
        <v>0.11799999999999999</v>
      </c>
      <c r="O12" s="1119">
        <f t="shared" si="1"/>
        <v>16048</v>
      </c>
      <c r="P12" s="1117">
        <v>7.6999999999999999E-2</v>
      </c>
      <c r="Q12" s="843"/>
      <c r="R12" s="1120">
        <v>13</v>
      </c>
      <c r="S12" s="1121">
        <v>134000</v>
      </c>
      <c r="T12" s="1122">
        <v>6.0999999999999999E-2</v>
      </c>
      <c r="U12" s="1122">
        <v>0.121</v>
      </c>
      <c r="V12" s="1114">
        <f t="shared" si="2"/>
        <v>16214</v>
      </c>
      <c r="W12" s="1123">
        <v>0</v>
      </c>
      <c r="X12" s="823"/>
      <c r="Y12" s="1184">
        <v>16239</v>
      </c>
    </row>
    <row r="13" spans="2:25" ht="15" x14ac:dyDescent="0.2">
      <c r="B13" s="723">
        <f t="shared" si="3"/>
        <v>7</v>
      </c>
      <c r="C13" s="722" t="s">
        <v>578</v>
      </c>
      <c r="D13" s="684">
        <v>8</v>
      </c>
      <c r="E13" s="798">
        <v>109000</v>
      </c>
      <c r="F13" s="799">
        <v>6.5000000000000002E-2</v>
      </c>
      <c r="G13" s="799">
        <v>9.9000000000000005E-2</v>
      </c>
      <c r="H13" s="1084">
        <f t="shared" si="0"/>
        <v>10791</v>
      </c>
      <c r="I13" s="800">
        <v>-3.9E-2</v>
      </c>
      <c r="J13" s="833"/>
      <c r="K13" s="795">
        <v>6</v>
      </c>
      <c r="L13" s="798">
        <v>106000</v>
      </c>
      <c r="M13" s="799">
        <v>7.1999999999999995E-2</v>
      </c>
      <c r="N13" s="799">
        <v>0.123</v>
      </c>
      <c r="O13" s="1087">
        <f t="shared" si="1"/>
        <v>13038</v>
      </c>
      <c r="P13" s="800">
        <v>0</v>
      </c>
      <c r="Q13" s="843"/>
      <c r="R13" s="792">
        <v>8</v>
      </c>
      <c r="S13" s="801">
        <v>115000</v>
      </c>
      <c r="T13" s="802">
        <v>6.6000000000000003E-2</v>
      </c>
      <c r="U13" s="802">
        <v>0.1</v>
      </c>
      <c r="V13" s="798">
        <f t="shared" si="2"/>
        <v>11500</v>
      </c>
      <c r="W13" s="803">
        <v>2.8</v>
      </c>
      <c r="X13" s="823"/>
      <c r="Y13" s="1185">
        <v>181</v>
      </c>
    </row>
    <row r="14" spans="2:25" ht="15" x14ac:dyDescent="0.2">
      <c r="B14" s="1111">
        <f t="shared" si="3"/>
        <v>8</v>
      </c>
      <c r="C14" s="1112" t="s">
        <v>579</v>
      </c>
      <c r="D14" s="1113">
        <v>10</v>
      </c>
      <c r="E14" s="1114">
        <v>131000</v>
      </c>
      <c r="F14" s="1115">
        <v>0.09</v>
      </c>
      <c r="G14" s="1115">
        <v>0.2</v>
      </c>
      <c r="H14" s="1116">
        <f t="shared" si="0"/>
        <v>26200</v>
      </c>
      <c r="I14" s="1117">
        <v>-3.1E-2</v>
      </c>
      <c r="J14" s="833"/>
      <c r="K14" s="1118">
        <v>10</v>
      </c>
      <c r="L14" s="1114">
        <v>141000</v>
      </c>
      <c r="M14" s="1115">
        <v>8.3000000000000004E-2</v>
      </c>
      <c r="N14" s="1115">
        <v>0.19400000000000001</v>
      </c>
      <c r="O14" s="1119">
        <f t="shared" si="1"/>
        <v>27354</v>
      </c>
      <c r="P14" s="1117">
        <v>1.4E-2</v>
      </c>
      <c r="Q14" s="843"/>
      <c r="R14" s="1124">
        <v>11</v>
      </c>
      <c r="S14" s="1125">
        <v>150000</v>
      </c>
      <c r="T14" s="1126">
        <v>9.8000000000000004E-2</v>
      </c>
      <c r="U14" s="1126">
        <v>0.17599999999999999</v>
      </c>
      <c r="V14" s="1114">
        <f t="shared" si="2"/>
        <v>26400</v>
      </c>
      <c r="W14" s="1127">
        <v>0.9</v>
      </c>
      <c r="X14" s="823"/>
      <c r="Y14" s="1184">
        <v>222</v>
      </c>
    </row>
    <row r="15" spans="2:25" ht="15" x14ac:dyDescent="0.2">
      <c r="B15" s="723">
        <f t="shared" si="3"/>
        <v>9</v>
      </c>
      <c r="C15" s="750" t="s">
        <v>580</v>
      </c>
      <c r="D15" s="1081">
        <v>10</v>
      </c>
      <c r="E15" s="1082">
        <v>135000</v>
      </c>
      <c r="F15" s="1083">
        <v>8.5000000000000006E-2</v>
      </c>
      <c r="G15" s="1083">
        <v>0.13900000000000001</v>
      </c>
      <c r="H15" s="1084">
        <f t="shared" si="0"/>
        <v>18765</v>
      </c>
      <c r="I15" s="1085">
        <v>0</v>
      </c>
      <c r="J15" s="1173"/>
      <c r="K15" s="1086">
        <v>10</v>
      </c>
      <c r="L15" s="1082">
        <v>137000</v>
      </c>
      <c r="M15" s="1083">
        <v>8.4000000000000005E-2</v>
      </c>
      <c r="N15" s="1083">
        <v>0.14399999999999999</v>
      </c>
      <c r="O15" s="1087">
        <f t="shared" si="1"/>
        <v>19728</v>
      </c>
      <c r="P15" s="1085">
        <v>3.3000000000000002E-2</v>
      </c>
      <c r="Q15" s="1168"/>
      <c r="R15" s="792">
        <v>11</v>
      </c>
      <c r="S15" s="801">
        <v>149000</v>
      </c>
      <c r="T15" s="802">
        <v>8.4000000000000005E-2</v>
      </c>
      <c r="U15" s="802">
        <v>0.15</v>
      </c>
      <c r="V15" s="798">
        <f t="shared" si="2"/>
        <v>22350</v>
      </c>
      <c r="W15" s="803">
        <v>3.7</v>
      </c>
      <c r="X15" s="823"/>
      <c r="Y15" s="1185">
        <v>251</v>
      </c>
    </row>
    <row r="16" spans="2:25" ht="15" x14ac:dyDescent="0.2">
      <c r="B16" s="1111">
        <f t="shared" si="3"/>
        <v>10</v>
      </c>
      <c r="C16" s="1112" t="s">
        <v>581</v>
      </c>
      <c r="D16" s="1113">
        <v>8</v>
      </c>
      <c r="E16" s="1114">
        <v>118000</v>
      </c>
      <c r="F16" s="1115">
        <v>0.108</v>
      </c>
      <c r="G16" s="1115">
        <v>0.14299999999999999</v>
      </c>
      <c r="H16" s="1116">
        <f t="shared" si="0"/>
        <v>16874</v>
      </c>
      <c r="I16" s="1117">
        <v>-1.4999999999999999E-2</v>
      </c>
      <c r="J16" s="833"/>
      <c r="K16" s="1118">
        <v>8</v>
      </c>
      <c r="L16" s="1114">
        <v>121000</v>
      </c>
      <c r="M16" s="1115">
        <v>0.108</v>
      </c>
      <c r="N16" s="1115">
        <v>0.14299999999999999</v>
      </c>
      <c r="O16" s="1119">
        <f t="shared" si="1"/>
        <v>17303</v>
      </c>
      <c r="P16" s="1117">
        <v>3.5999999999999997E-2</v>
      </c>
      <c r="Q16" s="843"/>
      <c r="R16" s="1120">
        <v>9</v>
      </c>
      <c r="S16" s="1121">
        <v>125000</v>
      </c>
      <c r="T16" s="1122">
        <v>0.122</v>
      </c>
      <c r="U16" s="1122">
        <v>0.14399999999999999</v>
      </c>
      <c r="V16" s="1114">
        <f t="shared" si="2"/>
        <v>18000</v>
      </c>
      <c r="W16" s="1123">
        <v>9.4</v>
      </c>
      <c r="X16" s="823"/>
      <c r="Y16" s="1184">
        <v>256</v>
      </c>
    </row>
    <row r="17" spans="2:27" ht="15" x14ac:dyDescent="0.2">
      <c r="B17" s="723">
        <f t="shared" si="3"/>
        <v>11</v>
      </c>
      <c r="C17" s="750" t="s">
        <v>582</v>
      </c>
      <c r="D17" s="1081">
        <v>11</v>
      </c>
      <c r="E17" s="1082">
        <v>146000</v>
      </c>
      <c r="F17" s="1083">
        <v>5.6000000000000001E-2</v>
      </c>
      <c r="G17" s="1083">
        <v>0.21099999999999999</v>
      </c>
      <c r="H17" s="1084">
        <f t="shared" si="0"/>
        <v>30806</v>
      </c>
      <c r="I17" s="1085">
        <v>-1.2E-2</v>
      </c>
      <c r="J17" s="1173"/>
      <c r="K17" s="1086">
        <v>10</v>
      </c>
      <c r="L17" s="1082">
        <v>155000</v>
      </c>
      <c r="M17" s="1083">
        <v>5.8000000000000003E-2</v>
      </c>
      <c r="N17" s="1083">
        <v>0.16500000000000001</v>
      </c>
      <c r="O17" s="1087">
        <f t="shared" si="1"/>
        <v>25575</v>
      </c>
      <c r="P17" s="1085">
        <v>3.4000000000000002E-2</v>
      </c>
      <c r="Q17" s="1168"/>
      <c r="R17" s="792">
        <v>10</v>
      </c>
      <c r="S17" s="801">
        <v>158000</v>
      </c>
      <c r="T17" s="802">
        <v>6.3E-2</v>
      </c>
      <c r="U17" s="802">
        <v>0.188</v>
      </c>
      <c r="V17" s="798">
        <f t="shared" si="2"/>
        <v>29704</v>
      </c>
      <c r="W17" s="803">
        <v>7.2</v>
      </c>
      <c r="X17" s="823"/>
      <c r="Y17" s="1185">
        <v>28</v>
      </c>
    </row>
    <row r="18" spans="2:27" ht="15" x14ac:dyDescent="0.2">
      <c r="B18" s="1111">
        <f t="shared" si="3"/>
        <v>12</v>
      </c>
      <c r="C18" s="1112" t="s">
        <v>785</v>
      </c>
      <c r="D18" s="1113">
        <v>12</v>
      </c>
      <c r="E18" s="1114">
        <v>148000</v>
      </c>
      <c r="F18" s="1115">
        <v>4.4999999999999998E-2</v>
      </c>
      <c r="G18" s="1115">
        <v>0.158</v>
      </c>
      <c r="H18" s="1116">
        <f t="shared" si="0"/>
        <v>23384</v>
      </c>
      <c r="I18" s="1117">
        <v>-6.6000000000000003E-2</v>
      </c>
      <c r="J18" s="833"/>
      <c r="K18" s="1118">
        <v>11</v>
      </c>
      <c r="L18" s="1114">
        <v>150000</v>
      </c>
      <c r="M18" s="1115">
        <v>5.1999999999999998E-2</v>
      </c>
      <c r="N18" s="1115">
        <v>0.127</v>
      </c>
      <c r="O18" s="1119">
        <f t="shared" si="1"/>
        <v>19050</v>
      </c>
      <c r="P18" s="1117">
        <v>9.2999999999999999E-2</v>
      </c>
      <c r="Q18" s="843"/>
      <c r="R18" s="1120">
        <v>14</v>
      </c>
      <c r="S18" s="1121">
        <v>169000</v>
      </c>
      <c r="T18" s="1122">
        <v>4.2000000000000003E-2</v>
      </c>
      <c r="U18" s="1122">
        <v>0.16400000000000001</v>
      </c>
      <c r="V18" s="1114">
        <f t="shared" si="2"/>
        <v>27716</v>
      </c>
      <c r="W18" s="1123">
        <v>3.1</v>
      </c>
      <c r="X18" s="823"/>
      <c r="Y18" s="1184">
        <v>282</v>
      </c>
      <c r="AA18" s="1153"/>
    </row>
    <row r="19" spans="2:27" ht="15" x14ac:dyDescent="0.2">
      <c r="B19" s="723">
        <f t="shared" si="3"/>
        <v>13</v>
      </c>
      <c r="C19" s="750" t="s">
        <v>583</v>
      </c>
      <c r="D19" s="1081">
        <v>13</v>
      </c>
      <c r="E19" s="1082">
        <v>162000</v>
      </c>
      <c r="F19" s="1083">
        <v>8.4000000000000005E-2</v>
      </c>
      <c r="G19" s="1083">
        <v>0.36099999999999999</v>
      </c>
      <c r="H19" s="1084">
        <f t="shared" si="0"/>
        <v>58482</v>
      </c>
      <c r="I19" s="1085">
        <v>0</v>
      </c>
      <c r="J19" s="1173"/>
      <c r="K19" s="1086">
        <v>12</v>
      </c>
      <c r="L19" s="1082">
        <v>190000</v>
      </c>
      <c r="M19" s="1083">
        <v>6.4000000000000001E-2</v>
      </c>
      <c r="N19" s="1083">
        <v>0.30499999999999999</v>
      </c>
      <c r="O19" s="1087">
        <f t="shared" si="1"/>
        <v>57950</v>
      </c>
      <c r="P19" s="1085">
        <v>3.4000000000000002E-2</v>
      </c>
      <c r="Q19" s="1168"/>
      <c r="R19" s="792">
        <v>12</v>
      </c>
      <c r="S19" s="801">
        <v>172000</v>
      </c>
      <c r="T19" s="802">
        <v>7.2999999999999995E-2</v>
      </c>
      <c r="U19" s="802">
        <v>0.307</v>
      </c>
      <c r="V19" s="798">
        <f t="shared" si="2"/>
        <v>52804</v>
      </c>
      <c r="W19" s="803">
        <v>10.4</v>
      </c>
      <c r="X19" s="823"/>
      <c r="Y19" s="1185">
        <v>283</v>
      </c>
    </row>
    <row r="20" spans="2:27" ht="15" x14ac:dyDescent="0.2">
      <c r="B20" s="1111">
        <f t="shared" si="3"/>
        <v>14</v>
      </c>
      <c r="C20" s="1112" t="s">
        <v>786</v>
      </c>
      <c r="D20" s="1113">
        <v>18</v>
      </c>
      <c r="E20" s="1114">
        <v>163000</v>
      </c>
      <c r="F20" s="1115">
        <v>0.06</v>
      </c>
      <c r="G20" s="1115">
        <v>0.219</v>
      </c>
      <c r="H20" s="1116">
        <f t="shared" si="0"/>
        <v>35697</v>
      </c>
      <c r="I20" s="1117">
        <v>-7.1999999999999995E-2</v>
      </c>
      <c r="J20" s="833"/>
      <c r="K20" s="1118">
        <v>21</v>
      </c>
      <c r="L20" s="1114">
        <v>175000</v>
      </c>
      <c r="M20" s="1115">
        <v>5.5E-2</v>
      </c>
      <c r="N20" s="1115">
        <v>0.20399999999999999</v>
      </c>
      <c r="O20" s="1119">
        <f t="shared" si="1"/>
        <v>35700</v>
      </c>
      <c r="P20" s="1117">
        <v>0.06</v>
      </c>
      <c r="Q20" s="843"/>
      <c r="R20" s="1120">
        <v>22</v>
      </c>
      <c r="S20" s="1121">
        <v>181000</v>
      </c>
      <c r="T20" s="1122">
        <v>6.9000000000000006E-2</v>
      </c>
      <c r="U20" s="1122">
        <v>0.19500000000000001</v>
      </c>
      <c r="V20" s="1114">
        <f t="shared" si="2"/>
        <v>35295</v>
      </c>
      <c r="W20" s="1123">
        <v>2.1</v>
      </c>
      <c r="X20" s="823"/>
      <c r="Y20" s="1184">
        <v>29</v>
      </c>
    </row>
    <row r="21" spans="2:27" ht="15" x14ac:dyDescent="0.2">
      <c r="B21" s="723">
        <f t="shared" si="3"/>
        <v>15</v>
      </c>
      <c r="C21" s="750" t="s">
        <v>584</v>
      </c>
      <c r="D21" s="1081">
        <v>10</v>
      </c>
      <c r="E21" s="1082">
        <v>150000</v>
      </c>
      <c r="F21" s="1083">
        <v>5.5E-2</v>
      </c>
      <c r="G21" s="1083">
        <v>0.156</v>
      </c>
      <c r="H21" s="1084">
        <f t="shared" si="0"/>
        <v>23400</v>
      </c>
      <c r="I21" s="1085">
        <v>2E-3</v>
      </c>
      <c r="J21" s="1173"/>
      <c r="K21" s="1086">
        <v>11</v>
      </c>
      <c r="L21" s="1082">
        <v>146000</v>
      </c>
      <c r="M21" s="1083">
        <v>5.5E-2</v>
      </c>
      <c r="N21" s="1083">
        <v>0.155</v>
      </c>
      <c r="O21" s="1087">
        <f t="shared" si="1"/>
        <v>22630</v>
      </c>
      <c r="P21" s="1085">
        <v>3.5000000000000003E-2</v>
      </c>
      <c r="Q21" s="1168"/>
      <c r="R21" s="793">
        <v>8</v>
      </c>
      <c r="S21" s="804">
        <v>121000</v>
      </c>
      <c r="T21" s="805">
        <v>5.7000000000000002E-2</v>
      </c>
      <c r="U21" s="805">
        <v>0.128</v>
      </c>
      <c r="V21" s="838">
        <f t="shared" si="2"/>
        <v>15488</v>
      </c>
      <c r="W21" s="806">
        <v>3.9</v>
      </c>
      <c r="X21" s="823"/>
      <c r="Y21" s="1185">
        <v>31</v>
      </c>
    </row>
    <row r="22" spans="2:27" ht="15" x14ac:dyDescent="0.2">
      <c r="B22" s="1149">
        <f t="shared" si="3"/>
        <v>16</v>
      </c>
      <c r="C22" s="1112" t="s">
        <v>585</v>
      </c>
      <c r="D22" s="1113">
        <v>12</v>
      </c>
      <c r="E22" s="1114">
        <v>147000</v>
      </c>
      <c r="F22" s="1115">
        <v>5.6000000000000001E-2</v>
      </c>
      <c r="G22" s="1115">
        <v>0.10100000000000001</v>
      </c>
      <c r="H22" s="1116">
        <f t="shared" si="0"/>
        <v>14847.000000000002</v>
      </c>
      <c r="I22" s="1117">
        <v>2E-3</v>
      </c>
      <c r="J22" s="833"/>
      <c r="K22" s="1118">
        <v>10</v>
      </c>
      <c r="L22" s="1128">
        <v>141000</v>
      </c>
      <c r="M22" s="1129">
        <v>5.5E-2</v>
      </c>
      <c r="N22" s="1129">
        <v>0.1</v>
      </c>
      <c r="O22" s="1130">
        <f t="shared" si="1"/>
        <v>14100</v>
      </c>
      <c r="P22" s="1131">
        <v>2.8000000000000001E-2</v>
      </c>
      <c r="Q22" s="843"/>
      <c r="R22" s="1124">
        <v>10</v>
      </c>
      <c r="S22" s="1125">
        <v>121000</v>
      </c>
      <c r="T22" s="1126">
        <v>6.7000000000000004E-2</v>
      </c>
      <c r="U22" s="1126">
        <v>9.0999999999999998E-2</v>
      </c>
      <c r="V22" s="1114">
        <f t="shared" si="2"/>
        <v>11011</v>
      </c>
      <c r="W22" s="1127">
        <v>8.1999999999999993</v>
      </c>
      <c r="X22" s="823"/>
      <c r="Y22" s="1184">
        <v>3102</v>
      </c>
    </row>
    <row r="23" spans="2:27" s="790" customFormat="1" ht="12" customHeight="1" x14ac:dyDescent="0.2">
      <c r="B23" s="836"/>
      <c r="C23" s="833"/>
      <c r="D23" s="833"/>
      <c r="E23" s="833"/>
      <c r="F23" s="833"/>
      <c r="G23" s="833"/>
      <c r="H23" s="833"/>
      <c r="I23" s="833"/>
      <c r="J23" s="833"/>
      <c r="K23" s="844"/>
      <c r="L23" s="845"/>
      <c r="M23" s="827"/>
      <c r="N23" s="827"/>
      <c r="O23" s="847"/>
      <c r="P23" s="827"/>
      <c r="Q23" s="843"/>
      <c r="R23" s="848"/>
      <c r="S23" s="849"/>
      <c r="T23" s="850"/>
      <c r="U23" s="850"/>
      <c r="V23" s="850"/>
      <c r="W23" s="851"/>
      <c r="X23" s="823"/>
      <c r="Y23" s="852"/>
    </row>
    <row r="24" spans="2:27" ht="15" x14ac:dyDescent="0.25">
      <c r="B24" s="724"/>
      <c r="C24" s="725"/>
      <c r="D24" s="1158" t="s">
        <v>0</v>
      </c>
      <c r="E24" s="1158"/>
      <c r="F24" s="1159" t="s">
        <v>692</v>
      </c>
      <c r="G24" s="1160">
        <f>G4</f>
        <v>2020</v>
      </c>
      <c r="H24" s="1158"/>
      <c r="I24" s="1158"/>
      <c r="J24" s="1174"/>
      <c r="K24" s="1158" t="s">
        <v>0</v>
      </c>
      <c r="L24" s="1158"/>
      <c r="M24" s="1159" t="s">
        <v>692</v>
      </c>
      <c r="N24" s="1160">
        <f>N4</f>
        <v>2019</v>
      </c>
      <c r="O24" s="1158"/>
      <c r="P24" s="1158"/>
      <c r="Q24" s="791"/>
      <c r="R24" s="1162"/>
      <c r="S24" s="1162"/>
      <c r="T24" s="1159" t="s">
        <v>692</v>
      </c>
      <c r="U24" s="1160">
        <f>U4</f>
        <v>2018</v>
      </c>
      <c r="V24" s="1163"/>
      <c r="W24" s="1162"/>
      <c r="X24" s="791"/>
      <c r="Y24" s="1157"/>
    </row>
    <row r="25" spans="2:27" ht="14.25" customHeight="1" x14ac:dyDescent="0.25">
      <c r="B25" s="724"/>
      <c r="C25" s="725"/>
      <c r="D25" s="1099" t="s">
        <v>565</v>
      </c>
      <c r="E25" s="1100" t="s">
        <v>566</v>
      </c>
      <c r="F25" s="1100" t="s">
        <v>567</v>
      </c>
      <c r="G25" s="1100" t="s">
        <v>567</v>
      </c>
      <c r="H25" s="1098" t="s">
        <v>697</v>
      </c>
      <c r="I25" s="2021" t="s">
        <v>669</v>
      </c>
      <c r="J25" s="1178"/>
      <c r="K25" s="1101" t="s">
        <v>565</v>
      </c>
      <c r="L25" s="1100" t="s">
        <v>566</v>
      </c>
      <c r="M25" s="1100" t="s">
        <v>567</v>
      </c>
      <c r="N25" s="1100" t="s">
        <v>567</v>
      </c>
      <c r="O25" s="1098" t="s">
        <v>697</v>
      </c>
      <c r="P25" s="2021" t="s">
        <v>669</v>
      </c>
      <c r="Q25" s="953"/>
      <c r="R25" s="1101" t="s">
        <v>565</v>
      </c>
      <c r="S25" s="1100" t="s">
        <v>566</v>
      </c>
      <c r="T25" s="1100" t="s">
        <v>567</v>
      </c>
      <c r="U25" s="1100" t="s">
        <v>567</v>
      </c>
      <c r="V25" s="1098" t="s">
        <v>697</v>
      </c>
      <c r="W25" s="2021" t="s">
        <v>669</v>
      </c>
      <c r="X25" s="953" t="s">
        <v>568</v>
      </c>
      <c r="Y25" s="2024" t="s">
        <v>670</v>
      </c>
    </row>
    <row r="26" spans="2:27" ht="20.100000000000001" customHeight="1" x14ac:dyDescent="0.25">
      <c r="B26" s="724"/>
      <c r="C26" s="1102" t="s">
        <v>688</v>
      </c>
      <c r="D26" s="1108" t="s">
        <v>569</v>
      </c>
      <c r="E26" s="1109" t="s">
        <v>570</v>
      </c>
      <c r="F26" s="1109" t="s">
        <v>667</v>
      </c>
      <c r="G26" s="1109" t="s">
        <v>668</v>
      </c>
      <c r="H26" s="1104" t="s">
        <v>698</v>
      </c>
      <c r="I26" s="2022"/>
      <c r="J26" s="1179"/>
      <c r="K26" s="1110" t="s">
        <v>569</v>
      </c>
      <c r="L26" s="1109" t="s">
        <v>570</v>
      </c>
      <c r="M26" s="1109" t="s">
        <v>667</v>
      </c>
      <c r="N26" s="1109" t="s">
        <v>668</v>
      </c>
      <c r="O26" s="1104" t="s">
        <v>698</v>
      </c>
      <c r="P26" s="2022"/>
      <c r="Q26" s="953"/>
      <c r="R26" s="1110" t="s">
        <v>569</v>
      </c>
      <c r="S26" s="1109" t="s">
        <v>570</v>
      </c>
      <c r="T26" s="1109" t="s">
        <v>667</v>
      </c>
      <c r="U26" s="1109" t="s">
        <v>668</v>
      </c>
      <c r="V26" s="1104" t="s">
        <v>698</v>
      </c>
      <c r="W26" s="2022"/>
      <c r="X26" s="953" t="s">
        <v>571</v>
      </c>
      <c r="Y26" s="2025"/>
    </row>
    <row r="27" spans="2:27" ht="15" x14ac:dyDescent="0.25">
      <c r="B27" s="1150">
        <v>17</v>
      </c>
      <c r="C27" s="722" t="s">
        <v>586</v>
      </c>
      <c r="D27" s="1088">
        <v>5</v>
      </c>
      <c r="E27" s="798">
        <v>173000</v>
      </c>
      <c r="F27" s="799">
        <v>0.112</v>
      </c>
      <c r="G27" s="799">
        <v>4.5999999999999999E-2</v>
      </c>
      <c r="H27" s="798">
        <f>E27*G27</f>
        <v>7958</v>
      </c>
      <c r="I27" s="800">
        <v>0.11700000000000001</v>
      </c>
      <c r="J27" s="833"/>
      <c r="K27" s="929">
        <v>5</v>
      </c>
      <c r="L27" s="933">
        <v>135000</v>
      </c>
      <c r="M27" s="930">
        <v>0.107</v>
      </c>
      <c r="N27" s="930">
        <v>3.5999999999999997E-2</v>
      </c>
      <c r="O27" s="931">
        <f>L27*N27</f>
        <v>4860</v>
      </c>
      <c r="P27" s="932">
        <v>5.0000000000000001E-3</v>
      </c>
      <c r="Q27" s="1169"/>
      <c r="R27" s="929">
        <v>5</v>
      </c>
      <c r="S27" s="931">
        <v>141000</v>
      </c>
      <c r="T27" s="930">
        <v>0.11799999999999999</v>
      </c>
      <c r="U27" s="930">
        <v>3.2000000000000001E-2</v>
      </c>
      <c r="V27" s="926">
        <f>U27*S27</f>
        <v>4512</v>
      </c>
      <c r="W27" s="932">
        <v>3.1E-2</v>
      </c>
      <c r="X27" s="824"/>
      <c r="Y27" s="1186">
        <v>4312</v>
      </c>
    </row>
    <row r="28" spans="2:27" ht="15" x14ac:dyDescent="0.25">
      <c r="B28" s="1111">
        <f>B27+1</f>
        <v>18</v>
      </c>
      <c r="C28" s="1112" t="s">
        <v>587</v>
      </c>
      <c r="D28" s="1132">
        <v>9</v>
      </c>
      <c r="E28" s="1114">
        <v>145000</v>
      </c>
      <c r="F28" s="1115">
        <v>5.0999999999999997E-2</v>
      </c>
      <c r="G28" s="1115">
        <v>5.8000000000000003E-2</v>
      </c>
      <c r="H28" s="1114">
        <f t="shared" ref="H28:H33" si="4">E28*G28</f>
        <v>8410</v>
      </c>
      <c r="I28" s="1117">
        <v>8.0000000000000002E-3</v>
      </c>
      <c r="J28" s="833"/>
      <c r="K28" s="1133">
        <v>7</v>
      </c>
      <c r="L28" s="1134">
        <v>144000</v>
      </c>
      <c r="M28" s="1135">
        <v>5.6000000000000001E-2</v>
      </c>
      <c r="N28" s="1135">
        <v>5.7000000000000002E-2</v>
      </c>
      <c r="O28" s="1136">
        <f t="shared" ref="O28:O33" si="5">L28*N28</f>
        <v>8208</v>
      </c>
      <c r="P28" s="1137">
        <v>7.3999999999999996E-2</v>
      </c>
      <c r="Q28" s="1169"/>
      <c r="R28" s="1133">
        <v>7</v>
      </c>
      <c r="S28" s="1136">
        <v>137000</v>
      </c>
      <c r="T28" s="1135">
        <v>4.9000000000000002E-2</v>
      </c>
      <c r="U28" s="1135">
        <v>5.7000000000000002E-2</v>
      </c>
      <c r="V28" s="1114">
        <f t="shared" ref="V28:V33" si="6">U28*S28</f>
        <v>7809</v>
      </c>
      <c r="W28" s="1137">
        <v>1.9E-2</v>
      </c>
      <c r="X28" s="1166"/>
      <c r="Y28" s="1187">
        <v>412</v>
      </c>
    </row>
    <row r="29" spans="2:27" ht="15" x14ac:dyDescent="0.25">
      <c r="B29" s="723">
        <f>B28+1</f>
        <v>19</v>
      </c>
      <c r="C29" s="722" t="s">
        <v>673</v>
      </c>
      <c r="D29" s="1089">
        <v>6</v>
      </c>
      <c r="E29" s="1090">
        <v>104000</v>
      </c>
      <c r="F29" s="1091">
        <v>5.5E-2</v>
      </c>
      <c r="G29" s="1091">
        <v>7.1999999999999995E-2</v>
      </c>
      <c r="H29" s="798">
        <f t="shared" si="4"/>
        <v>7487.9999999999991</v>
      </c>
      <c r="I29" s="1092">
        <v>6.8000000000000005E-2</v>
      </c>
      <c r="J29" s="833"/>
      <c r="K29" s="813">
        <v>6</v>
      </c>
      <c r="L29" s="809">
        <v>106000</v>
      </c>
      <c r="M29" s="810">
        <v>5.8000000000000003E-2</v>
      </c>
      <c r="N29" s="810">
        <v>7.2999999999999995E-2</v>
      </c>
      <c r="O29" s="811">
        <f t="shared" si="5"/>
        <v>7737.9999999999991</v>
      </c>
      <c r="P29" s="812">
        <v>2.3E-2</v>
      </c>
      <c r="Q29" s="1169"/>
      <c r="R29" s="813">
        <v>9</v>
      </c>
      <c r="S29" s="811">
        <v>105000</v>
      </c>
      <c r="T29" s="810">
        <v>4.4999999999999998E-2</v>
      </c>
      <c r="U29" s="810">
        <v>7.3999999999999996E-2</v>
      </c>
      <c r="V29" s="798">
        <f t="shared" si="6"/>
        <v>7770</v>
      </c>
      <c r="W29" s="812">
        <v>0</v>
      </c>
      <c r="X29" s="1166"/>
      <c r="Y29" s="1188">
        <v>4391</v>
      </c>
    </row>
    <row r="30" spans="2:27" ht="15" x14ac:dyDescent="0.25">
      <c r="B30" s="1111">
        <f>B29+1</f>
        <v>20</v>
      </c>
      <c r="C30" s="1112" t="s">
        <v>672</v>
      </c>
      <c r="D30" s="1132">
        <v>8</v>
      </c>
      <c r="E30" s="1114">
        <v>120000</v>
      </c>
      <c r="F30" s="1115">
        <v>6.4000000000000001E-2</v>
      </c>
      <c r="G30" s="1115">
        <v>0.105</v>
      </c>
      <c r="H30" s="1114">
        <f t="shared" si="4"/>
        <v>12600</v>
      </c>
      <c r="I30" s="1117">
        <v>9.7000000000000003E-2</v>
      </c>
      <c r="J30" s="833"/>
      <c r="K30" s="1133">
        <v>7</v>
      </c>
      <c r="L30" s="1134">
        <v>115000</v>
      </c>
      <c r="M30" s="1135">
        <v>0.06</v>
      </c>
      <c r="N30" s="1135">
        <v>0.106</v>
      </c>
      <c r="O30" s="1136">
        <f t="shared" si="5"/>
        <v>12190</v>
      </c>
      <c r="P30" s="1137">
        <v>1.6E-2</v>
      </c>
      <c r="Q30" s="1169"/>
      <c r="R30" s="1133">
        <v>9</v>
      </c>
      <c r="S30" s="1136">
        <v>121000</v>
      </c>
      <c r="T30" s="1135">
        <v>5.0999999999999997E-2</v>
      </c>
      <c r="U30" s="1135">
        <v>0.112</v>
      </c>
      <c r="V30" s="1114">
        <f t="shared" si="6"/>
        <v>13552</v>
      </c>
      <c r="W30" s="1137">
        <v>0</v>
      </c>
      <c r="X30" s="1166"/>
      <c r="Y30" s="1187">
        <v>4321</v>
      </c>
    </row>
    <row r="31" spans="2:27" ht="15" x14ac:dyDescent="0.25">
      <c r="B31" s="723">
        <f t="shared" ref="B31:B33" si="7">B30+1</f>
        <v>21</v>
      </c>
      <c r="C31" s="722" t="s">
        <v>671</v>
      </c>
      <c r="D31" s="1089">
        <v>6</v>
      </c>
      <c r="E31" s="1090">
        <v>134000</v>
      </c>
      <c r="F31" s="1091">
        <v>4.5999999999999999E-2</v>
      </c>
      <c r="G31" s="1091">
        <v>6.3E-2</v>
      </c>
      <c r="H31" s="798">
        <f t="shared" si="4"/>
        <v>8442</v>
      </c>
      <c r="I31" s="1092">
        <v>0</v>
      </c>
      <c r="J31" s="833"/>
      <c r="K31" s="813">
        <v>7</v>
      </c>
      <c r="L31" s="809">
        <v>132000</v>
      </c>
      <c r="M31" s="810">
        <v>4.7E-2</v>
      </c>
      <c r="N31" s="810">
        <v>7.3999999999999996E-2</v>
      </c>
      <c r="O31" s="811">
        <f t="shared" si="5"/>
        <v>9768</v>
      </c>
      <c r="P31" s="814">
        <v>3.7999999999999999E-2</v>
      </c>
      <c r="Q31" s="1169"/>
      <c r="R31" s="813">
        <v>6</v>
      </c>
      <c r="S31" s="811">
        <v>135000</v>
      </c>
      <c r="T31" s="810">
        <v>4.9000000000000002E-2</v>
      </c>
      <c r="U31" s="810">
        <v>8.3900000000000002E-2</v>
      </c>
      <c r="V31" s="798">
        <f t="shared" si="6"/>
        <v>11326.5</v>
      </c>
      <c r="W31" s="812">
        <v>0.02</v>
      </c>
      <c r="X31" s="1166"/>
      <c r="Y31" s="1188">
        <v>4322</v>
      </c>
    </row>
    <row r="32" spans="2:27" ht="15" x14ac:dyDescent="0.25">
      <c r="B32" s="1111">
        <f t="shared" si="7"/>
        <v>22</v>
      </c>
      <c r="C32" s="1112" t="s">
        <v>588</v>
      </c>
      <c r="D32" s="1132">
        <v>4</v>
      </c>
      <c r="E32" s="1114">
        <v>88000</v>
      </c>
      <c r="F32" s="1115">
        <v>6.3E-2</v>
      </c>
      <c r="G32" s="1115">
        <v>7.5999999999999998E-2</v>
      </c>
      <c r="H32" s="1114">
        <f t="shared" si="4"/>
        <v>6688</v>
      </c>
      <c r="I32" s="1117">
        <v>0</v>
      </c>
      <c r="J32" s="833"/>
      <c r="K32" s="1133">
        <v>4</v>
      </c>
      <c r="L32" s="1134">
        <v>101000</v>
      </c>
      <c r="M32" s="1135">
        <v>6.3E-2</v>
      </c>
      <c r="N32" s="1135">
        <v>8.6999999999999994E-2</v>
      </c>
      <c r="O32" s="1136">
        <f t="shared" si="5"/>
        <v>8787</v>
      </c>
      <c r="P32" s="1138">
        <v>7.9000000000000001E-2</v>
      </c>
      <c r="Q32" s="1169"/>
      <c r="R32" s="1133">
        <v>5</v>
      </c>
      <c r="S32" s="1136">
        <v>96000</v>
      </c>
      <c r="T32" s="1135">
        <v>5.8000000000000003E-2</v>
      </c>
      <c r="U32" s="1135">
        <v>6.4000000000000001E-2</v>
      </c>
      <c r="V32" s="1114">
        <f t="shared" si="6"/>
        <v>6144</v>
      </c>
      <c r="W32" s="1137">
        <v>5.2999999999999999E-2</v>
      </c>
      <c r="X32" s="1166"/>
      <c r="Y32" s="1187">
        <v>4332</v>
      </c>
    </row>
    <row r="33" spans="2:25" ht="15" x14ac:dyDescent="0.25">
      <c r="B33" s="751">
        <f t="shared" si="7"/>
        <v>23</v>
      </c>
      <c r="C33" s="722" t="s">
        <v>589</v>
      </c>
      <c r="D33" s="1089">
        <v>7</v>
      </c>
      <c r="E33" s="1090">
        <v>97000</v>
      </c>
      <c r="F33" s="1091">
        <v>0.107</v>
      </c>
      <c r="G33" s="1091">
        <v>5.8999999999999997E-2</v>
      </c>
      <c r="H33" s="798">
        <f t="shared" si="4"/>
        <v>5723</v>
      </c>
      <c r="I33" s="1092">
        <v>1.4999999999999999E-2</v>
      </c>
      <c r="J33" s="833"/>
      <c r="K33" s="813">
        <v>5</v>
      </c>
      <c r="L33" s="809">
        <v>99000</v>
      </c>
      <c r="M33" s="810">
        <v>8.4000000000000005E-2</v>
      </c>
      <c r="N33" s="810">
        <v>5.2999999999999999E-2</v>
      </c>
      <c r="O33" s="811">
        <f t="shared" si="5"/>
        <v>5247</v>
      </c>
      <c r="P33" s="814">
        <v>0.16700000000000001</v>
      </c>
      <c r="Q33" s="1169"/>
      <c r="R33" s="813">
        <v>5</v>
      </c>
      <c r="S33" s="811">
        <v>87000</v>
      </c>
      <c r="T33" s="810">
        <v>8.1000000000000003E-2</v>
      </c>
      <c r="U33" s="810">
        <v>3.4000000000000002E-2</v>
      </c>
      <c r="V33" s="798">
        <f t="shared" si="6"/>
        <v>2958</v>
      </c>
      <c r="W33" s="812">
        <v>0.03</v>
      </c>
      <c r="X33" s="1166"/>
      <c r="Y33" s="1188">
        <v>43341</v>
      </c>
    </row>
    <row r="34" spans="2:25" s="789" customFormat="1" ht="12" customHeight="1" x14ac:dyDescent="0.25">
      <c r="B34" s="807"/>
      <c r="C34" s="808"/>
      <c r="D34" s="808"/>
      <c r="E34" s="808"/>
      <c r="F34" s="808"/>
      <c r="G34" s="808"/>
      <c r="H34" s="808"/>
      <c r="I34" s="808"/>
      <c r="J34" s="833"/>
      <c r="K34" s="815"/>
      <c r="L34" s="816"/>
      <c r="M34" s="817"/>
      <c r="N34" s="817"/>
      <c r="O34" s="818"/>
      <c r="P34" s="817"/>
      <c r="Q34" s="1169"/>
      <c r="R34" s="815"/>
      <c r="S34" s="818"/>
      <c r="T34" s="817"/>
      <c r="U34" s="817"/>
      <c r="V34" s="817"/>
      <c r="W34" s="817"/>
      <c r="X34" s="1166"/>
      <c r="Y34" s="819"/>
    </row>
    <row r="35" spans="2:25" ht="15" x14ac:dyDescent="0.25">
      <c r="B35" s="724"/>
      <c r="C35" s="725"/>
      <c r="D35" s="1158" t="s">
        <v>0</v>
      </c>
      <c r="E35" s="1158"/>
      <c r="F35" s="1159" t="s">
        <v>692</v>
      </c>
      <c r="G35" s="1161">
        <v>2020</v>
      </c>
      <c r="H35" s="1158"/>
      <c r="I35" s="1158"/>
      <c r="J35" s="1174"/>
      <c r="K35" s="1158" t="s">
        <v>0</v>
      </c>
      <c r="L35" s="1158"/>
      <c r="M35" s="1159" t="s">
        <v>692</v>
      </c>
      <c r="N35" s="1160">
        <f>N24</f>
        <v>2019</v>
      </c>
      <c r="O35" s="1158"/>
      <c r="P35" s="1158"/>
      <c r="Q35" s="791"/>
      <c r="R35" s="1154"/>
      <c r="S35" s="1154"/>
      <c r="T35" s="1155" t="s">
        <v>692</v>
      </c>
      <c r="U35" s="1156">
        <f>U24</f>
        <v>2018</v>
      </c>
      <c r="V35" s="1154"/>
      <c r="W35" s="1154"/>
      <c r="X35" s="791"/>
      <c r="Y35" s="1157"/>
    </row>
    <row r="36" spans="2:25" ht="14.25" customHeight="1" x14ac:dyDescent="0.25">
      <c r="B36" s="724"/>
      <c r="C36" s="725"/>
      <c r="D36" s="1099" t="s">
        <v>565</v>
      </c>
      <c r="E36" s="1100" t="s">
        <v>566</v>
      </c>
      <c r="F36" s="1100" t="s">
        <v>567</v>
      </c>
      <c r="G36" s="1100" t="s">
        <v>567</v>
      </c>
      <c r="H36" s="1098" t="s">
        <v>697</v>
      </c>
      <c r="I36" s="2021" t="s">
        <v>669</v>
      </c>
      <c r="J36" s="1178"/>
      <c r="K36" s="1101" t="s">
        <v>565</v>
      </c>
      <c r="L36" s="1100" t="s">
        <v>566</v>
      </c>
      <c r="M36" s="1100" t="s">
        <v>567</v>
      </c>
      <c r="N36" s="1100" t="s">
        <v>567</v>
      </c>
      <c r="O36" s="1098" t="s">
        <v>697</v>
      </c>
      <c r="P36" s="2021" t="s">
        <v>669</v>
      </c>
      <c r="Q36" s="953"/>
      <c r="R36" s="1101" t="s">
        <v>565</v>
      </c>
      <c r="S36" s="1100" t="s">
        <v>566</v>
      </c>
      <c r="T36" s="1100" t="s">
        <v>567</v>
      </c>
      <c r="U36" s="1100" t="s">
        <v>567</v>
      </c>
      <c r="V36" s="1098" t="s">
        <v>697</v>
      </c>
      <c r="W36" s="2021" t="s">
        <v>669</v>
      </c>
      <c r="X36" s="953" t="s">
        <v>568</v>
      </c>
      <c r="Y36" s="2024" t="s">
        <v>670</v>
      </c>
    </row>
    <row r="37" spans="2:25" ht="20.100000000000001" customHeight="1" x14ac:dyDescent="0.25">
      <c r="B37" s="724"/>
      <c r="C37" s="1102" t="s">
        <v>689</v>
      </c>
      <c r="D37" s="1108" t="s">
        <v>569</v>
      </c>
      <c r="E37" s="1109" t="s">
        <v>570</v>
      </c>
      <c r="F37" s="1109" t="s">
        <v>667</v>
      </c>
      <c r="G37" s="1109" t="s">
        <v>668</v>
      </c>
      <c r="H37" s="1104" t="s">
        <v>698</v>
      </c>
      <c r="I37" s="2023"/>
      <c r="J37" s="1179"/>
      <c r="K37" s="1110" t="s">
        <v>569</v>
      </c>
      <c r="L37" s="1109" t="s">
        <v>570</v>
      </c>
      <c r="M37" s="1109" t="s">
        <v>667</v>
      </c>
      <c r="N37" s="1109" t="s">
        <v>668</v>
      </c>
      <c r="O37" s="1104" t="s">
        <v>698</v>
      </c>
      <c r="P37" s="2022"/>
      <c r="Q37" s="953"/>
      <c r="R37" s="1110" t="s">
        <v>569</v>
      </c>
      <c r="S37" s="1109" t="s">
        <v>570</v>
      </c>
      <c r="T37" s="1109" t="s">
        <v>667</v>
      </c>
      <c r="U37" s="1109" t="s">
        <v>668</v>
      </c>
      <c r="V37" s="1104" t="s">
        <v>698</v>
      </c>
      <c r="W37" s="2022"/>
      <c r="X37" s="953" t="s">
        <v>571</v>
      </c>
      <c r="Y37" s="2025"/>
    </row>
    <row r="38" spans="2:25" ht="15" x14ac:dyDescent="0.25">
      <c r="B38" s="1150">
        <v>24</v>
      </c>
      <c r="C38" s="725" t="s">
        <v>787</v>
      </c>
      <c r="D38" s="684">
        <v>2</v>
      </c>
      <c r="E38" s="798">
        <v>417000</v>
      </c>
      <c r="F38" s="799">
        <v>0.03</v>
      </c>
      <c r="G38" s="799">
        <v>0.126</v>
      </c>
      <c r="H38" s="798">
        <f>E38*G38</f>
        <v>52542</v>
      </c>
      <c r="I38" s="800">
        <v>0</v>
      </c>
      <c r="J38" s="833"/>
      <c r="K38" s="925">
        <v>2</v>
      </c>
      <c r="L38" s="926">
        <v>568000</v>
      </c>
      <c r="M38" s="927">
        <v>2.8000000000000001E-2</v>
      </c>
      <c r="N38" s="927">
        <v>0.13800000000000001</v>
      </c>
      <c r="O38" s="926">
        <f>L38*N38</f>
        <v>78384</v>
      </c>
      <c r="P38" s="928">
        <v>0</v>
      </c>
      <c r="Q38" s="843"/>
      <c r="R38" s="925">
        <v>0</v>
      </c>
      <c r="S38" s="926">
        <v>524000</v>
      </c>
      <c r="T38" s="927">
        <v>2.9000000000000001E-2</v>
      </c>
      <c r="U38" s="927">
        <v>0.11600000000000001</v>
      </c>
      <c r="V38" s="926">
        <f>S38*U38</f>
        <v>60784</v>
      </c>
      <c r="W38" s="928">
        <v>2.4E-2</v>
      </c>
      <c r="X38" s="826"/>
      <c r="Y38" s="1188">
        <v>4511</v>
      </c>
    </row>
    <row r="39" spans="2:25" ht="15" x14ac:dyDescent="0.2">
      <c r="B39" s="1111">
        <f>B38+1</f>
        <v>25</v>
      </c>
      <c r="C39" s="1112" t="s">
        <v>590</v>
      </c>
      <c r="D39" s="1113">
        <v>3</v>
      </c>
      <c r="E39" s="1114">
        <v>107000</v>
      </c>
      <c r="F39" s="1115">
        <v>7.0999999999999994E-2</v>
      </c>
      <c r="G39" s="1115">
        <v>5.8999999999999997E-2</v>
      </c>
      <c r="H39" s="1114">
        <f t="shared" ref="H39:H46" si="8">E39*G39</f>
        <v>6313</v>
      </c>
      <c r="I39" s="1117">
        <v>0</v>
      </c>
      <c r="J39" s="833"/>
      <c r="K39" s="1139">
        <v>3</v>
      </c>
      <c r="L39" s="1140">
        <v>110000</v>
      </c>
      <c r="M39" s="1141">
        <v>6.2E-2</v>
      </c>
      <c r="N39" s="1141">
        <v>5.1999999999999998E-2</v>
      </c>
      <c r="O39" s="1140">
        <f>L39*N39</f>
        <v>5720</v>
      </c>
      <c r="P39" s="1142">
        <v>1.6E-2</v>
      </c>
      <c r="Q39" s="843"/>
      <c r="R39" s="1139">
        <v>2</v>
      </c>
      <c r="S39" s="1140">
        <v>110000</v>
      </c>
      <c r="T39" s="1141">
        <v>7.9000000000000001E-2</v>
      </c>
      <c r="U39" s="1141">
        <v>5.6000000000000001E-2</v>
      </c>
      <c r="V39" s="1140">
        <f t="shared" ref="V39:V46" si="9">U39*S39</f>
        <v>6160</v>
      </c>
      <c r="W39" s="1142">
        <v>2.1999999999999999E-2</v>
      </c>
      <c r="X39" s="826"/>
      <c r="Y39" s="1187">
        <v>452</v>
      </c>
    </row>
    <row r="40" spans="2:25" ht="15" x14ac:dyDescent="0.2">
      <c r="B40" s="723">
        <f t="shared" ref="B40:B43" si="10">B39+1</f>
        <v>26</v>
      </c>
      <c r="C40" s="1144" t="s">
        <v>591</v>
      </c>
      <c r="D40" s="1094">
        <v>4</v>
      </c>
      <c r="E40" s="1090">
        <v>176000</v>
      </c>
      <c r="F40" s="1091">
        <v>4.3999999999999997E-2</v>
      </c>
      <c r="G40" s="1091">
        <v>0.159</v>
      </c>
      <c r="H40" s="1090">
        <f t="shared" si="8"/>
        <v>27984</v>
      </c>
      <c r="I40" s="1092">
        <v>1.6E-2</v>
      </c>
      <c r="J40" s="833"/>
      <c r="K40" s="1095">
        <v>4</v>
      </c>
      <c r="L40" s="1090">
        <v>160000</v>
      </c>
      <c r="M40" s="1091">
        <v>4.3999999999999997E-2</v>
      </c>
      <c r="N40" s="1091">
        <v>0.16900000000000001</v>
      </c>
      <c r="O40" s="1090">
        <f t="shared" ref="O40:O46" si="11">L40*N40</f>
        <v>27040</v>
      </c>
      <c r="P40" s="1092">
        <v>1.7999999999999999E-2</v>
      </c>
      <c r="Q40" s="843"/>
      <c r="R40" s="1095">
        <v>4</v>
      </c>
      <c r="S40" s="1090">
        <v>183000</v>
      </c>
      <c r="T40" s="1091">
        <v>4.9000000000000002E-2</v>
      </c>
      <c r="U40" s="1091">
        <v>0.16700000000000001</v>
      </c>
      <c r="V40" s="1090">
        <f t="shared" si="9"/>
        <v>30561</v>
      </c>
      <c r="W40" s="1092">
        <v>3.6999999999999998E-2</v>
      </c>
      <c r="X40" s="1167"/>
      <c r="Y40" s="1189">
        <v>453</v>
      </c>
    </row>
    <row r="41" spans="2:25" ht="15" x14ac:dyDescent="0.2">
      <c r="B41" s="1111">
        <f t="shared" si="10"/>
        <v>27</v>
      </c>
      <c r="C41" s="1112" t="s">
        <v>592</v>
      </c>
      <c r="D41" s="1113">
        <v>2</v>
      </c>
      <c r="E41" s="1114">
        <v>119000</v>
      </c>
      <c r="F41" s="1115">
        <v>0.04</v>
      </c>
      <c r="G41" s="1115">
        <v>0.124</v>
      </c>
      <c r="H41" s="1114">
        <f t="shared" si="8"/>
        <v>14756</v>
      </c>
      <c r="I41" s="1117">
        <v>2.4E-2</v>
      </c>
      <c r="J41" s="833"/>
      <c r="K41" s="1118">
        <v>3</v>
      </c>
      <c r="L41" s="1114">
        <v>202000</v>
      </c>
      <c r="M41" s="1115">
        <v>2.3E-2</v>
      </c>
      <c r="N41" s="1115">
        <v>0.13400000000000001</v>
      </c>
      <c r="O41" s="1114">
        <f t="shared" si="11"/>
        <v>27068</v>
      </c>
      <c r="P41" s="1117">
        <v>0</v>
      </c>
      <c r="Q41" s="843"/>
      <c r="R41" s="1118">
        <v>3</v>
      </c>
      <c r="S41" s="1114">
        <v>265000</v>
      </c>
      <c r="T41" s="1115">
        <v>2.1000000000000001E-2</v>
      </c>
      <c r="U41" s="1115">
        <v>0.16800000000000001</v>
      </c>
      <c r="V41" s="1114">
        <f t="shared" si="9"/>
        <v>44520</v>
      </c>
      <c r="W41" s="1117">
        <v>4.4999999999999998E-2</v>
      </c>
      <c r="X41" s="1167"/>
      <c r="Y41" s="1187">
        <v>454</v>
      </c>
    </row>
    <row r="42" spans="2:25" ht="15" x14ac:dyDescent="0.2">
      <c r="B42" s="723">
        <f t="shared" si="10"/>
        <v>28</v>
      </c>
      <c r="C42" s="1144" t="s">
        <v>674</v>
      </c>
      <c r="D42" s="1094">
        <v>4</v>
      </c>
      <c r="E42" s="1090">
        <v>169000</v>
      </c>
      <c r="F42" s="1091">
        <v>3.7999999999999999E-2</v>
      </c>
      <c r="G42" s="1091">
        <v>5.2999999999999999E-2</v>
      </c>
      <c r="H42" s="1090">
        <f t="shared" si="8"/>
        <v>8957</v>
      </c>
      <c r="I42" s="1092">
        <v>1.7999999999999999E-2</v>
      </c>
      <c r="J42" s="833"/>
      <c r="K42" s="1095">
        <v>3</v>
      </c>
      <c r="L42" s="1090">
        <v>137000</v>
      </c>
      <c r="M42" s="1091">
        <v>5.3999999999999999E-2</v>
      </c>
      <c r="N42" s="1091">
        <v>7.0000000000000007E-2</v>
      </c>
      <c r="O42" s="1090">
        <f t="shared" si="11"/>
        <v>9590.0000000000018</v>
      </c>
      <c r="P42" s="1092">
        <v>2.5000000000000001E-2</v>
      </c>
      <c r="Q42" s="843"/>
      <c r="R42" s="1095">
        <v>3</v>
      </c>
      <c r="S42" s="1090">
        <v>191000</v>
      </c>
      <c r="T42" s="1091">
        <v>4.2000000000000003E-2</v>
      </c>
      <c r="U42" s="1091">
        <v>9.2999999999999999E-2</v>
      </c>
      <c r="V42" s="1090">
        <f t="shared" si="9"/>
        <v>17763</v>
      </c>
      <c r="W42" s="1092">
        <v>2.9000000000000001E-2</v>
      </c>
      <c r="X42" s="1167"/>
      <c r="Y42" s="1189">
        <v>45322</v>
      </c>
    </row>
    <row r="43" spans="2:25" ht="15" x14ac:dyDescent="0.2">
      <c r="B43" s="1111">
        <f t="shared" si="10"/>
        <v>29</v>
      </c>
      <c r="C43" s="1112" t="s">
        <v>678</v>
      </c>
      <c r="D43" s="1113">
        <v>4</v>
      </c>
      <c r="E43" s="1114">
        <v>253000</v>
      </c>
      <c r="F43" s="1115">
        <v>6.0999999999999999E-2</v>
      </c>
      <c r="G43" s="1115">
        <v>0.18099999999999999</v>
      </c>
      <c r="H43" s="1114">
        <f t="shared" si="8"/>
        <v>45793</v>
      </c>
      <c r="I43" s="1117">
        <v>7.0999999999999994E-2</v>
      </c>
      <c r="J43" s="833"/>
      <c r="K43" s="1118">
        <v>4</v>
      </c>
      <c r="L43" s="1114">
        <v>223000</v>
      </c>
      <c r="M43" s="1115">
        <v>2.5000000000000001E-2</v>
      </c>
      <c r="N43" s="1115">
        <v>0.182</v>
      </c>
      <c r="O43" s="1114">
        <f t="shared" si="11"/>
        <v>40586</v>
      </c>
      <c r="P43" s="1117">
        <v>0</v>
      </c>
      <c r="Q43" s="843"/>
      <c r="R43" s="1118">
        <v>5</v>
      </c>
      <c r="S43" s="1114">
        <v>251000</v>
      </c>
      <c r="T43" s="1115">
        <v>3.9E-2</v>
      </c>
      <c r="U43" s="1115">
        <v>0.188</v>
      </c>
      <c r="V43" s="1114">
        <f t="shared" si="9"/>
        <v>47188</v>
      </c>
      <c r="W43" s="1117">
        <v>0</v>
      </c>
      <c r="X43" s="1167"/>
      <c r="Y43" s="1187">
        <v>47521</v>
      </c>
    </row>
    <row r="44" spans="2:25" s="789" customFormat="1" ht="15" x14ac:dyDescent="0.2">
      <c r="B44" s="836">
        <v>30</v>
      </c>
      <c r="C44" s="833" t="s">
        <v>675</v>
      </c>
      <c r="D44" s="684">
        <v>2</v>
      </c>
      <c r="E44" s="798">
        <v>95000</v>
      </c>
      <c r="F44" s="799">
        <v>3.4000000000000002E-2</v>
      </c>
      <c r="G44" s="799">
        <v>0.27900000000000003</v>
      </c>
      <c r="H44" s="798">
        <f t="shared" si="8"/>
        <v>26505.000000000004</v>
      </c>
      <c r="I44" s="800">
        <v>-7.6999999999999999E-2</v>
      </c>
      <c r="J44" s="833"/>
      <c r="K44" s="795">
        <v>2</v>
      </c>
      <c r="L44" s="798">
        <v>105000</v>
      </c>
      <c r="M44" s="799">
        <v>3.2000000000000001E-2</v>
      </c>
      <c r="N44" s="799">
        <v>0.25</v>
      </c>
      <c r="O44" s="798">
        <f t="shared" si="11"/>
        <v>26250</v>
      </c>
      <c r="P44" s="800">
        <v>0</v>
      </c>
      <c r="Q44" s="843"/>
      <c r="R44" s="795">
        <v>2</v>
      </c>
      <c r="S44" s="798">
        <v>412000</v>
      </c>
      <c r="T44" s="799">
        <v>4.3999999999999997E-2</v>
      </c>
      <c r="U44" s="799">
        <v>0.221</v>
      </c>
      <c r="V44" s="798">
        <f t="shared" si="9"/>
        <v>91052</v>
      </c>
      <c r="W44" s="800">
        <v>0</v>
      </c>
      <c r="X44" s="1167"/>
      <c r="Y44" s="1188">
        <v>4771</v>
      </c>
    </row>
    <row r="45" spans="2:25" s="789" customFormat="1" ht="15" x14ac:dyDescent="0.2">
      <c r="B45" s="1111">
        <v>31</v>
      </c>
      <c r="C45" s="1143" t="s">
        <v>676</v>
      </c>
      <c r="D45" s="1113">
        <v>2</v>
      </c>
      <c r="E45" s="1114">
        <v>112000</v>
      </c>
      <c r="F45" s="1115">
        <v>2.1000000000000001E-2</v>
      </c>
      <c r="G45" s="1115">
        <v>0.49099999999999999</v>
      </c>
      <c r="H45" s="1114">
        <f t="shared" si="8"/>
        <v>54992</v>
      </c>
      <c r="I45" s="1117">
        <v>-0.22500000000000001</v>
      </c>
      <c r="J45" s="833"/>
      <c r="K45" s="1118">
        <v>3</v>
      </c>
      <c r="L45" s="1114">
        <v>127000</v>
      </c>
      <c r="M45" s="1115">
        <v>1.7999999999999999E-2</v>
      </c>
      <c r="N45" s="1115">
        <v>0.25900000000000001</v>
      </c>
      <c r="O45" s="1114">
        <f t="shared" si="11"/>
        <v>32893</v>
      </c>
      <c r="P45" s="1117">
        <v>-1E-3</v>
      </c>
      <c r="Q45" s="1170"/>
      <c r="R45" s="1118">
        <v>2</v>
      </c>
      <c r="S45" s="1114">
        <v>117000</v>
      </c>
      <c r="T45" s="1115">
        <v>0.01</v>
      </c>
      <c r="U45" s="1115">
        <v>0.28999999999999998</v>
      </c>
      <c r="V45" s="1114">
        <f t="shared" si="9"/>
        <v>33930</v>
      </c>
      <c r="W45" s="1117">
        <v>-8.0000000000000002E-3</v>
      </c>
      <c r="X45" s="826"/>
      <c r="Y45" s="1187">
        <v>4772</v>
      </c>
    </row>
    <row r="46" spans="2:25" s="789" customFormat="1" ht="15" x14ac:dyDescent="0.2">
      <c r="B46" s="1151">
        <v>32</v>
      </c>
      <c r="C46" s="1093" t="s">
        <v>677</v>
      </c>
      <c r="D46" s="1094">
        <v>2</v>
      </c>
      <c r="E46" s="1090">
        <v>98000</v>
      </c>
      <c r="F46" s="1091">
        <v>9.6000000000000002E-2</v>
      </c>
      <c r="G46" s="1091">
        <v>0</v>
      </c>
      <c r="H46" s="798">
        <f t="shared" si="8"/>
        <v>0</v>
      </c>
      <c r="I46" s="1092">
        <v>0.192</v>
      </c>
      <c r="J46" s="833"/>
      <c r="K46" s="1095">
        <v>1</v>
      </c>
      <c r="L46" s="1090">
        <v>42000</v>
      </c>
      <c r="M46" s="1091">
        <v>2.9000000000000001E-2</v>
      </c>
      <c r="N46" s="1091">
        <v>2.3E-2</v>
      </c>
      <c r="O46" s="1090">
        <f t="shared" si="11"/>
        <v>966</v>
      </c>
      <c r="P46" s="1092">
        <v>0</v>
      </c>
      <c r="Q46" s="843"/>
      <c r="R46" s="1095">
        <v>1</v>
      </c>
      <c r="S46" s="1090">
        <v>104000</v>
      </c>
      <c r="T46" s="1091">
        <v>3.6999999999999998E-2</v>
      </c>
      <c r="U46" s="1091">
        <v>1.4E-2</v>
      </c>
      <c r="V46" s="1090">
        <f t="shared" si="9"/>
        <v>1456</v>
      </c>
      <c r="W46" s="1092">
        <v>0</v>
      </c>
      <c r="X46" s="826"/>
      <c r="Y46" s="1189">
        <v>47761</v>
      </c>
    </row>
    <row r="47" spans="2:25" s="790" customFormat="1" ht="12" customHeight="1" x14ac:dyDescent="0.2">
      <c r="B47" s="836"/>
      <c r="C47" s="833"/>
      <c r="D47" s="833"/>
      <c r="E47" s="833"/>
      <c r="F47" s="833"/>
      <c r="G47" s="833"/>
      <c r="H47" s="833"/>
      <c r="I47" s="833"/>
      <c r="J47" s="833"/>
      <c r="K47" s="844"/>
      <c r="L47" s="845"/>
      <c r="M47" s="827"/>
      <c r="N47" s="827"/>
      <c r="O47" s="845"/>
      <c r="P47" s="827"/>
      <c r="Q47" s="843"/>
      <c r="R47" s="844"/>
      <c r="S47" s="845"/>
      <c r="T47" s="827"/>
      <c r="U47" s="827"/>
      <c r="V47" s="827"/>
      <c r="W47" s="827"/>
      <c r="X47" s="826"/>
      <c r="Y47" s="846"/>
    </row>
    <row r="48" spans="2:25" ht="14.25" customHeight="1" x14ac:dyDescent="0.25">
      <c r="B48" s="724"/>
      <c r="C48" s="725"/>
      <c r="D48" s="1158" t="s">
        <v>0</v>
      </c>
      <c r="E48" s="1158"/>
      <c r="F48" s="1159" t="s">
        <v>692</v>
      </c>
      <c r="G48" s="1161">
        <v>2020</v>
      </c>
      <c r="H48" s="1158"/>
      <c r="I48" s="1158"/>
      <c r="J48" s="1174"/>
      <c r="K48" s="1158" t="str">
        <f>K35</f>
        <v xml:space="preserve"> </v>
      </c>
      <c r="L48" s="1158"/>
      <c r="M48" s="1159" t="s">
        <v>692</v>
      </c>
      <c r="N48" s="1160">
        <f>N35</f>
        <v>2019</v>
      </c>
      <c r="O48" s="1158"/>
      <c r="P48" s="1158"/>
      <c r="Q48" s="791"/>
      <c r="R48" s="1154" t="s">
        <v>0</v>
      </c>
      <c r="S48" s="1154"/>
      <c r="T48" s="1155" t="s">
        <v>692</v>
      </c>
      <c r="U48" s="1156">
        <f>U35</f>
        <v>2018</v>
      </c>
      <c r="V48" s="1154"/>
      <c r="W48" s="1154"/>
      <c r="X48" s="791"/>
      <c r="Y48" s="1157"/>
    </row>
    <row r="49" spans="2:28" ht="15" x14ac:dyDescent="0.25">
      <c r="B49" s="724"/>
      <c r="C49" s="725"/>
      <c r="D49" s="1099" t="s">
        <v>565</v>
      </c>
      <c r="E49" s="1100" t="s">
        <v>566</v>
      </c>
      <c r="F49" s="1100" t="s">
        <v>567</v>
      </c>
      <c r="G49" s="1100" t="s">
        <v>567</v>
      </c>
      <c r="H49" s="1098" t="s">
        <v>697</v>
      </c>
      <c r="I49" s="2021" t="s">
        <v>669</v>
      </c>
      <c r="J49" s="1178"/>
      <c r="K49" s="1101" t="s">
        <v>565</v>
      </c>
      <c r="L49" s="1100" t="s">
        <v>566</v>
      </c>
      <c r="M49" s="1100" t="s">
        <v>567</v>
      </c>
      <c r="N49" s="1100" t="s">
        <v>567</v>
      </c>
      <c r="O49" s="1098" t="s">
        <v>697</v>
      </c>
      <c r="P49" s="2021" t="s">
        <v>669</v>
      </c>
      <c r="Q49" s="953"/>
      <c r="R49" s="1101" t="s">
        <v>565</v>
      </c>
      <c r="S49" s="1100" t="s">
        <v>566</v>
      </c>
      <c r="T49" s="1100" t="s">
        <v>567</v>
      </c>
      <c r="U49" s="1100" t="s">
        <v>567</v>
      </c>
      <c r="V49" s="1098" t="s">
        <v>697</v>
      </c>
      <c r="W49" s="2028" t="s">
        <v>669</v>
      </c>
      <c r="X49" s="953" t="s">
        <v>568</v>
      </c>
      <c r="Y49" s="2024" t="s">
        <v>670</v>
      </c>
    </row>
    <row r="50" spans="2:28" ht="20.100000000000001" customHeight="1" x14ac:dyDescent="0.25">
      <c r="B50" s="724"/>
      <c r="C50" s="1102" t="s">
        <v>690</v>
      </c>
      <c r="D50" s="1108" t="s">
        <v>569</v>
      </c>
      <c r="E50" s="1109" t="s">
        <v>570</v>
      </c>
      <c r="F50" s="1109" t="s">
        <v>667</v>
      </c>
      <c r="G50" s="1109" t="s">
        <v>668</v>
      </c>
      <c r="H50" s="1104" t="s">
        <v>698</v>
      </c>
      <c r="I50" s="2022"/>
      <c r="J50" s="1179"/>
      <c r="K50" s="1110" t="s">
        <v>569</v>
      </c>
      <c r="L50" s="1109" t="s">
        <v>570</v>
      </c>
      <c r="M50" s="1109" t="s">
        <v>667</v>
      </c>
      <c r="N50" s="1109" t="s">
        <v>668</v>
      </c>
      <c r="O50" s="1104" t="s">
        <v>698</v>
      </c>
      <c r="P50" s="2022"/>
      <c r="Q50" s="953"/>
      <c r="R50" s="1110" t="s">
        <v>569</v>
      </c>
      <c r="S50" s="1109" t="s">
        <v>570</v>
      </c>
      <c r="T50" s="1109" t="s">
        <v>667</v>
      </c>
      <c r="U50" s="1109" t="s">
        <v>668</v>
      </c>
      <c r="V50" s="1104" t="s">
        <v>698</v>
      </c>
      <c r="W50" s="2029"/>
      <c r="X50" s="953" t="s">
        <v>571</v>
      </c>
      <c r="Y50" s="2025"/>
    </row>
    <row r="51" spans="2:28" ht="15" x14ac:dyDescent="0.2">
      <c r="B51" s="1150">
        <v>33</v>
      </c>
      <c r="C51" s="722" t="s">
        <v>602</v>
      </c>
      <c r="D51" s="1088">
        <v>3</v>
      </c>
      <c r="E51" s="798">
        <v>51000</v>
      </c>
      <c r="F51" s="799">
        <v>9.5000000000000001E-2</v>
      </c>
      <c r="G51" s="799">
        <v>4.7E-2</v>
      </c>
      <c r="H51" s="798">
        <f>E51*G51</f>
        <v>2397</v>
      </c>
      <c r="I51" s="800">
        <v>8.0000000000000002E-3</v>
      </c>
      <c r="J51" s="833"/>
      <c r="K51" s="925">
        <v>2</v>
      </c>
      <c r="L51" s="926">
        <v>54000</v>
      </c>
      <c r="M51" s="927">
        <v>9.7000000000000003E-2</v>
      </c>
      <c r="N51" s="927">
        <v>3.2000000000000001E-2</v>
      </c>
      <c r="O51" s="926">
        <f>L51*N51</f>
        <v>1728</v>
      </c>
      <c r="P51" s="928">
        <v>2.3E-2</v>
      </c>
      <c r="Q51" s="841"/>
      <c r="R51" s="925">
        <v>3</v>
      </c>
      <c r="S51" s="926">
        <v>57000</v>
      </c>
      <c r="T51" s="927">
        <v>0.08</v>
      </c>
      <c r="U51" s="927">
        <v>3.9E-2</v>
      </c>
      <c r="V51" s="926">
        <f t="shared" ref="V51:V74" si="12">U51*S51</f>
        <v>2223</v>
      </c>
      <c r="W51" s="928">
        <v>2.8000000000000001E-2</v>
      </c>
      <c r="X51" s="827"/>
      <c r="Y51" s="1190">
        <v>86901</v>
      </c>
      <c r="Z51" s="833"/>
      <c r="AA51" s="834"/>
      <c r="AB51" s="834"/>
    </row>
    <row r="52" spans="2:28" ht="15" x14ac:dyDescent="0.2">
      <c r="B52" s="1111">
        <f t="shared" ref="B52:B70" si="13">B51+1</f>
        <v>34</v>
      </c>
      <c r="C52" s="1112" t="s">
        <v>679</v>
      </c>
      <c r="D52" s="1132">
        <v>1</v>
      </c>
      <c r="E52" s="1114">
        <v>56000</v>
      </c>
      <c r="F52" s="1115">
        <v>4.9000000000000002E-2</v>
      </c>
      <c r="G52" s="1115">
        <v>2.8000000000000001E-2</v>
      </c>
      <c r="H52" s="1114">
        <f t="shared" ref="H52:H74" si="14">E52*G52</f>
        <v>1568</v>
      </c>
      <c r="I52" s="1117">
        <v>-3.5999999999999997E-2</v>
      </c>
      <c r="J52" s="833"/>
      <c r="K52" s="1118">
        <v>1</v>
      </c>
      <c r="L52" s="1114">
        <v>52000</v>
      </c>
      <c r="M52" s="1115">
        <v>6.8000000000000005E-2</v>
      </c>
      <c r="N52" s="1115">
        <v>1.7999999999999999E-2</v>
      </c>
      <c r="O52" s="1114">
        <f>L52*N52</f>
        <v>935.99999999999989</v>
      </c>
      <c r="P52" s="1117">
        <v>0</v>
      </c>
      <c r="Q52" s="841"/>
      <c r="R52" s="1118">
        <v>1</v>
      </c>
      <c r="S52" s="1114">
        <v>51000</v>
      </c>
      <c r="T52" s="1115">
        <v>6.7000000000000004E-2</v>
      </c>
      <c r="U52" s="1115">
        <v>0.03</v>
      </c>
      <c r="V52" s="1114">
        <f t="shared" si="12"/>
        <v>1530</v>
      </c>
      <c r="W52" s="1117">
        <v>0</v>
      </c>
      <c r="X52" s="827"/>
      <c r="Y52" s="1191">
        <v>96021</v>
      </c>
      <c r="Z52" s="833"/>
      <c r="AA52" s="834"/>
      <c r="AB52" s="834"/>
    </row>
    <row r="53" spans="2:28" ht="15" x14ac:dyDescent="0.2">
      <c r="B53" s="723">
        <f t="shared" si="13"/>
        <v>35</v>
      </c>
      <c r="C53" s="750" t="s">
        <v>680</v>
      </c>
      <c r="D53" s="1088">
        <v>1</v>
      </c>
      <c r="E53" s="798">
        <v>72000</v>
      </c>
      <c r="F53" s="799">
        <v>0.09</v>
      </c>
      <c r="G53" s="799">
        <v>7.8E-2</v>
      </c>
      <c r="H53" s="798">
        <f t="shared" si="14"/>
        <v>5616</v>
      </c>
      <c r="I53" s="800">
        <v>0</v>
      </c>
      <c r="J53" s="1173"/>
      <c r="K53" s="795">
        <v>1</v>
      </c>
      <c r="L53" s="798">
        <v>67000</v>
      </c>
      <c r="M53" s="799">
        <v>3.4000000000000002E-2</v>
      </c>
      <c r="N53" s="799">
        <v>5.6000000000000001E-2</v>
      </c>
      <c r="O53" s="798">
        <f>L53*N53</f>
        <v>3752</v>
      </c>
      <c r="P53" s="800">
        <v>3.9E-2</v>
      </c>
      <c r="Q53" s="841"/>
      <c r="R53" s="795">
        <v>1</v>
      </c>
      <c r="S53" s="798">
        <v>47000</v>
      </c>
      <c r="T53" s="799">
        <v>5.2</v>
      </c>
      <c r="U53" s="799">
        <v>5.1999999999999998E-2</v>
      </c>
      <c r="V53" s="798">
        <f t="shared" si="12"/>
        <v>2444</v>
      </c>
      <c r="W53" s="800">
        <v>0</v>
      </c>
      <c r="X53" s="841"/>
      <c r="Y53" s="1192">
        <v>96022</v>
      </c>
      <c r="Z53" s="833"/>
      <c r="AA53" s="834"/>
      <c r="AB53" s="834"/>
    </row>
    <row r="54" spans="2:28" ht="15" x14ac:dyDescent="0.2">
      <c r="B54" s="1111">
        <f t="shared" si="13"/>
        <v>36</v>
      </c>
      <c r="C54" s="1145" t="s">
        <v>699</v>
      </c>
      <c r="D54" s="1132">
        <v>2</v>
      </c>
      <c r="E54" s="1114">
        <v>52000</v>
      </c>
      <c r="F54" s="1115">
        <v>3.5000000000000003E-2</v>
      </c>
      <c r="G54" s="1115">
        <v>-3.0000000000000001E-3</v>
      </c>
      <c r="H54" s="1114">
        <v>0</v>
      </c>
      <c r="I54" s="1117">
        <v>0</v>
      </c>
      <c r="J54" s="1175"/>
      <c r="K54" s="1118">
        <v>4</v>
      </c>
      <c r="L54" s="1114">
        <v>62000</v>
      </c>
      <c r="M54" s="1115">
        <v>6.0999999999999999E-2</v>
      </c>
      <c r="N54" s="1115">
        <v>-2E-3</v>
      </c>
      <c r="O54" s="1114">
        <v>0</v>
      </c>
      <c r="P54" s="1117">
        <v>6.0000000000000001E-3</v>
      </c>
      <c r="Q54" s="841"/>
      <c r="R54" s="1118">
        <v>2</v>
      </c>
      <c r="S54" s="1114">
        <v>60000</v>
      </c>
      <c r="T54" s="1115">
        <v>1.7999999999999999E-2</v>
      </c>
      <c r="U54" s="1115">
        <v>-8.0000000000000002E-3</v>
      </c>
      <c r="V54" s="1114">
        <v>0</v>
      </c>
      <c r="W54" s="1117">
        <v>0</v>
      </c>
      <c r="X54" s="841"/>
      <c r="Y54" s="1191">
        <v>56302</v>
      </c>
      <c r="Z54" s="833"/>
      <c r="AA54" s="834"/>
      <c r="AB54" s="834"/>
    </row>
    <row r="55" spans="2:28" ht="15" x14ac:dyDescent="0.2">
      <c r="B55" s="723">
        <f t="shared" si="13"/>
        <v>37</v>
      </c>
      <c r="C55" s="750" t="s">
        <v>597</v>
      </c>
      <c r="D55" s="1088">
        <v>4</v>
      </c>
      <c r="E55" s="798">
        <v>48000</v>
      </c>
      <c r="F55" s="799">
        <v>3.6999999999999998E-2</v>
      </c>
      <c r="G55" s="799">
        <v>-3.0000000000000001E-3</v>
      </c>
      <c r="H55" s="798">
        <f t="shared" si="14"/>
        <v>-144</v>
      </c>
      <c r="I55" s="800">
        <v>-2.8000000000000001E-2</v>
      </c>
      <c r="J55" s="1173"/>
      <c r="K55" s="795">
        <v>3</v>
      </c>
      <c r="L55" s="798">
        <v>62000</v>
      </c>
      <c r="M55" s="799">
        <v>3.7999999999999999E-2</v>
      </c>
      <c r="N55" s="799">
        <v>8.9999999999999993E-3</v>
      </c>
      <c r="O55" s="798">
        <f>L55*N55</f>
        <v>558</v>
      </c>
      <c r="P55" s="800">
        <v>1.4E-2</v>
      </c>
      <c r="Q55" s="841"/>
      <c r="R55" s="795">
        <v>3</v>
      </c>
      <c r="S55" s="798">
        <v>58000</v>
      </c>
      <c r="T55" s="799">
        <v>7.1999999999999995E-2</v>
      </c>
      <c r="U55" s="799">
        <v>1.2999999999999999E-2</v>
      </c>
      <c r="V55" s="798">
        <f t="shared" si="12"/>
        <v>754</v>
      </c>
      <c r="W55" s="800">
        <v>0</v>
      </c>
      <c r="X55" s="841"/>
      <c r="Y55" s="1192">
        <v>562</v>
      </c>
      <c r="Z55" s="833"/>
      <c r="AA55" s="834"/>
      <c r="AB55" s="834"/>
    </row>
    <row r="56" spans="2:28" ht="15" x14ac:dyDescent="0.2">
      <c r="B56" s="1111">
        <f t="shared" si="13"/>
        <v>38</v>
      </c>
      <c r="C56" s="1146" t="s">
        <v>596</v>
      </c>
      <c r="D56" s="1132">
        <v>5</v>
      </c>
      <c r="E56" s="1114">
        <v>69000</v>
      </c>
      <c r="F56" s="1115">
        <v>5.8999999999999997E-2</v>
      </c>
      <c r="G56" s="1115">
        <v>-4.0000000000000001E-3</v>
      </c>
      <c r="H56" s="1114">
        <f t="shared" si="14"/>
        <v>-276</v>
      </c>
      <c r="I56" s="1117">
        <v>-0.17799999999999999</v>
      </c>
      <c r="J56" s="1173"/>
      <c r="K56" s="1118">
        <v>5</v>
      </c>
      <c r="L56" s="1114">
        <v>88000</v>
      </c>
      <c r="M56" s="1115">
        <v>0.08</v>
      </c>
      <c r="N56" s="1115">
        <v>-4.0000000000000001E-3</v>
      </c>
      <c r="O56" s="1114">
        <v>0</v>
      </c>
      <c r="P56" s="1117">
        <v>0.02</v>
      </c>
      <c r="Q56" s="841"/>
      <c r="R56" s="1118">
        <v>7</v>
      </c>
      <c r="S56" s="1114">
        <v>103000</v>
      </c>
      <c r="T56" s="1115">
        <v>9.2999999999999999E-2</v>
      </c>
      <c r="U56" s="1115">
        <v>0</v>
      </c>
      <c r="V56" s="1114">
        <f t="shared" si="12"/>
        <v>0</v>
      </c>
      <c r="W56" s="1117">
        <v>4.0000000000000001E-3</v>
      </c>
      <c r="X56" s="841"/>
      <c r="Y56" s="1191">
        <v>551</v>
      </c>
      <c r="Z56" s="833"/>
      <c r="AA56" s="834"/>
      <c r="AB56" s="834"/>
    </row>
    <row r="57" spans="2:28" ht="15" x14ac:dyDescent="0.2">
      <c r="B57" s="723">
        <f t="shared" si="13"/>
        <v>39</v>
      </c>
      <c r="C57" s="750" t="s">
        <v>648</v>
      </c>
      <c r="D57" s="1088">
        <v>4</v>
      </c>
      <c r="E57" s="798">
        <v>64000</v>
      </c>
      <c r="F57" s="799">
        <v>5.5E-2</v>
      </c>
      <c r="G57" s="799">
        <v>0</v>
      </c>
      <c r="H57" s="798">
        <f t="shared" si="14"/>
        <v>0</v>
      </c>
      <c r="I57" s="800">
        <v>0</v>
      </c>
      <c r="J57" s="1173"/>
      <c r="K57" s="795">
        <v>3</v>
      </c>
      <c r="L57" s="798">
        <v>75000</v>
      </c>
      <c r="M57" s="799">
        <v>5.7000000000000002E-2</v>
      </c>
      <c r="N57" s="799">
        <v>0</v>
      </c>
      <c r="O57" s="798">
        <f t="shared" ref="O57:O74" si="15">L57*N57</f>
        <v>0</v>
      </c>
      <c r="P57" s="800">
        <v>0</v>
      </c>
      <c r="Q57" s="841"/>
      <c r="R57" s="795">
        <v>3</v>
      </c>
      <c r="S57" s="798">
        <v>77000</v>
      </c>
      <c r="T57" s="799">
        <v>5.8999999999999997E-2</v>
      </c>
      <c r="U57" s="799">
        <v>0</v>
      </c>
      <c r="V57" s="798">
        <f t="shared" si="12"/>
        <v>0</v>
      </c>
      <c r="W57" s="800">
        <v>0</v>
      </c>
      <c r="X57" s="841"/>
      <c r="Y57" s="1192">
        <v>561</v>
      </c>
      <c r="Z57" s="833"/>
      <c r="AA57" s="834"/>
      <c r="AB57" s="834"/>
    </row>
    <row r="58" spans="2:28" ht="15" x14ac:dyDescent="0.2">
      <c r="B58" s="1111">
        <f t="shared" si="13"/>
        <v>40</v>
      </c>
      <c r="C58" s="1146" t="s">
        <v>598</v>
      </c>
      <c r="D58" s="1132">
        <v>4</v>
      </c>
      <c r="E58" s="1114">
        <v>66000</v>
      </c>
      <c r="F58" s="1115">
        <v>9.4E-2</v>
      </c>
      <c r="G58" s="1115">
        <v>7.8E-2</v>
      </c>
      <c r="H58" s="1114">
        <f t="shared" si="14"/>
        <v>5148</v>
      </c>
      <c r="I58" s="1117">
        <v>4.1000000000000002E-2</v>
      </c>
      <c r="J58" s="1173"/>
      <c r="K58" s="1118">
        <v>3</v>
      </c>
      <c r="L58" s="1114">
        <v>68000</v>
      </c>
      <c r="M58" s="1115">
        <v>0.10199999999999999</v>
      </c>
      <c r="N58" s="1115">
        <v>7.0000000000000007E-2</v>
      </c>
      <c r="O58" s="1114">
        <f t="shared" si="15"/>
        <v>4760</v>
      </c>
      <c r="P58" s="1117">
        <v>6.2E-2</v>
      </c>
      <c r="Q58" s="841"/>
      <c r="R58" s="1118">
        <v>3</v>
      </c>
      <c r="S58" s="1114">
        <v>67000</v>
      </c>
      <c r="T58" s="1115">
        <v>0.1</v>
      </c>
      <c r="U58" s="1115">
        <v>7.5999999999999998E-2</v>
      </c>
      <c r="V58" s="1114">
        <f t="shared" si="12"/>
        <v>5092</v>
      </c>
      <c r="W58" s="1117">
        <v>2.5999999999999999E-2</v>
      </c>
      <c r="X58" s="841"/>
      <c r="Y58" s="1191">
        <v>69201</v>
      </c>
      <c r="Z58" s="833"/>
      <c r="AA58" s="834"/>
      <c r="AB58" s="834"/>
    </row>
    <row r="59" spans="2:28" ht="15" x14ac:dyDescent="0.2">
      <c r="B59" s="723">
        <f t="shared" si="13"/>
        <v>41</v>
      </c>
      <c r="C59" s="750" t="s">
        <v>681</v>
      </c>
      <c r="D59" s="1088">
        <v>5</v>
      </c>
      <c r="E59" s="798">
        <v>61000</v>
      </c>
      <c r="F59" s="799">
        <v>5.6000000000000001E-2</v>
      </c>
      <c r="G59" s="799">
        <v>5.2999999999999999E-2</v>
      </c>
      <c r="H59" s="798">
        <f t="shared" si="14"/>
        <v>3233</v>
      </c>
      <c r="I59" s="800">
        <v>4.8000000000000001E-2</v>
      </c>
      <c r="J59" s="1173"/>
      <c r="K59" s="795">
        <v>5</v>
      </c>
      <c r="L59" s="798">
        <v>62000</v>
      </c>
      <c r="M59" s="799">
        <v>3.5000000000000003E-2</v>
      </c>
      <c r="N59" s="799">
        <v>0.05</v>
      </c>
      <c r="O59" s="798">
        <f t="shared" si="15"/>
        <v>3100</v>
      </c>
      <c r="P59" s="800">
        <v>7.5999999999999998E-2</v>
      </c>
      <c r="Q59" s="841"/>
      <c r="R59" s="795">
        <v>5</v>
      </c>
      <c r="S59" s="798">
        <v>54000</v>
      </c>
      <c r="T59" s="799">
        <v>0.23499999999999999</v>
      </c>
      <c r="U59" s="799">
        <v>5.3900000000000003E-2</v>
      </c>
      <c r="V59" s="798">
        <f t="shared" si="12"/>
        <v>2910.6000000000004</v>
      </c>
      <c r="W59" s="800">
        <v>0.93799999999999994</v>
      </c>
      <c r="X59" s="841"/>
      <c r="Y59" s="1192">
        <v>62</v>
      </c>
      <c r="Z59" s="833"/>
      <c r="AA59" s="834"/>
      <c r="AB59" s="834"/>
    </row>
    <row r="60" spans="2:28" ht="15" x14ac:dyDescent="0.2">
      <c r="B60" s="1111">
        <f t="shared" si="13"/>
        <v>42</v>
      </c>
      <c r="C60" s="1146" t="s">
        <v>682</v>
      </c>
      <c r="D60" s="1132">
        <v>5</v>
      </c>
      <c r="E60" s="1114">
        <v>101000</v>
      </c>
      <c r="F60" s="1115">
        <v>7.8E-2</v>
      </c>
      <c r="G60" s="1115">
        <v>0.105</v>
      </c>
      <c r="H60" s="1114">
        <f t="shared" si="14"/>
        <v>10605</v>
      </c>
      <c r="I60" s="1117">
        <v>0</v>
      </c>
      <c r="J60" s="1173"/>
      <c r="K60" s="1118">
        <v>5</v>
      </c>
      <c r="L60" s="1114">
        <v>106000</v>
      </c>
      <c r="M60" s="1115">
        <v>6.3E-2</v>
      </c>
      <c r="N60" s="1115">
        <v>0.109</v>
      </c>
      <c r="O60" s="1114">
        <f t="shared" si="15"/>
        <v>11554</v>
      </c>
      <c r="P60" s="1117">
        <v>3.3000000000000002E-2</v>
      </c>
      <c r="Q60" s="841"/>
      <c r="R60" s="1118">
        <v>5</v>
      </c>
      <c r="S60" s="1114">
        <v>93000</v>
      </c>
      <c r="T60" s="1115">
        <v>6.8000000000000005E-2</v>
      </c>
      <c r="U60" s="1115">
        <v>0.104</v>
      </c>
      <c r="V60" s="1114">
        <f t="shared" si="12"/>
        <v>9672</v>
      </c>
      <c r="W60" s="1117">
        <v>1.2E-2</v>
      </c>
      <c r="X60" s="841"/>
      <c r="Y60" s="1191">
        <v>7112</v>
      </c>
      <c r="Z60" s="833"/>
      <c r="AA60" s="834"/>
      <c r="AB60" s="834"/>
    </row>
    <row r="61" spans="2:28" ht="15" x14ac:dyDescent="0.2">
      <c r="B61" s="723">
        <f t="shared" si="13"/>
        <v>43</v>
      </c>
      <c r="C61" s="750" t="s">
        <v>599</v>
      </c>
      <c r="D61" s="1088">
        <v>6</v>
      </c>
      <c r="E61" s="798">
        <v>85000</v>
      </c>
      <c r="F61" s="799">
        <v>6.0999999999999999E-2</v>
      </c>
      <c r="G61" s="799">
        <v>6.6000000000000003E-2</v>
      </c>
      <c r="H61" s="798">
        <f t="shared" si="14"/>
        <v>5610</v>
      </c>
      <c r="I61" s="800">
        <v>-1.4999999999999999E-2</v>
      </c>
      <c r="J61" s="1173"/>
      <c r="K61" s="795">
        <v>3</v>
      </c>
      <c r="L61" s="798">
        <v>69000</v>
      </c>
      <c r="M61" s="799">
        <v>4.4999999999999998E-2</v>
      </c>
      <c r="N61" s="799">
        <v>7.1999999999999995E-2</v>
      </c>
      <c r="O61" s="798">
        <f t="shared" si="15"/>
        <v>4968</v>
      </c>
      <c r="P61" s="800">
        <v>0</v>
      </c>
      <c r="Q61" s="841"/>
      <c r="R61" s="795">
        <v>3</v>
      </c>
      <c r="S61" s="798">
        <v>77000</v>
      </c>
      <c r="T61" s="799">
        <v>5.0999999999999997E-2</v>
      </c>
      <c r="U61" s="799">
        <v>6.9000000000000006E-2</v>
      </c>
      <c r="V61" s="798">
        <f t="shared" si="12"/>
        <v>5313</v>
      </c>
      <c r="W61" s="800">
        <v>7.0000000000000001E-3</v>
      </c>
      <c r="X61" s="841"/>
      <c r="Y61" s="1192">
        <v>7311</v>
      </c>
      <c r="Z61" s="833"/>
      <c r="AA61" s="834"/>
      <c r="AB61" s="834"/>
    </row>
    <row r="62" spans="2:28" ht="15" x14ac:dyDescent="0.2">
      <c r="B62" s="1111">
        <f t="shared" si="13"/>
        <v>44</v>
      </c>
      <c r="C62" s="1146" t="s">
        <v>601</v>
      </c>
      <c r="D62" s="1132">
        <v>2</v>
      </c>
      <c r="E62" s="1114">
        <v>53000</v>
      </c>
      <c r="F62" s="1115">
        <v>0.14899999999999999</v>
      </c>
      <c r="G62" s="1115">
        <v>0.03</v>
      </c>
      <c r="H62" s="1114">
        <f t="shared" si="14"/>
        <v>1590</v>
      </c>
      <c r="I62" s="1117">
        <v>0</v>
      </c>
      <c r="J62" s="1173"/>
      <c r="K62" s="1118">
        <v>2</v>
      </c>
      <c r="L62" s="1114">
        <v>52000</v>
      </c>
      <c r="M62" s="1115">
        <v>0.11600000000000001</v>
      </c>
      <c r="N62" s="1115">
        <v>8.9999999999999993E-3</v>
      </c>
      <c r="O62" s="1114">
        <f t="shared" si="15"/>
        <v>467.99999999999994</v>
      </c>
      <c r="P62" s="1117">
        <v>3.2000000000000001E-2</v>
      </c>
      <c r="Q62" s="841"/>
      <c r="R62" s="1118">
        <v>4</v>
      </c>
      <c r="S62" s="1114">
        <v>55000</v>
      </c>
      <c r="T62" s="1115">
        <v>0.108</v>
      </c>
      <c r="U62" s="1115">
        <v>1.7999999999999999E-2</v>
      </c>
      <c r="V62" s="1114">
        <f t="shared" si="12"/>
        <v>989.99999999999989</v>
      </c>
      <c r="W62" s="1117">
        <v>2.1000000000000001E-2</v>
      </c>
      <c r="X62" s="841"/>
      <c r="Y62" s="1191">
        <v>811</v>
      </c>
      <c r="Z62" s="833"/>
      <c r="AA62" s="834"/>
      <c r="AB62" s="834"/>
    </row>
    <row r="63" spans="2:28" ht="15" x14ac:dyDescent="0.2">
      <c r="B63" s="723">
        <f t="shared" si="13"/>
        <v>45</v>
      </c>
      <c r="C63" s="750" t="s">
        <v>600</v>
      </c>
      <c r="D63" s="1088">
        <v>6</v>
      </c>
      <c r="E63" s="798">
        <v>44000</v>
      </c>
      <c r="F63" s="799">
        <v>9.5000000000000001E-2</v>
      </c>
      <c r="G63" s="799">
        <v>7.2999999999999995E-2</v>
      </c>
      <c r="H63" s="798">
        <f t="shared" si="14"/>
        <v>3212</v>
      </c>
      <c r="I63" s="800">
        <v>0</v>
      </c>
      <c r="J63" s="1173"/>
      <c r="K63" s="795">
        <v>6</v>
      </c>
      <c r="L63" s="798">
        <v>54000</v>
      </c>
      <c r="M63" s="799">
        <v>9.5000000000000001E-2</v>
      </c>
      <c r="N63" s="799">
        <v>7.0000000000000007E-2</v>
      </c>
      <c r="O63" s="798">
        <f t="shared" si="15"/>
        <v>3780.0000000000005</v>
      </c>
      <c r="P63" s="800">
        <v>6.9000000000000006E-2</v>
      </c>
      <c r="Q63" s="841"/>
      <c r="R63" s="795">
        <v>7</v>
      </c>
      <c r="S63" s="798">
        <v>56000</v>
      </c>
      <c r="T63" s="799">
        <v>7.3999999999999996E-2</v>
      </c>
      <c r="U63" s="799">
        <v>0.05</v>
      </c>
      <c r="V63" s="798">
        <f t="shared" si="12"/>
        <v>2800</v>
      </c>
      <c r="W63" s="800">
        <v>5.7000000000000002E-2</v>
      </c>
      <c r="X63" s="841"/>
      <c r="Y63" s="1192">
        <v>812</v>
      </c>
      <c r="Z63" s="833"/>
      <c r="AA63" s="834"/>
      <c r="AB63" s="834"/>
    </row>
    <row r="64" spans="2:28" ht="15" x14ac:dyDescent="0.2">
      <c r="B64" s="1111">
        <f t="shared" si="13"/>
        <v>46</v>
      </c>
      <c r="C64" s="1146" t="s">
        <v>686</v>
      </c>
      <c r="D64" s="1132">
        <v>9</v>
      </c>
      <c r="E64" s="1114">
        <v>101000</v>
      </c>
      <c r="F64" s="1115">
        <v>7.1999999999999995E-2</v>
      </c>
      <c r="G64" s="1115">
        <v>3.1E-2</v>
      </c>
      <c r="H64" s="1114">
        <f t="shared" si="14"/>
        <v>3131</v>
      </c>
      <c r="I64" s="1117">
        <v>0</v>
      </c>
      <c r="J64" s="1173"/>
      <c r="K64" s="1118">
        <v>3</v>
      </c>
      <c r="L64" s="1114">
        <v>119000</v>
      </c>
      <c r="M64" s="1115">
        <v>9.1999999999999998E-2</v>
      </c>
      <c r="N64" s="1115">
        <v>5.2999999999999999E-2</v>
      </c>
      <c r="O64" s="1114">
        <f t="shared" si="15"/>
        <v>6307</v>
      </c>
      <c r="P64" s="1117">
        <v>3.4000000000000002E-2</v>
      </c>
      <c r="Q64" s="841"/>
      <c r="R64" s="1118">
        <v>6</v>
      </c>
      <c r="S64" s="1114">
        <v>111000</v>
      </c>
      <c r="T64" s="1115">
        <v>9.6000000000000002E-2</v>
      </c>
      <c r="U64" s="1115">
        <v>3.6999999999999998E-2</v>
      </c>
      <c r="V64" s="1114">
        <f t="shared" si="12"/>
        <v>4107</v>
      </c>
      <c r="W64" s="1117">
        <v>0.11600000000000001</v>
      </c>
      <c r="X64" s="841"/>
      <c r="Y64" s="1191">
        <v>813</v>
      </c>
      <c r="Z64" s="833"/>
      <c r="AA64" s="834"/>
      <c r="AB64" s="834"/>
    </row>
    <row r="65" spans="2:28" s="265" customFormat="1" ht="15" x14ac:dyDescent="0.2">
      <c r="B65" s="836">
        <f t="shared" si="13"/>
        <v>47</v>
      </c>
      <c r="C65" s="837" t="s">
        <v>624</v>
      </c>
      <c r="D65" s="1088">
        <v>8</v>
      </c>
      <c r="E65" s="798">
        <v>118000</v>
      </c>
      <c r="F65" s="799">
        <v>3.6999999999999998E-2</v>
      </c>
      <c r="G65" s="799">
        <v>3.6999999999999998E-2</v>
      </c>
      <c r="H65" s="798">
        <f t="shared" si="14"/>
        <v>4366</v>
      </c>
      <c r="I65" s="800">
        <v>0</v>
      </c>
      <c r="J65" s="1173"/>
      <c r="K65" s="795">
        <v>5</v>
      </c>
      <c r="L65" s="798">
        <v>117000</v>
      </c>
      <c r="M65" s="799">
        <v>0.11</v>
      </c>
      <c r="N65" s="799">
        <v>1.4999999999999999E-2</v>
      </c>
      <c r="O65" s="798">
        <f t="shared" si="15"/>
        <v>1755</v>
      </c>
      <c r="P65" s="800">
        <v>7.6999999999999999E-2</v>
      </c>
      <c r="Q65" s="841"/>
      <c r="R65" s="842">
        <v>5</v>
      </c>
      <c r="S65" s="838">
        <v>115000</v>
      </c>
      <c r="T65" s="839">
        <v>2.1999999999999999E-2</v>
      </c>
      <c r="U65" s="839">
        <v>1.2E-2</v>
      </c>
      <c r="V65" s="838">
        <f t="shared" si="12"/>
        <v>1380</v>
      </c>
      <c r="W65" s="840">
        <v>5.0000000000000001E-3</v>
      </c>
      <c r="X65" s="841"/>
      <c r="Y65" s="1193">
        <v>8622</v>
      </c>
      <c r="Z65" s="833"/>
      <c r="AA65" s="835"/>
      <c r="AB65" s="835"/>
    </row>
    <row r="66" spans="2:28" s="265" customFormat="1" ht="15" x14ac:dyDescent="0.2">
      <c r="B66" s="1111">
        <f t="shared" si="13"/>
        <v>48</v>
      </c>
      <c r="C66" s="1146" t="s">
        <v>683</v>
      </c>
      <c r="D66" s="1132">
        <v>1</v>
      </c>
      <c r="E66" s="1114">
        <v>108000</v>
      </c>
      <c r="F66" s="1115">
        <v>9.0999999999999998E-2</v>
      </c>
      <c r="G66" s="1115">
        <v>0</v>
      </c>
      <c r="H66" s="1114">
        <f t="shared" si="14"/>
        <v>0</v>
      </c>
      <c r="I66" s="1117">
        <v>0</v>
      </c>
      <c r="J66" s="1173"/>
      <c r="K66" s="1118">
        <v>3</v>
      </c>
      <c r="L66" s="1114">
        <v>141000</v>
      </c>
      <c r="M66" s="1115">
        <v>0.121</v>
      </c>
      <c r="N66" s="1115">
        <v>2.1999999999999999E-2</v>
      </c>
      <c r="O66" s="1114">
        <f t="shared" si="15"/>
        <v>3102</v>
      </c>
      <c r="P66" s="1117">
        <v>0</v>
      </c>
      <c r="Q66" s="841"/>
      <c r="R66" s="1118">
        <v>3</v>
      </c>
      <c r="S66" s="1114">
        <v>111000</v>
      </c>
      <c r="T66" s="1115">
        <v>7.2999999999999995E-2</v>
      </c>
      <c r="U66" s="1115">
        <v>1.9E-2</v>
      </c>
      <c r="V66" s="1114">
        <f t="shared" si="12"/>
        <v>2109</v>
      </c>
      <c r="W66" s="1117">
        <v>4.1000000000000002E-2</v>
      </c>
      <c r="X66" s="841"/>
      <c r="Y66" s="1191">
        <v>8623</v>
      </c>
      <c r="Z66" s="833"/>
      <c r="AA66" s="835"/>
      <c r="AB66" s="835"/>
    </row>
    <row r="67" spans="2:28" ht="15" x14ac:dyDescent="0.2">
      <c r="B67" s="723">
        <f t="shared" si="13"/>
        <v>49</v>
      </c>
      <c r="C67" s="750" t="s">
        <v>603</v>
      </c>
      <c r="D67" s="1088">
        <v>12</v>
      </c>
      <c r="E67" s="798">
        <v>58000</v>
      </c>
      <c r="F67" s="799">
        <v>8.5000000000000006E-2</v>
      </c>
      <c r="G67" s="799">
        <v>6.7000000000000004E-2</v>
      </c>
      <c r="H67" s="798">
        <f t="shared" si="14"/>
        <v>3886.0000000000005</v>
      </c>
      <c r="I67" s="800">
        <v>4.7E-2</v>
      </c>
      <c r="J67" s="1173"/>
      <c r="K67" s="795">
        <v>11</v>
      </c>
      <c r="L67" s="798">
        <v>62000</v>
      </c>
      <c r="M67" s="799">
        <v>9.4E-2</v>
      </c>
      <c r="N67" s="799">
        <v>7.3999999999999996E-2</v>
      </c>
      <c r="O67" s="798">
        <f t="shared" si="15"/>
        <v>4588</v>
      </c>
      <c r="P67" s="800">
        <v>1.9E-2</v>
      </c>
      <c r="Q67" s="841"/>
      <c r="R67" s="795">
        <v>9</v>
      </c>
      <c r="S67" s="798">
        <v>67000</v>
      </c>
      <c r="T67" s="799">
        <v>0.114</v>
      </c>
      <c r="U67" s="799">
        <v>6.2E-2</v>
      </c>
      <c r="V67" s="798">
        <f t="shared" si="12"/>
        <v>4154</v>
      </c>
      <c r="W67" s="800">
        <v>0</v>
      </c>
      <c r="X67" s="841"/>
      <c r="Y67" s="1192">
        <v>872</v>
      </c>
      <c r="Z67" s="833"/>
      <c r="AA67" s="834"/>
      <c r="AB67" s="834"/>
    </row>
    <row r="68" spans="2:28" ht="15" x14ac:dyDescent="0.2">
      <c r="B68" s="1111">
        <f t="shared" si="13"/>
        <v>50</v>
      </c>
      <c r="C68" s="1146" t="s">
        <v>603</v>
      </c>
      <c r="D68" s="1132">
        <v>15</v>
      </c>
      <c r="E68" s="1114">
        <v>58000</v>
      </c>
      <c r="F68" s="1115">
        <v>6.4000000000000001E-2</v>
      </c>
      <c r="G68" s="1115">
        <v>7.0999999999999994E-2</v>
      </c>
      <c r="H68" s="1114">
        <f t="shared" si="14"/>
        <v>4118</v>
      </c>
      <c r="I68" s="1117">
        <v>0.11</v>
      </c>
      <c r="J68" s="1173"/>
      <c r="K68" s="1118">
        <v>15</v>
      </c>
      <c r="L68" s="1114">
        <v>60000</v>
      </c>
      <c r="M68" s="1115">
        <v>7.2999999999999995E-2</v>
      </c>
      <c r="N68" s="1115">
        <v>6.8000000000000005E-2</v>
      </c>
      <c r="O68" s="1114">
        <f t="shared" si="15"/>
        <v>4080.0000000000005</v>
      </c>
      <c r="P68" s="1117">
        <v>0</v>
      </c>
      <c r="Q68" s="841"/>
      <c r="R68" s="1118">
        <v>15</v>
      </c>
      <c r="S68" s="1114">
        <v>56000</v>
      </c>
      <c r="T68" s="1115">
        <v>8.7999999999999995E-2</v>
      </c>
      <c r="U68" s="1115">
        <v>6.7000000000000004E-2</v>
      </c>
      <c r="V68" s="1114">
        <f t="shared" si="12"/>
        <v>3752</v>
      </c>
      <c r="W68" s="1117">
        <v>3.5000000000000001E-3</v>
      </c>
      <c r="X68" s="841"/>
      <c r="Y68" s="1191">
        <v>873</v>
      </c>
      <c r="Z68" s="833"/>
      <c r="AA68" s="834"/>
      <c r="AB68" s="834"/>
    </row>
    <row r="69" spans="2:28" ht="15" x14ac:dyDescent="0.2">
      <c r="B69" s="723">
        <f t="shared" si="13"/>
        <v>51</v>
      </c>
      <c r="C69" s="750" t="s">
        <v>685</v>
      </c>
      <c r="D69" s="1088">
        <v>5</v>
      </c>
      <c r="E69" s="798">
        <v>41000</v>
      </c>
      <c r="F69" s="799">
        <v>8.1000000000000003E-2</v>
      </c>
      <c r="G69" s="799">
        <v>0</v>
      </c>
      <c r="H69" s="798">
        <f t="shared" si="14"/>
        <v>0</v>
      </c>
      <c r="I69" s="800">
        <v>1.7000000000000001E-2</v>
      </c>
      <c r="J69" s="1173"/>
      <c r="K69" s="795">
        <v>4</v>
      </c>
      <c r="L69" s="798">
        <v>44000</v>
      </c>
      <c r="M69" s="799">
        <v>7.8E-2</v>
      </c>
      <c r="N69" s="799">
        <v>1.4999999999999999E-2</v>
      </c>
      <c r="O69" s="798">
        <f t="shared" si="15"/>
        <v>660</v>
      </c>
      <c r="P69" s="800">
        <v>0</v>
      </c>
      <c r="Q69" s="841"/>
      <c r="R69" s="795">
        <v>5</v>
      </c>
      <c r="S69" s="798">
        <v>39000</v>
      </c>
      <c r="T69" s="799">
        <v>7.2999999999999995E-2</v>
      </c>
      <c r="U69" s="799">
        <v>2.3E-2</v>
      </c>
      <c r="V69" s="798">
        <f t="shared" si="12"/>
        <v>897</v>
      </c>
      <c r="W69" s="800">
        <v>5.7000000000000002E-2</v>
      </c>
      <c r="X69" s="841"/>
      <c r="Y69" s="1192">
        <v>8891</v>
      </c>
      <c r="Z69" s="833"/>
      <c r="AA69" s="834"/>
      <c r="AB69" s="834"/>
    </row>
    <row r="70" spans="2:28" ht="15" x14ac:dyDescent="0.2">
      <c r="B70" s="1111">
        <f t="shared" si="13"/>
        <v>52</v>
      </c>
      <c r="C70" s="1146" t="s">
        <v>684</v>
      </c>
      <c r="D70" s="1132">
        <v>2</v>
      </c>
      <c r="E70" s="1114">
        <v>49000</v>
      </c>
      <c r="F70" s="1115">
        <v>0.09</v>
      </c>
      <c r="G70" s="1115">
        <v>5.0000000000000001E-3</v>
      </c>
      <c r="H70" s="1114">
        <f t="shared" si="14"/>
        <v>245</v>
      </c>
      <c r="I70" s="1117">
        <v>0</v>
      </c>
      <c r="J70" s="1173"/>
      <c r="K70" s="1118">
        <v>1</v>
      </c>
      <c r="L70" s="1114">
        <v>68000</v>
      </c>
      <c r="M70" s="1115">
        <v>6.4000000000000001E-2</v>
      </c>
      <c r="N70" s="1115">
        <v>1.0999999999999999E-2</v>
      </c>
      <c r="O70" s="1114">
        <f t="shared" si="15"/>
        <v>748</v>
      </c>
      <c r="P70" s="1117">
        <v>0</v>
      </c>
      <c r="Q70" s="841"/>
      <c r="R70" s="1118">
        <v>2</v>
      </c>
      <c r="S70" s="1114">
        <v>71000</v>
      </c>
      <c r="T70" s="1115">
        <v>5.0999999999999997E-2</v>
      </c>
      <c r="U70" s="1115">
        <v>8.0000000000000002E-3</v>
      </c>
      <c r="V70" s="1114">
        <f t="shared" si="12"/>
        <v>568</v>
      </c>
      <c r="W70" s="1117">
        <v>0</v>
      </c>
      <c r="X70" s="841"/>
      <c r="Y70" s="1191">
        <v>9313</v>
      </c>
      <c r="Z70" s="833"/>
      <c r="AA70" s="834"/>
      <c r="AB70" s="834"/>
    </row>
    <row r="71" spans="2:28" ht="15" x14ac:dyDescent="0.25">
      <c r="B71" s="101">
        <v>53</v>
      </c>
      <c r="C71" s="1096" t="s">
        <v>593</v>
      </c>
      <c r="D71" s="1088">
        <v>0</v>
      </c>
      <c r="E71" s="798">
        <v>0</v>
      </c>
      <c r="F71" s="799">
        <v>0</v>
      </c>
      <c r="G71" s="799">
        <v>0</v>
      </c>
      <c r="H71" s="798">
        <f t="shared" si="14"/>
        <v>0</v>
      </c>
      <c r="I71" s="800">
        <v>0</v>
      </c>
      <c r="J71" s="1176"/>
      <c r="K71" s="795">
        <v>2</v>
      </c>
      <c r="L71" s="798">
        <v>99000</v>
      </c>
      <c r="M71" s="799">
        <v>5.8000000000000003E-2</v>
      </c>
      <c r="N71" s="799">
        <v>0.106</v>
      </c>
      <c r="O71" s="798">
        <f t="shared" si="15"/>
        <v>10494</v>
      </c>
      <c r="P71" s="800">
        <v>2.4E-2</v>
      </c>
      <c r="Q71" s="841"/>
      <c r="R71" s="795">
        <v>2</v>
      </c>
      <c r="S71" s="798">
        <v>94000</v>
      </c>
      <c r="T71" s="799">
        <v>7.3999999999999996E-2</v>
      </c>
      <c r="U71" s="799">
        <v>8.8999999999999996E-2</v>
      </c>
      <c r="V71" s="798">
        <f t="shared" si="12"/>
        <v>8366</v>
      </c>
      <c r="W71" s="800">
        <v>0</v>
      </c>
      <c r="X71" s="841"/>
      <c r="Y71" s="1188">
        <v>952</v>
      </c>
    </row>
    <row r="72" spans="2:28" ht="15.75" thickBot="1" x14ac:dyDescent="0.3">
      <c r="B72" s="1147">
        <v>54</v>
      </c>
      <c r="C72" s="1148" t="s">
        <v>595</v>
      </c>
      <c r="D72" s="1132">
        <v>4</v>
      </c>
      <c r="E72" s="1114">
        <v>104000</v>
      </c>
      <c r="F72" s="1115">
        <v>0.10100000000000001</v>
      </c>
      <c r="G72" s="1115">
        <v>4.2999999999999997E-2</v>
      </c>
      <c r="H72" s="1114">
        <f t="shared" si="14"/>
        <v>4472</v>
      </c>
      <c r="I72" s="1117">
        <v>1.4999999999999999E-2</v>
      </c>
      <c r="J72" s="1176"/>
      <c r="K72" s="1118">
        <v>3</v>
      </c>
      <c r="L72" s="1114">
        <v>114000</v>
      </c>
      <c r="M72" s="1115">
        <v>9.0999999999999998E-2</v>
      </c>
      <c r="N72" s="1115">
        <v>3.9E-2</v>
      </c>
      <c r="O72" s="1114">
        <f t="shared" si="15"/>
        <v>4446</v>
      </c>
      <c r="P72" s="1117">
        <v>0</v>
      </c>
      <c r="Q72" s="841"/>
      <c r="R72" s="1118">
        <v>6</v>
      </c>
      <c r="S72" s="1114">
        <v>118000</v>
      </c>
      <c r="T72" s="1115">
        <v>9.0999999999999998E-2</v>
      </c>
      <c r="U72" s="1115">
        <v>4.4999999999999998E-2</v>
      </c>
      <c r="V72" s="1114">
        <f t="shared" si="12"/>
        <v>5310</v>
      </c>
      <c r="W72" s="1117">
        <v>3.6999999999999998E-2</v>
      </c>
      <c r="X72" s="841"/>
      <c r="Y72" s="1187">
        <v>4941</v>
      </c>
    </row>
    <row r="73" spans="2:28" ht="15" x14ac:dyDescent="0.25">
      <c r="B73" s="740">
        <v>55</v>
      </c>
      <c r="C73" s="1097" t="s">
        <v>594</v>
      </c>
      <c r="D73" s="1088">
        <v>2</v>
      </c>
      <c r="E73" s="798">
        <v>62000</v>
      </c>
      <c r="F73" s="799">
        <v>0.10100000000000001</v>
      </c>
      <c r="G73" s="799">
        <v>4.2999999999999997E-2</v>
      </c>
      <c r="H73" s="798">
        <f t="shared" si="14"/>
        <v>2666</v>
      </c>
      <c r="I73" s="800">
        <v>-0.20699999999999999</v>
      </c>
      <c r="J73" s="1176"/>
      <c r="K73" s="795">
        <v>5</v>
      </c>
      <c r="L73" s="798">
        <v>92000</v>
      </c>
      <c r="M73" s="799">
        <v>0.10199999999999999</v>
      </c>
      <c r="N73" s="799">
        <v>3.9E-2</v>
      </c>
      <c r="O73" s="798">
        <f t="shared" si="15"/>
        <v>3588</v>
      </c>
      <c r="P73" s="800">
        <v>4.5999999999999999E-2</v>
      </c>
      <c r="Q73" s="841"/>
      <c r="R73" s="794">
        <v>6</v>
      </c>
      <c r="S73" s="820">
        <v>92000</v>
      </c>
      <c r="T73" s="821">
        <v>0.105</v>
      </c>
      <c r="U73" s="821">
        <v>1.0999999999999999E-2</v>
      </c>
      <c r="V73" s="798">
        <f t="shared" si="12"/>
        <v>1011.9999999999999</v>
      </c>
      <c r="W73" s="822">
        <v>1.7999999999999999E-2</v>
      </c>
      <c r="X73" s="841"/>
      <c r="Y73" s="1188">
        <v>49392</v>
      </c>
    </row>
    <row r="74" spans="2:28" ht="15" x14ac:dyDescent="0.2">
      <c r="B74" s="1152">
        <f t="shared" ref="B74" si="16">B73+1</f>
        <v>56</v>
      </c>
      <c r="C74" s="1112" t="s">
        <v>720</v>
      </c>
      <c r="D74" s="1132">
        <v>2</v>
      </c>
      <c r="E74" s="1114">
        <v>88000</v>
      </c>
      <c r="F74" s="1115">
        <v>0.154</v>
      </c>
      <c r="G74" s="1115">
        <v>2.8000000000000001E-2</v>
      </c>
      <c r="H74" s="1114">
        <f t="shared" si="14"/>
        <v>2464</v>
      </c>
      <c r="I74" s="1117">
        <v>0</v>
      </c>
      <c r="J74" s="1177"/>
      <c r="K74" s="1118">
        <v>3</v>
      </c>
      <c r="L74" s="1114">
        <v>123000</v>
      </c>
      <c r="M74" s="1115">
        <v>0.157</v>
      </c>
      <c r="N74" s="1115">
        <v>1.2999999999999999E-2</v>
      </c>
      <c r="O74" s="1114">
        <f t="shared" si="15"/>
        <v>1599</v>
      </c>
      <c r="P74" s="1117">
        <v>8.1000000000000003E-2</v>
      </c>
      <c r="Q74" s="841"/>
      <c r="R74" s="1118">
        <v>3</v>
      </c>
      <c r="S74" s="1114">
        <v>136000</v>
      </c>
      <c r="T74" s="1115">
        <v>0.14099999999999999</v>
      </c>
      <c r="U74" s="1115">
        <v>1.4999999999999999E-2</v>
      </c>
      <c r="V74" s="1114">
        <f t="shared" si="12"/>
        <v>2040</v>
      </c>
      <c r="W74" s="1117">
        <v>0.106</v>
      </c>
      <c r="X74" s="841"/>
      <c r="Y74" s="1194" t="s">
        <v>719</v>
      </c>
    </row>
  </sheetData>
  <sheetProtection algorithmName="SHA-512" hashValue="BumwUvCAok7xTF5OMToAatwh2/ao0MskqUvzXdkfCSkdBMbWGuwh3f24uq5It78+Q5xcKU2aZlgDHVHqLjSrpA==" saltValue="HQLhJxFrOP4u0OPBK0FwbA==" spinCount="100000" sheet="1" objects="1" scenarios="1"/>
  <mergeCells count="18">
    <mergeCell ref="Y49:Y50"/>
    <mergeCell ref="P49:P50"/>
    <mergeCell ref="P5:P6"/>
    <mergeCell ref="W5:W6"/>
    <mergeCell ref="W49:W50"/>
    <mergeCell ref="Y5:Y6"/>
    <mergeCell ref="Y25:Y26"/>
    <mergeCell ref="Y36:Y37"/>
    <mergeCell ref="I49:I50"/>
    <mergeCell ref="P25:P26"/>
    <mergeCell ref="P36:P37"/>
    <mergeCell ref="W25:W26"/>
    <mergeCell ref="W36:W37"/>
    <mergeCell ref="K2:L2"/>
    <mergeCell ref="D2:E2"/>
    <mergeCell ref="I5:I6"/>
    <mergeCell ref="I25:I26"/>
    <mergeCell ref="I36:I37"/>
  </mergeCells>
  <printOptions horizontalCentered="1"/>
  <pageMargins left="0.23622047244094491" right="0.23622047244094491" top="0.35433070866141736" bottom="0.35433070866141736" header="0.31496062992125984" footer="0.31496062992125984"/>
  <pageSetup paperSize="9" scale="60" orientation="landscape" verticalDpi="4"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5310-084B-4F7A-AFE4-86DBBE33D6B0}">
  <dimension ref="B2:F17"/>
  <sheetViews>
    <sheetView workbookViewId="0">
      <selection activeCell="E22" sqref="E22"/>
    </sheetView>
  </sheetViews>
  <sheetFormatPr defaultRowHeight="12.75" x14ac:dyDescent="0.2"/>
  <cols>
    <col min="2" max="2" width="9.7109375" bestFit="1" customWidth="1"/>
    <col min="3" max="3" width="8.85546875" style="428"/>
    <col min="5" max="5" width="18.7109375" customWidth="1"/>
    <col min="6" max="6" width="43" customWidth="1"/>
  </cols>
  <sheetData>
    <row r="2" spans="2:6" x14ac:dyDescent="0.2">
      <c r="B2" t="s">
        <v>721</v>
      </c>
      <c r="C2" s="428" t="s">
        <v>722</v>
      </c>
      <c r="D2" t="s">
        <v>723</v>
      </c>
      <c r="E2" t="s">
        <v>724</v>
      </c>
      <c r="F2" t="s">
        <v>725</v>
      </c>
    </row>
    <row r="3" spans="2:6" x14ac:dyDescent="0.2">
      <c r="B3" s="27">
        <v>44438</v>
      </c>
      <c r="C3" s="428" t="s">
        <v>726</v>
      </c>
      <c r="E3" t="s">
        <v>727</v>
      </c>
      <c r="F3" t="s">
        <v>728</v>
      </c>
    </row>
    <row r="4" spans="2:6" x14ac:dyDescent="0.2">
      <c r="B4" s="27">
        <v>44438</v>
      </c>
      <c r="C4" s="428" t="s">
        <v>726</v>
      </c>
      <c r="E4" t="s">
        <v>174</v>
      </c>
      <c r="F4" t="s">
        <v>729</v>
      </c>
    </row>
    <row r="5" spans="2:6" x14ac:dyDescent="0.2">
      <c r="B5" s="27">
        <v>44438</v>
      </c>
      <c r="C5" s="428" t="s">
        <v>726</v>
      </c>
      <c r="E5" t="s">
        <v>730</v>
      </c>
      <c r="F5" t="s">
        <v>731</v>
      </c>
    </row>
    <row r="6" spans="2:6" x14ac:dyDescent="0.2">
      <c r="B6" s="27">
        <v>44448</v>
      </c>
      <c r="C6" s="428" t="s">
        <v>726</v>
      </c>
      <c r="E6" t="s">
        <v>727</v>
      </c>
      <c r="F6" t="s">
        <v>732</v>
      </c>
    </row>
    <row r="7" spans="2:6" x14ac:dyDescent="0.2">
      <c r="B7" s="27">
        <v>44448</v>
      </c>
      <c r="C7" s="428" t="s">
        <v>726</v>
      </c>
      <c r="E7" t="s">
        <v>727</v>
      </c>
      <c r="F7" t="s">
        <v>733</v>
      </c>
    </row>
    <row r="8" spans="2:6" x14ac:dyDescent="0.2">
      <c r="B8" s="27">
        <v>44448</v>
      </c>
      <c r="C8" s="428" t="s">
        <v>726</v>
      </c>
      <c r="E8" t="s">
        <v>727</v>
      </c>
      <c r="F8" t="s">
        <v>734</v>
      </c>
    </row>
    <row r="9" spans="2:6" x14ac:dyDescent="0.2">
      <c r="B9" s="27">
        <v>44448</v>
      </c>
      <c r="C9" s="428" t="s">
        <v>726</v>
      </c>
      <c r="E9" t="s">
        <v>727</v>
      </c>
      <c r="F9" t="s">
        <v>735</v>
      </c>
    </row>
    <row r="10" spans="2:6" x14ac:dyDescent="0.2">
      <c r="B10" s="27">
        <v>44448</v>
      </c>
      <c r="C10" s="428" t="s">
        <v>726</v>
      </c>
      <c r="E10" t="s">
        <v>727</v>
      </c>
      <c r="F10" t="s">
        <v>736</v>
      </c>
    </row>
    <row r="11" spans="2:6" x14ac:dyDescent="0.2">
      <c r="B11" s="27">
        <v>44448</v>
      </c>
      <c r="C11" s="428" t="s">
        <v>726</v>
      </c>
      <c r="E11" t="s">
        <v>727</v>
      </c>
      <c r="F11" t="s">
        <v>737</v>
      </c>
    </row>
    <row r="12" spans="2:6" x14ac:dyDescent="0.2">
      <c r="B12" s="27">
        <v>44448</v>
      </c>
      <c r="C12" s="428" t="s">
        <v>726</v>
      </c>
      <c r="E12" t="s">
        <v>727</v>
      </c>
      <c r="F12" t="s">
        <v>738</v>
      </c>
    </row>
    <row r="13" spans="2:6" x14ac:dyDescent="0.2">
      <c r="B13" s="27">
        <v>44448</v>
      </c>
      <c r="C13" s="428" t="s">
        <v>726</v>
      </c>
      <c r="E13" t="s">
        <v>739</v>
      </c>
      <c r="F13" s="300" t="s">
        <v>740</v>
      </c>
    </row>
    <row r="14" spans="2:6" x14ac:dyDescent="0.2">
      <c r="B14" s="27">
        <v>44466</v>
      </c>
      <c r="C14" s="1031" t="s">
        <v>726</v>
      </c>
      <c r="E14" s="300" t="s">
        <v>754</v>
      </c>
      <c r="F14" s="300" t="s">
        <v>755</v>
      </c>
    </row>
    <row r="15" spans="2:6" x14ac:dyDescent="0.2">
      <c r="B15" s="27">
        <v>44515</v>
      </c>
      <c r="C15" s="1031" t="s">
        <v>790</v>
      </c>
      <c r="F15" s="300" t="s">
        <v>791</v>
      </c>
    </row>
    <row r="16" spans="2:6" x14ac:dyDescent="0.2">
      <c r="B16" s="27">
        <v>44516</v>
      </c>
      <c r="C16" s="1031" t="s">
        <v>790</v>
      </c>
      <c r="F16" s="300" t="s">
        <v>792</v>
      </c>
    </row>
    <row r="17" spans="2:2" x14ac:dyDescent="0.2">
      <c r="B17" s="27"/>
    </row>
  </sheetData>
  <sheetProtection sheet="1" objects="1" scenarios="1" selectLockedCells="1" selectUn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45"/>
  <sheetViews>
    <sheetView workbookViewId="0">
      <selection activeCell="L50" sqref="L50"/>
    </sheetView>
  </sheetViews>
  <sheetFormatPr defaultRowHeight="12.75" x14ac:dyDescent="0.2"/>
  <cols>
    <col min="1" max="1" width="15.28515625" bestFit="1" customWidth="1"/>
    <col min="3" max="3" width="11.28515625" customWidth="1"/>
    <col min="4" max="4" width="9.140625" bestFit="1" customWidth="1"/>
    <col min="5" max="6" width="15.5703125" bestFit="1" customWidth="1"/>
  </cols>
  <sheetData>
    <row r="1" spans="3:3" s="946" customFormat="1" x14ac:dyDescent="0.2"/>
    <row r="2" spans="3:3" s="946" customFormat="1" x14ac:dyDescent="0.2"/>
    <row r="3" spans="3:3" s="946" customFormat="1" x14ac:dyDescent="0.2"/>
    <row r="4" spans="3:3" s="946" customFormat="1" x14ac:dyDescent="0.2"/>
    <row r="5" spans="3:3" s="946" customFormat="1" x14ac:dyDescent="0.2"/>
    <row r="6" spans="3:3" s="946" customFormat="1" x14ac:dyDescent="0.2"/>
    <row r="7" spans="3:3" s="946" customFormat="1" x14ac:dyDescent="0.2"/>
    <row r="8" spans="3:3" s="946" customFormat="1" x14ac:dyDescent="0.2"/>
    <row r="9" spans="3:3" s="946" customFormat="1" x14ac:dyDescent="0.2"/>
    <row r="10" spans="3:3" s="946" customFormat="1" x14ac:dyDescent="0.2"/>
    <row r="11" spans="3:3" s="946" customFormat="1" x14ac:dyDescent="0.2"/>
    <row r="12" spans="3:3" s="946" customFormat="1" x14ac:dyDescent="0.2"/>
    <row r="13" spans="3:3" s="946" customFormat="1" x14ac:dyDescent="0.2"/>
    <row r="14" spans="3:3" s="946" customFormat="1" x14ac:dyDescent="0.2"/>
    <row r="16" spans="3:3" x14ac:dyDescent="0.2">
      <c r="C16" s="300" t="s">
        <v>0</v>
      </c>
    </row>
    <row r="18" spans="1:10" x14ac:dyDescent="0.2">
      <c r="C18" s="2" t="s">
        <v>695</v>
      </c>
    </row>
    <row r="19" spans="1:10" x14ac:dyDescent="0.2">
      <c r="J19" s="2" t="s">
        <v>696</v>
      </c>
    </row>
    <row r="20" spans="1:10" ht="15.6" customHeight="1" x14ac:dyDescent="0.2">
      <c r="B20" s="945" t="s">
        <v>694</v>
      </c>
      <c r="C20" s="943"/>
      <c r="D20" s="168"/>
      <c r="E20" s="168"/>
      <c r="F20" s="168"/>
      <c r="G20" s="168"/>
    </row>
    <row r="21" spans="1:10" x14ac:dyDescent="0.2">
      <c r="A21" s="300" t="s">
        <v>129</v>
      </c>
      <c r="B21" s="727">
        <f>'Ekonomiska parametrar'!N4</f>
        <v>2019</v>
      </c>
      <c r="C21" s="728">
        <f>'Ekonomiska parametrar'!G4</f>
        <v>2020</v>
      </c>
      <c r="D21" s="31">
        <f>'K2 Försäljning'!C12</f>
        <v>2023</v>
      </c>
      <c r="E21" s="31">
        <f>'K2 Försäljning'!D12</f>
        <v>2024</v>
      </c>
      <c r="F21" s="31">
        <f>'K2 Försäljning'!E12</f>
        <v>2025</v>
      </c>
    </row>
    <row r="22" spans="1:10" x14ac:dyDescent="0.2">
      <c r="A22" s="101">
        <f>'K3 Resultat'!$F$95</f>
        <v>39</v>
      </c>
      <c r="B22" s="982">
        <f>IF($A22=0,0,LOOKUP($A22,'Ekonomiska parametrar'!$B$7:$B$74,'Ekonomiska parametrar'!L$7:L74))/1000</f>
        <v>75</v>
      </c>
      <c r="C22" s="982">
        <f>IF($A22=0,0,LOOKUP($A22,'Ekonomiska parametrar'!$B$7:$B$74,'Ekonomiska parametrar'!E$7:E74))/1000</f>
        <v>64</v>
      </c>
      <c r="D22" s="983">
        <f>'K3 Resultat'!E80/1000</f>
        <v>87.85718349928878</v>
      </c>
      <c r="E22" s="983">
        <f>'K3 Resultat'!F80/1000</f>
        <v>99.258887624466553</v>
      </c>
      <c r="F22" s="983">
        <f>'K3 Resultat'!G80/1000</f>
        <v>109.896035341394</v>
      </c>
      <c r="G22" s="300" t="s">
        <v>718</v>
      </c>
    </row>
    <row r="23" spans="1:10" x14ac:dyDescent="0.2">
      <c r="B23" s="1182">
        <f>IF($A22=0,0,LOOKUP($A22,'Ekonomiska parametrar'!$B$7:$B$74,'Ekonomiska parametrar'!O$7:O$74))/1000</f>
        <v>0</v>
      </c>
      <c r="C23" s="1182">
        <f>IF($A22=0,0,LOOKUP($A22,'Ekonomiska parametrar'!$B$7:$B$74,'Ekonomiska parametrar'!H$7:H$74))/1000</f>
        <v>0</v>
      </c>
      <c r="D23" s="983">
        <f>'K1 Kostnader'!F120/1000/'K3 Resultat'!F40</f>
        <v>3.5084134341070428</v>
      </c>
      <c r="E23" s="983">
        <f>'K1 Kostnader'!G120/1000/'K3 Resultat'!H40</f>
        <v>4.0453691011321613</v>
      </c>
      <c r="F23" s="983">
        <f>'K1 Kostnader'!H120/1000/'K3 Resultat'!K40</f>
        <v>4.3138118742637879</v>
      </c>
      <c r="G23" s="300" t="s">
        <v>789</v>
      </c>
    </row>
    <row r="24" spans="1:10" x14ac:dyDescent="0.2">
      <c r="A24" s="430"/>
      <c r="B24" s="430"/>
      <c r="C24" s="430"/>
      <c r="D24" s="430"/>
      <c r="E24" s="430"/>
      <c r="F24" s="430"/>
      <c r="G24" s="430"/>
    </row>
    <row r="25" spans="1:10" x14ac:dyDescent="0.2">
      <c r="A25" s="430"/>
      <c r="B25" s="430"/>
      <c r="C25" s="430"/>
      <c r="D25" s="431"/>
      <c r="E25" s="431"/>
      <c r="F25" s="431"/>
      <c r="G25" s="430"/>
    </row>
    <row r="26" spans="1:10" x14ac:dyDescent="0.2">
      <c r="A26" s="432"/>
      <c r="B26" s="432"/>
      <c r="C26" s="430"/>
      <c r="D26" s="430"/>
      <c r="E26" s="430"/>
      <c r="F26" s="430"/>
      <c r="G26" s="430"/>
    </row>
    <row r="27" spans="1:10" x14ac:dyDescent="0.2">
      <c r="A27" s="853"/>
      <c r="B27" s="947" t="s">
        <v>693</v>
      </c>
      <c r="C27" s="428"/>
      <c r="D27" s="428"/>
      <c r="E27" s="428"/>
      <c r="F27" s="428"/>
      <c r="G27" s="853"/>
    </row>
    <row r="28" spans="1:10" x14ac:dyDescent="0.2">
      <c r="A28" s="300" t="s">
        <v>129</v>
      </c>
      <c r="B28" s="729">
        <f>B21</f>
        <v>2019</v>
      </c>
      <c r="C28" s="730">
        <f>C21</f>
        <v>2020</v>
      </c>
      <c r="D28" s="537">
        <f>'[1]K2 Myynti'!C$12</f>
        <v>2022</v>
      </c>
      <c r="E28" s="537">
        <f>'[1]K2 Myynti'!D$12</f>
        <v>2023</v>
      </c>
      <c r="F28" s="537">
        <f>'[1]K2 Myynti'!E$12</f>
        <v>2024</v>
      </c>
      <c r="G28" s="853"/>
    </row>
    <row r="29" spans="1:10" x14ac:dyDescent="0.2">
      <c r="A29" s="101">
        <f>'K3 Resultat'!$F$95</f>
        <v>39</v>
      </c>
      <c r="B29" s="935">
        <f>IF($A29=0,0,LOOKUP($A29,'Ekonomiska parametrar'!$B$7:$B$74,'Ekonomiska parametrar'!M$7:M$74))</f>
        <v>5.7000000000000002E-2</v>
      </c>
      <c r="C29" s="935">
        <f>IF($A29=0,0,LOOKUP($A29,'Ekonomiska parametrar'!$B$7:$B$74,'Ekonomiska parametrar'!F$7:F$74))</f>
        <v>5.5E-2</v>
      </c>
      <c r="D29" s="936">
        <f>'K3 Resultat'!G49/100</f>
        <v>1.3671974432291406E-2</v>
      </c>
      <c r="E29" s="936">
        <f>'K3 Resultat'!J49/100</f>
        <v>7.6919177797828267E-2</v>
      </c>
      <c r="F29" s="936">
        <f>'K3 Resultat'!L49/100</f>
        <v>0.10023492040220795</v>
      </c>
      <c r="G29" s="300" t="s">
        <v>428</v>
      </c>
    </row>
    <row r="30" spans="1:10" x14ac:dyDescent="0.2">
      <c r="A30" s="101"/>
      <c r="B30" s="937"/>
      <c r="C30" s="937"/>
      <c r="D30" s="281"/>
      <c r="E30" s="281"/>
      <c r="F30" s="281"/>
      <c r="G30" s="300"/>
    </row>
    <row r="31" spans="1:10" x14ac:dyDescent="0.2">
      <c r="A31" s="101"/>
      <c r="B31" s="937"/>
      <c r="C31" s="937"/>
      <c r="D31" s="281"/>
      <c r="E31" s="281"/>
      <c r="F31" s="281"/>
      <c r="G31" s="300"/>
    </row>
    <row r="33" spans="1:8" x14ac:dyDescent="0.2">
      <c r="C33" s="300"/>
    </row>
    <row r="34" spans="1:8" x14ac:dyDescent="0.2">
      <c r="A34" s="300"/>
      <c r="B34" s="300"/>
      <c r="D34" s="31"/>
      <c r="E34" s="31"/>
      <c r="F34" s="31"/>
    </row>
    <row r="35" spans="1:8" x14ac:dyDescent="0.2">
      <c r="A35" s="101"/>
      <c r="B35" s="101"/>
      <c r="D35" s="50"/>
      <c r="E35" s="50"/>
      <c r="F35" s="50"/>
    </row>
    <row r="36" spans="1:8" x14ac:dyDescent="0.2">
      <c r="C36" s="2" t="s">
        <v>485</v>
      </c>
    </row>
    <row r="37" spans="1:8" ht="15.6" customHeight="1" x14ac:dyDescent="0.2">
      <c r="B37" s="947" t="s">
        <v>694</v>
      </c>
      <c r="C37" s="934"/>
      <c r="D37" s="854"/>
      <c r="E37" s="854"/>
      <c r="F37" s="854"/>
      <c r="G37" s="854"/>
    </row>
    <row r="38" spans="1:8" x14ac:dyDescent="0.2">
      <c r="A38" s="300" t="s">
        <v>129</v>
      </c>
      <c r="B38" s="727">
        <f>B21</f>
        <v>2019</v>
      </c>
      <c r="C38" s="727">
        <f t="shared" ref="C38:F38" si="0">C21</f>
        <v>2020</v>
      </c>
      <c r="D38" s="729">
        <f t="shared" si="0"/>
        <v>2023</v>
      </c>
      <c r="E38" s="729">
        <f t="shared" si="0"/>
        <v>2024</v>
      </c>
      <c r="F38" s="729">
        <f t="shared" si="0"/>
        <v>2025</v>
      </c>
      <c r="G38" s="853"/>
      <c r="H38" s="853"/>
    </row>
    <row r="39" spans="1:8" x14ac:dyDescent="0.2">
      <c r="A39" s="101">
        <f>'FS3 Resultat'!$F$95</f>
        <v>0</v>
      </c>
      <c r="B39" s="982">
        <f>IF($A39=0,0,LOOKUP($A39,'Ekonomiska parametrar'!$B$7:$B$74,'Ekonomiska parametrar'!L$7:L74))/1000</f>
        <v>0</v>
      </c>
      <c r="C39" s="982">
        <f>IF($A39=0,0,LOOKUP($A39,'Ekonomiska parametrar'!$B$7:$B$74,'Ekonomiska parametrar'!E$7:E74))/1000</f>
        <v>0</v>
      </c>
      <c r="D39" s="983">
        <f>'FS3 Resultat'!E80/1000</f>
        <v>0</v>
      </c>
      <c r="E39" s="983">
        <f>'FS3 Resultat'!F80/1000</f>
        <v>0</v>
      </c>
      <c r="F39" s="983">
        <f>'FS3 Resultat'!G80/1000</f>
        <v>0</v>
      </c>
      <c r="G39" s="300" t="s">
        <v>718</v>
      </c>
      <c r="H39" s="853"/>
    </row>
    <row r="40" spans="1:8" x14ac:dyDescent="0.2">
      <c r="A40" s="853"/>
      <c r="B40" s="982">
        <f>IF($A39=0,0,LOOKUP($A39,'Ekonomiska parametrar'!$B$7:$B$74,'Ekonomiska parametrar'!O$7:O$74))/1000</f>
        <v>0</v>
      </c>
      <c r="C40" s="982">
        <f>IF($A39=0,0,LOOKUP($A39,'Ekonomiska parametrar'!$B$7:$B$74,'Ekonomiska parametrar'!H$7:H$74))/1000</f>
        <v>0</v>
      </c>
      <c r="D40" s="983">
        <f>'FS1 Kostnader '!F120/1000/'FS3 Resultat'!F40</f>
        <v>1.328963243243243</v>
      </c>
      <c r="E40" s="983">
        <f>'FS1 Kostnader '!G120/1000/'FS3 Resultat'!H40</f>
        <v>1.4089618378378379</v>
      </c>
      <c r="F40" s="983">
        <f>'FS1 Kostnader '!H120/1000/'FS3 Resultat'!K40</f>
        <v>1.4371410745945945</v>
      </c>
      <c r="G40" s="300" t="s">
        <v>789</v>
      </c>
      <c r="H40" s="853"/>
    </row>
    <row r="42" spans="1:8" x14ac:dyDescent="0.2">
      <c r="B42" s="2" t="s">
        <v>693</v>
      </c>
    </row>
    <row r="43" spans="1:8" x14ac:dyDescent="0.2">
      <c r="A43" s="300" t="s">
        <v>129</v>
      </c>
      <c r="B43" s="729">
        <f>B21</f>
        <v>2019</v>
      </c>
      <c r="C43" s="730">
        <f>C21</f>
        <v>2020</v>
      </c>
      <c r="D43" s="942">
        <f>'FS2 Försäljning '!C12</f>
        <v>2023</v>
      </c>
      <c r="E43" s="942">
        <f>'FS2 Försäljning '!D12</f>
        <v>2024</v>
      </c>
      <c r="F43" s="942">
        <f>'FS2 Försäljning '!E12</f>
        <v>2025</v>
      </c>
    </row>
    <row r="44" spans="1:8" x14ac:dyDescent="0.2">
      <c r="A44" s="101">
        <f>'FS3 Resultat'!F95</f>
        <v>0</v>
      </c>
      <c r="B44" s="948">
        <f>IF($A44=0,0,LOOKUP($A44,'Ekonomiska parametrar'!$B$7:$B$74,'Ekonomiska parametrar'!M$7:M$74))</f>
        <v>0</v>
      </c>
      <c r="C44" s="948">
        <f>IF($A44=0,0,LOOKUP($A44,'Ekonomiska parametrar'!$B$7:$B$74,'Ekonomiska parametrar'!F$7:F$74))</f>
        <v>0</v>
      </c>
      <c r="D44" s="949">
        <f>'FS3 Resultat'!G49/100</f>
        <v>0</v>
      </c>
      <c r="E44" s="949">
        <f>'FS3 Resultat'!J49/100</f>
        <v>0</v>
      </c>
      <c r="F44" s="949">
        <f>'FS3 Resultat'!L49/100</f>
        <v>0</v>
      </c>
      <c r="G44" s="300" t="s">
        <v>428</v>
      </c>
    </row>
    <row r="45" spans="1:8" x14ac:dyDescent="0.2">
      <c r="A45" s="101"/>
      <c r="B45" s="938"/>
      <c r="C45" s="944" t="s">
        <v>0</v>
      </c>
      <c r="D45" s="939"/>
      <c r="E45" s="939"/>
      <c r="F45" s="939"/>
      <c r="G45" s="940"/>
      <c r="H45" s="941"/>
    </row>
  </sheetData>
  <sheetProtection algorithmName="SHA-512" hashValue="0GpVXyUDt1hT+1KKA6bGDFw9cHBftZBm+7mxIF1zpsJ/8wEasE5jYEgjg/trOOk81oAG4mlHSd1vB9l5m6BuRA==" saltValue="rmk6x2/x13EEy/BzKI+mN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4"/>
  <sheetViews>
    <sheetView showGridLines="0" showZeros="0" tabSelected="1" defaultGridColor="0" colorId="55" zoomScaleNormal="100" workbookViewId="0">
      <selection activeCell="R43" sqref="R43"/>
    </sheetView>
  </sheetViews>
  <sheetFormatPr defaultRowHeight="12.75" x14ac:dyDescent="0.2"/>
  <cols>
    <col min="1" max="1" width="5.7109375" customWidth="1"/>
    <col min="2" max="2" width="7.5703125" style="101" customWidth="1"/>
    <col min="3" max="3" width="3.7109375" style="14" customWidth="1"/>
    <col min="4" max="4" width="53.28515625" customWidth="1"/>
    <col min="5" max="5" width="8.28515625" customWidth="1"/>
    <col min="6" max="8" width="10.7109375" customWidth="1"/>
    <col min="9" max="9" width="2.5703125" customWidth="1"/>
    <col min="10" max="11" width="9.140625" customWidth="1"/>
    <col min="12" max="12" width="7.85546875" customWidth="1"/>
    <col min="17" max="18" width="8.85546875" customWidth="1"/>
  </cols>
  <sheetData>
    <row r="2" spans="2:20" ht="15" customHeight="1" x14ac:dyDescent="0.2">
      <c r="C2" s="1685" t="s">
        <v>244</v>
      </c>
      <c r="D2" s="1686"/>
      <c r="E2" s="1686"/>
      <c r="F2" s="1686"/>
      <c r="G2" s="1686"/>
      <c r="H2" s="1686"/>
      <c r="J2" s="1682" t="s">
        <v>247</v>
      </c>
      <c r="K2" s="1682"/>
      <c r="L2" s="1682"/>
      <c r="M2" s="635"/>
      <c r="N2" s="1683"/>
      <c r="O2" s="1683"/>
      <c r="P2" s="1683"/>
    </row>
    <row r="3" spans="2:20" ht="15" customHeight="1" x14ac:dyDescent="0.25">
      <c r="C3" s="515"/>
      <c r="D3" s="515"/>
      <c r="E3" s="1688"/>
      <c r="F3" s="1688"/>
      <c r="G3" s="1688"/>
      <c r="H3" s="1688"/>
    </row>
    <row r="4" spans="2:20" ht="15" customHeight="1" x14ac:dyDescent="0.3">
      <c r="C4" s="1691" t="s">
        <v>245</v>
      </c>
      <c r="D4" s="1692"/>
      <c r="E4" s="1692"/>
      <c r="F4" s="1692"/>
      <c r="G4" s="1692"/>
      <c r="H4" s="1692"/>
      <c r="J4" s="1689"/>
      <c r="K4" s="1689"/>
    </row>
    <row r="5" spans="2:20" ht="12" customHeight="1" x14ac:dyDescent="0.2">
      <c r="C5" s="107" t="s">
        <v>242</v>
      </c>
      <c r="E5" s="77"/>
      <c r="G5" s="1"/>
      <c r="H5" s="516" t="s">
        <v>0</v>
      </c>
      <c r="I5" s="28"/>
      <c r="J5" s="1689"/>
      <c r="K5" s="1689"/>
      <c r="S5" s="307"/>
    </row>
    <row r="6" spans="2:20" ht="12" customHeight="1" x14ac:dyDescent="0.25">
      <c r="C6" s="64" t="str">
        <f>Startsidan!G35</f>
        <v xml:space="preserve">Karlebynejdens Utveckling Ab
</v>
      </c>
      <c r="E6" s="2"/>
      <c r="F6" s="33"/>
      <c r="G6" s="36"/>
      <c r="H6" s="36"/>
      <c r="I6" s="33"/>
      <c r="J6" s="12"/>
      <c r="R6" s="19"/>
      <c r="S6" s="19"/>
    </row>
    <row r="7" spans="2:20" ht="12" customHeight="1" x14ac:dyDescent="0.25">
      <c r="C7" s="107"/>
      <c r="E7" s="2"/>
      <c r="F7" s="33"/>
      <c r="G7" s="36"/>
      <c r="H7" s="36"/>
      <c r="I7" s="33"/>
      <c r="J7" s="12"/>
      <c r="R7" s="19"/>
      <c r="S7" s="19"/>
    </row>
    <row r="8" spans="2:20" ht="12" customHeight="1" x14ac:dyDescent="0.2">
      <c r="C8" s="963" t="s">
        <v>246</v>
      </c>
      <c r="E8" s="77"/>
      <c r="F8" s="36"/>
      <c r="G8" s="36"/>
      <c r="H8" s="36"/>
      <c r="I8" s="42"/>
      <c r="J8" s="77"/>
      <c r="R8" s="19"/>
      <c r="S8" s="19"/>
    </row>
    <row r="9" spans="2:20" ht="13.5" customHeight="1" x14ac:dyDescent="0.2">
      <c r="C9" s="1694" t="s">
        <v>856</v>
      </c>
      <c r="D9" s="1694"/>
      <c r="E9" s="1693" t="s">
        <v>431</v>
      </c>
      <c r="F9" s="1693"/>
      <c r="G9" s="1693"/>
      <c r="H9" s="1693"/>
      <c r="I9" s="51"/>
      <c r="J9" s="1695" t="str">
        <f>C9</f>
        <v>Lunchrestaurang Ab</v>
      </c>
      <c r="K9" s="1695"/>
      <c r="L9" s="1695"/>
      <c r="M9" s="1695"/>
      <c r="N9" s="1695"/>
      <c r="R9" s="19"/>
      <c r="S9" s="19"/>
    </row>
    <row r="10" spans="2:20" ht="9.75" customHeight="1" thickBot="1" x14ac:dyDescent="0.25">
      <c r="G10" s="27"/>
      <c r="I10" s="754"/>
      <c r="J10" s="1048"/>
      <c r="K10" s="1048"/>
      <c r="L10" s="1048"/>
      <c r="M10" s="1048"/>
      <c r="N10" s="1048"/>
      <c r="O10" s="1048"/>
      <c r="P10" s="1048"/>
      <c r="Q10" s="1048"/>
      <c r="R10" s="1276"/>
      <c r="S10" s="1276"/>
      <c r="T10" s="754"/>
    </row>
    <row r="11" spans="2:20" ht="13.5" customHeight="1" x14ac:dyDescent="0.2">
      <c r="B11" s="1687" t="s">
        <v>243</v>
      </c>
      <c r="C11" s="1449"/>
      <c r="D11" s="1684" t="str">
        <f>IF(F13=12,"VERKSAMHETSKOSTNADER UNDER RÄKENSKAPSPERIODEN (Moms 0 %)","VERKSAMHETSKOSTNADER UNDER RÄKENSKAPSPERIODEN (Moms 0 %). OBSERVERA RÄKENSKAPSPERIODENS LÄNGD!")</f>
        <v>VERKSAMHETSKOSTNADER UNDER RÄKENSKAPSPERIODEN (Moms 0 %)</v>
      </c>
      <c r="E11" s="1684"/>
      <c r="F11" s="1384" t="s">
        <v>354</v>
      </c>
      <c r="G11" s="1384" t="s">
        <v>355</v>
      </c>
      <c r="H11" s="1384" t="s">
        <v>356</v>
      </c>
      <c r="I11" s="1298"/>
      <c r="J11" s="1302" t="s">
        <v>351</v>
      </c>
      <c r="K11" s="1277"/>
      <c r="L11" s="1278"/>
      <c r="M11" s="1279"/>
      <c r="N11" s="1279"/>
      <c r="O11" s="1279"/>
      <c r="P11" s="1279"/>
      <c r="Q11" s="1280"/>
      <c r="R11" s="1274"/>
      <c r="S11" s="1274"/>
      <c r="T11" s="1281"/>
    </row>
    <row r="12" spans="2:20" ht="13.5" customHeight="1" thickBot="1" x14ac:dyDescent="0.25">
      <c r="B12" s="1687"/>
      <c r="C12" s="1449"/>
      <c r="D12" s="1684"/>
      <c r="E12" s="1684"/>
      <c r="F12" s="423">
        <v>2023</v>
      </c>
      <c r="G12" s="423">
        <f>F12+1</f>
        <v>2024</v>
      </c>
      <c r="H12" s="423">
        <f>G12+1</f>
        <v>2025</v>
      </c>
      <c r="I12" s="46"/>
      <c r="J12" s="1303" t="s">
        <v>0</v>
      </c>
      <c r="K12" s="1282"/>
      <c r="L12" s="1283"/>
      <c r="M12" s="1283"/>
      <c r="N12" s="1283"/>
      <c r="O12" s="1283"/>
      <c r="P12" s="1283"/>
      <c r="Q12" s="1283"/>
      <c r="R12" s="1284"/>
      <c r="S12" s="1284"/>
      <c r="T12" s="1285"/>
    </row>
    <row r="13" spans="2:20" ht="12.75" customHeight="1" thickBot="1" x14ac:dyDescent="0.25">
      <c r="B13" s="687"/>
      <c r="C13" s="1448"/>
      <c r="D13" s="1690" t="s">
        <v>249</v>
      </c>
      <c r="E13" s="1690"/>
      <c r="F13" s="497">
        <v>12</v>
      </c>
      <c r="G13" s="548">
        <v>12</v>
      </c>
      <c r="H13" s="548">
        <v>12</v>
      </c>
      <c r="I13" s="46"/>
      <c r="J13" s="1303"/>
      <c r="K13" s="1286"/>
      <c r="L13" s="1287"/>
      <c r="M13" s="1287"/>
      <c r="N13" s="1287"/>
      <c r="O13" s="1287"/>
      <c r="P13" s="1287"/>
      <c r="Q13" s="1287"/>
      <c r="R13" s="1284"/>
      <c r="S13" s="1284"/>
      <c r="T13" s="1285"/>
    </row>
    <row r="14" spans="2:20" ht="12.75" customHeight="1" thickBot="1" x14ac:dyDescent="0.25">
      <c r="B14" s="688" t="s">
        <v>109</v>
      </c>
      <c r="C14" s="720" t="s">
        <v>4</v>
      </c>
      <c r="D14" s="636" t="s">
        <v>250</v>
      </c>
      <c r="E14" s="636"/>
      <c r="F14" s="764">
        <f>F16*F18</f>
        <v>30000</v>
      </c>
      <c r="G14" s="764">
        <f>G16*G18</f>
        <v>35937.5</v>
      </c>
      <c r="H14" s="764">
        <f>H16*H18</f>
        <v>41328.125</v>
      </c>
      <c r="I14" s="46"/>
      <c r="J14" s="1663" t="s">
        <v>352</v>
      </c>
      <c r="K14" s="1664"/>
      <c r="L14" s="1287"/>
      <c r="M14" s="1287"/>
      <c r="N14" s="1287"/>
      <c r="O14" s="1287"/>
      <c r="P14" s="1287"/>
      <c r="Q14" s="1287"/>
      <c r="R14" s="1284"/>
      <c r="S14" s="1284"/>
      <c r="T14" s="1285"/>
    </row>
    <row r="15" spans="2:20" ht="12.75" customHeight="1" x14ac:dyDescent="0.2">
      <c r="B15" s="689" t="s">
        <v>0</v>
      </c>
      <c r="C15" s="325">
        <v>0</v>
      </c>
      <c r="D15" s="1677" t="s">
        <v>609</v>
      </c>
      <c r="E15" s="1677"/>
      <c r="F15" s="765">
        <f>(F16+F17)*F18</f>
        <v>31548</v>
      </c>
      <c r="G15" s="765">
        <f>(G16+G17)*G18</f>
        <v>37598.375</v>
      </c>
      <c r="H15" s="765">
        <f>(H16+H17)*H18</f>
        <v>43038.826249999998</v>
      </c>
      <c r="I15" s="3"/>
      <c r="J15" s="329">
        <f>Teksti38</f>
        <v>2024</v>
      </c>
      <c r="K15" s="329">
        <f>Teksti39</f>
        <v>2025</v>
      </c>
      <c r="L15" s="1287"/>
      <c r="M15" s="1287"/>
      <c r="N15" s="1287"/>
      <c r="O15" s="1287"/>
      <c r="P15" s="1287"/>
      <c r="Q15" s="1287"/>
      <c r="R15" s="1284"/>
      <c r="S15" s="1284"/>
      <c r="T15" s="1285"/>
    </row>
    <row r="16" spans="2:20" ht="12.75" customHeight="1" x14ac:dyDescent="0.2">
      <c r="B16" s="689"/>
      <c r="C16" s="325"/>
      <c r="D16" s="1697" t="s">
        <v>451</v>
      </c>
      <c r="E16" s="1697"/>
      <c r="F16" s="858">
        <v>2500</v>
      </c>
      <c r="G16" s="858">
        <f>F16 +F16*J16</f>
        <v>2875</v>
      </c>
      <c r="H16" s="858">
        <f>G16 +G16*K16</f>
        <v>3306.25</v>
      </c>
      <c r="I16" s="3"/>
      <c r="J16" s="268">
        <v>0.15</v>
      </c>
      <c r="K16" s="498">
        <f>J16</f>
        <v>0.15</v>
      </c>
      <c r="L16" s="1284"/>
      <c r="M16" s="1284"/>
      <c r="N16" s="1284"/>
      <c r="O16" s="1284"/>
      <c r="P16" s="1284"/>
      <c r="Q16" s="1284"/>
      <c r="R16" s="1284"/>
      <c r="S16" s="1284"/>
      <c r="T16" s="1285"/>
    </row>
    <row r="17" spans="1:20" ht="12.75" customHeight="1" x14ac:dyDescent="0.2">
      <c r="B17" s="689"/>
      <c r="C17" s="325"/>
      <c r="D17" s="1697" t="s">
        <v>251</v>
      </c>
      <c r="E17" s="1697"/>
      <c r="F17" s="858">
        <v>129</v>
      </c>
      <c r="G17" s="858">
        <f>F17 +F17*J17</f>
        <v>132.87</v>
      </c>
      <c r="H17" s="858">
        <f>G17 +G17*K17</f>
        <v>136.8561</v>
      </c>
      <c r="I17" s="3"/>
      <c r="J17" s="498">
        <v>0.03</v>
      </c>
      <c r="K17" s="498">
        <f>J17</f>
        <v>0.03</v>
      </c>
      <c r="L17" s="1284"/>
      <c r="M17" s="1284"/>
      <c r="N17" s="1284"/>
      <c r="O17" s="1284"/>
      <c r="P17" s="1284"/>
      <c r="Q17" s="1284"/>
      <c r="R17" s="1284"/>
      <c r="S17" s="1284"/>
      <c r="T17" s="1285"/>
    </row>
    <row r="18" spans="1:20" ht="12.75" customHeight="1" x14ac:dyDescent="0.2">
      <c r="B18" s="689"/>
      <c r="C18" s="325"/>
      <c r="D18" s="1697" t="s">
        <v>252</v>
      </c>
      <c r="E18" s="1697"/>
      <c r="F18" s="859">
        <f>F13</f>
        <v>12</v>
      </c>
      <c r="G18" s="859">
        <f>12.5</f>
        <v>12.5</v>
      </c>
      <c r="H18" s="859">
        <f>G18</f>
        <v>12.5</v>
      </c>
      <c r="I18" s="3"/>
      <c r="J18" s="746"/>
      <c r="K18" s="1284"/>
      <c r="L18" s="1284"/>
      <c r="M18" s="1284"/>
      <c r="N18" s="1284"/>
      <c r="O18" s="1284"/>
      <c r="P18" s="1284"/>
      <c r="Q18" s="1284"/>
      <c r="R18" s="1284"/>
      <c r="S18" s="1284"/>
      <c r="T18" s="1285"/>
    </row>
    <row r="19" spans="1:20" ht="12.75" customHeight="1" thickBot="1" x14ac:dyDescent="0.25">
      <c r="B19" s="689"/>
      <c r="C19" s="327"/>
      <c r="D19" s="1696" t="s">
        <v>702</v>
      </c>
      <c r="E19" s="1696"/>
      <c r="F19" s="360">
        <v>1</v>
      </c>
      <c r="G19" s="360">
        <f>F19</f>
        <v>1</v>
      </c>
      <c r="H19" s="360">
        <f>G19</f>
        <v>1</v>
      </c>
      <c r="I19" s="3"/>
      <c r="J19" s="746"/>
      <c r="K19" s="1284"/>
      <c r="L19" s="1284"/>
      <c r="M19" s="1284"/>
      <c r="N19" s="1284"/>
      <c r="O19" s="1284"/>
      <c r="P19" s="1284"/>
      <c r="Q19" s="1284"/>
      <c r="R19" s="1284"/>
      <c r="S19" s="1284"/>
      <c r="T19" s="1285"/>
    </row>
    <row r="20" spans="1:20" ht="12.75" customHeight="1" x14ac:dyDescent="0.2">
      <c r="A20" s="168"/>
      <c r="C20" s="720" t="s">
        <v>5</v>
      </c>
      <c r="D20" s="1675" t="s">
        <v>253</v>
      </c>
      <c r="E20" s="1675"/>
      <c r="F20" s="766">
        <f>IF($F13=6,'Kauppa AT lainat ja avustukset'!B142,IF($F13=7,'Kauppa AT lainat ja avustukset'!C143,IF($F13=8,'Kauppa AT lainat ja avustukset'!D144,IF($F13=9,'Kauppa AT lainat ja avustukset'!E145,IF($F13=10,'Kauppa AT lainat ja avustukset'!F146,IF($F13=11,'Kauppa AT lainat ja avustukset'!G147,IF($F13=12,'Kauppa AT lainat ja avustukset'!H148,IF($F13=12,'Kauppa AT lainat ja avustukset'!I149,IF($F13=14,'Kauppa AT lainat ja avustukset'!J150,IF($F13=15,'Kauppa AT lainat ja avustukset'!K151,IF($F13=16,'Kauppa AT lainat ja avustukset'!L152,IF($F13=17,'Kauppa AT lainat ja avustukset'!M153,'Kauppa AT lainat ja avustukset'!N154))))))))))))</f>
        <v>1125</v>
      </c>
      <c r="G20" s="767">
        <f>IF($F13=6,'Kauppa AT lainat ja avustukset'!N142,IF($F13=7,'Kauppa AT lainat ja avustukset'!O143,IF($F13=8,'Kauppa AT lainat ja avustukset'!P144,IF($F13=9,'Kauppa AT lainat ja avustukset'!Q145,IF($F13=10,'Kauppa AT lainat ja avustukset'!R146,IF($F13=11,'Kauppa AT lainat ja avustukset'!S147,IF($F13=12,'Kauppa AT lainat ja avustukset'!T148,IF($F13=13,'Kauppa AT lainat ja avustukset'!U149,IF($F13=14,'Kauppa AT lainat ja avustukset'!V150,IF($F13=15,'Kauppa AT lainat ja avustukset'!W151,IF($F13=16,'Kauppa AT lainat ja avustukset'!X152,IF($F13=17,'Kauppa AT lainat ja avustukset'!Y153,'Kauppa AT lainat ja avustukset'!Z154))))))))))))</f>
        <v>7304.6875</v>
      </c>
      <c r="H20" s="767">
        <f>IF($F13=6,'Kauppa AT lainat ja avustukset'!Z142,IF($F13=7,'Kauppa AT lainat ja avustukset'!AA143,IF($F13=8,'Kauppa AT lainat ja avustukset'!AB144,IF($F13=9,'Kauppa AT lainat ja avustukset'!AC145,IF($F13=10,'Kauppa AT lainat ja avustukset'!AD146,IF($F13=11,'Kauppa AT lainat ja avustukset'!AE147,IF($F13=12,'Kauppa AT lainat ja avustukset'!AF148,IF($F13=13,'Kauppa AT lainat ja avustukset'!AG149,IF($F13=14,'Kauppa AT lainat ja avustukset'!AH150,IF($F13=15,'Kauppa AT lainat ja avustukset'!AI151,IF($F13=16,'Kauppa AT lainat ja avustukset'!AJ152,IF($F13=17,'Kauppa AT lainat ja avustukset'!AK153,'Kauppa AT lainat ja avustukset'!AL154))))))))))))</f>
        <v>7023.4375</v>
      </c>
      <c r="I20" s="5"/>
      <c r="J20" s="746"/>
      <c r="K20" s="1284"/>
      <c r="L20" s="1284"/>
      <c r="M20" s="1284"/>
      <c r="N20" s="1284"/>
      <c r="O20" s="1284"/>
      <c r="P20" s="1284"/>
      <c r="Q20" s="1284"/>
      <c r="R20" s="1284"/>
      <c r="S20" s="1284"/>
      <c r="T20" s="1285"/>
    </row>
    <row r="21" spans="1:20" ht="12.75" customHeight="1" x14ac:dyDescent="0.2">
      <c r="B21" s="689"/>
      <c r="C21" s="325"/>
      <c r="D21" s="1700" t="s">
        <v>254</v>
      </c>
      <c r="E21" s="1700"/>
      <c r="F21" s="860">
        <f>IF($F13=6,'Kauppa AT lainat ja avustukset'!B128,IF($F13=7,'Kauppa AT lainat ja avustukset'!C129,IF($F13=8,'Kauppa AT lainat ja avustukset'!D130,IF($F13=9,'Kauppa AT lainat ja avustukset'!E131,IF($F13=10,'Kauppa AT lainat ja avustukset'!F132,IF($F13=11,'Kauppa AT lainat ja avustukset'!G133,IF($F13=12,'Kauppa AT lainat ja avustukset'!H134,IF($F13=13,'Kauppa AT lainat ja avustukset'!I135,IF($F13=14,'Kauppa AT lainat ja avustukset'!J136,IF($F13=15,'Kauppa AT lainat ja avustukset'!K137,IF($F13=16,'Kauppa AT lainat ja avustukset'!L138,IF($F13=17,'Kauppa AT lainat ja avustukset'!M139,'Kauppa AT lainat ja avustukset'!N140))))))))))))</f>
        <v>1125</v>
      </c>
      <c r="G21" s="861">
        <f>IF($F13=6,'Kauppa AT lainat ja avustukset'!N128,IF($F13=7,'Kauppa AT lainat ja avustukset'!O129,IF($F13=8,'Kauppa AT lainat ja avustukset'!P130,IF($F13=9,'Kauppa AT lainat ja avustukset'!Q131,IF($F13=10,'Kauppa AT lainat ja avustukset'!R132,IF($F13=11,'Kauppa AT lainat ja avustukset'!S133,IF($F13=12,'Kauppa AT lainat ja avustukset'!T134,IF($F13=13,'Kauppa AT lainat ja avustukset'!U135,IF($F13=14,'Kauppa AT lainat ja avustukset'!V136,IF($F13=15,'Kauppa AT lainat ja avustukset'!W137,IF($F13=16,'Kauppa AT lainat ja avustukset'!X138,IF($F13=17,'Kauppa AT lainat ja avustukset'!Y139,'Kauppa AT lainat ja avustukset'!Z140))))))))))))</f>
        <v>1054.6875</v>
      </c>
      <c r="H21" s="768">
        <f>IF($F13=6,'Kauppa AT lainat ja avustukset'!Z128,IF($F13=7,'Kauppa AT lainat ja avustukset'!AA129,IF($F13=8,'Kauppa AT lainat ja avustukset'!AB130,IF($F13=9,'Kauppa AT lainat ja avustukset'!AC131,IF($F13=10,'Kauppa AT lainat ja avustukset'!AD132,IF($F13=11,'Kauppa AT lainat ja avustukset'!AE133,IF($F13=12,'Kauppa AT lainat ja avustukset'!AF134,IF($F13=13,'Kauppa AT lainat ja avustukset'!AG135,IF($F13=14,'Kauppa AT lainat ja avustukset'!AH136,IF($F13=15,'Kauppa AT lainat ja avustukset'!AI137,IF($F13=16,'Kauppa AT lainat ja avustukset'!AJ138,IF($F13=17,'Kauppa AT lainat ja avustukset'!AK139,'Kauppa AT lainat ja avustukset'!AL140))))))))))))</f>
        <v>773.4375</v>
      </c>
      <c r="I21" s="5"/>
      <c r="J21" s="746"/>
      <c r="K21" s="1284"/>
      <c r="L21" s="1284"/>
      <c r="M21" s="1284"/>
      <c r="N21" s="1284"/>
      <c r="O21" s="1284"/>
      <c r="P21" s="1284"/>
      <c r="Q21" s="1284"/>
      <c r="R21" s="1284"/>
      <c r="S21" s="1284"/>
      <c r="T21" s="1285"/>
    </row>
    <row r="22" spans="1:20" ht="12.75" customHeight="1" thickBot="1" x14ac:dyDescent="0.25">
      <c r="A22" s="168"/>
      <c r="B22" s="689"/>
      <c r="C22" s="327"/>
      <c r="D22" s="1701" t="s">
        <v>255</v>
      </c>
      <c r="E22" s="1701"/>
      <c r="F22" s="769">
        <f>IF($F13&lt;12,'Kauppa AT lainat ja avustukset'!G125,IF($F13&lt;18,'Kauppa AT lainat ja avustukset'!M125,'Kauppa AT lainat ja avustukset'!N125))</f>
        <v>25000</v>
      </c>
      <c r="G22" s="770">
        <f>IF($F13&lt;12,'Kauppa AT lainat ja avustukset'!S125,IF($F13&lt;18,'Kauppa AT lainat ja avustukset'!Y125,'Kauppa AT lainat ja avustukset'!Z125))</f>
        <v>18750</v>
      </c>
      <c r="H22" s="770">
        <f>IF($F13&lt;12,'Kauppa AT lainat ja avustukset'!AE125,IF($F13&lt;18,'Kauppa AT lainat ja avustukset'!AK125,'Kauppa AT lainat ja avustukset'!AL125))</f>
        <v>12500</v>
      </c>
      <c r="I22" s="5"/>
      <c r="J22" s="746"/>
      <c r="K22" s="1284"/>
      <c r="L22" s="1284"/>
      <c r="M22" s="1284"/>
      <c r="N22" s="1284"/>
      <c r="O22" s="1284"/>
      <c r="P22" s="1284"/>
      <c r="Q22" s="1284"/>
      <c r="R22" s="1284"/>
      <c r="S22" s="1284"/>
      <c r="T22" s="1285"/>
    </row>
    <row r="23" spans="1:20" ht="12.75" customHeight="1" thickBot="1" x14ac:dyDescent="0.25">
      <c r="A23" s="2"/>
      <c r="B23" s="688" t="s">
        <v>111</v>
      </c>
      <c r="C23" s="699" t="s">
        <v>6</v>
      </c>
      <c r="D23" s="377" t="s">
        <v>256</v>
      </c>
      <c r="E23" s="700"/>
      <c r="F23" s="831">
        <f>F14+F20</f>
        <v>31125</v>
      </c>
      <c r="G23" s="831">
        <f>G14+G20</f>
        <v>43242.1875</v>
      </c>
      <c r="H23" s="831">
        <f>H14+H20</f>
        <v>48351.5625</v>
      </c>
      <c r="I23" s="5"/>
      <c r="J23" s="746"/>
      <c r="K23" s="1284"/>
      <c r="L23" s="1284"/>
      <c r="M23" s="1284"/>
      <c r="N23" s="1284"/>
      <c r="O23" s="1284"/>
      <c r="P23" s="1284"/>
      <c r="Q23" s="1284"/>
      <c r="R23" s="1288"/>
      <c r="S23" s="1288"/>
      <c r="T23" s="1285"/>
    </row>
    <row r="24" spans="1:20" ht="6" customHeight="1" x14ac:dyDescent="0.2">
      <c r="A24" s="168"/>
      <c r="B24" s="690"/>
      <c r="C24" s="325"/>
      <c r="D24" s="64"/>
      <c r="E24" s="64"/>
      <c r="F24" s="358"/>
      <c r="G24" s="358"/>
      <c r="H24" s="358"/>
      <c r="I24" s="3"/>
      <c r="J24" s="1304"/>
      <c r="K24" s="1289"/>
      <c r="L24" s="1284"/>
      <c r="M24" s="1284"/>
      <c r="N24" s="1284"/>
      <c r="O24" s="1284"/>
      <c r="P24" s="1284"/>
      <c r="Q24" s="1284"/>
      <c r="R24" s="1288"/>
      <c r="S24" s="1288"/>
      <c r="T24" s="1285"/>
    </row>
    <row r="25" spans="1:20" ht="12.75" customHeight="1" thickBot="1" x14ac:dyDescent="0.25">
      <c r="B25" s="689"/>
      <c r="C25" s="327" t="s">
        <v>0</v>
      </c>
      <c r="D25" s="857" t="s">
        <v>691</v>
      </c>
      <c r="E25" s="60"/>
      <c r="F25" s="359"/>
      <c r="G25" s="359"/>
      <c r="H25" s="359"/>
      <c r="I25" s="300"/>
      <c r="J25" s="746"/>
      <c r="K25" s="1284"/>
      <c r="L25" s="1284"/>
      <c r="M25" s="1284"/>
      <c r="N25" s="1284"/>
      <c r="O25" s="1284"/>
      <c r="P25" s="1284"/>
      <c r="Q25" s="1284"/>
      <c r="R25" s="1284"/>
      <c r="S25" s="1284"/>
      <c r="T25" s="1285"/>
    </row>
    <row r="26" spans="1:20" x14ac:dyDescent="0.2">
      <c r="B26" s="691" t="s">
        <v>133</v>
      </c>
      <c r="C26" s="721" t="s">
        <v>7</v>
      </c>
      <c r="D26" s="1675" t="s">
        <v>257</v>
      </c>
      <c r="E26" s="1675"/>
      <c r="F26" s="774">
        <f>IF(F27=0,0,-F13*PMT('K3 Resultat'!$H22/12,'K3 Resultat'!$I22*12,'K3 Resultat'!$K22)+F13*10)</f>
        <v>5979.1013619605956</v>
      </c>
      <c r="G26" s="774">
        <f>IF(G27=0,0,-G13*PMT('K3 Resultat'!$H22/12,'K3 Resultat'!$I22*12,'K3 Resultat'!$K22)+G13*10)</f>
        <v>5979.1013619605956</v>
      </c>
      <c r="H26" s="774">
        <f>IF(H27=0,0,-H13*PMT('K3 Resultat'!$H22/12,'K3 Resultat'!$I22*12,'K3 Resultat'!$K22)+H13*10)</f>
        <v>5979.1013619605956</v>
      </c>
      <c r="I26" s="48"/>
      <c r="J26" s="746"/>
      <c r="K26" s="1284"/>
      <c r="L26" s="1284"/>
      <c r="M26" s="1284"/>
      <c r="N26" s="1284"/>
      <c r="O26" s="1284"/>
      <c r="P26" s="1284"/>
      <c r="Q26" s="1284"/>
      <c r="R26" s="1284"/>
      <c r="S26" s="1284"/>
      <c r="T26" s="1285"/>
    </row>
    <row r="27" spans="1:20" ht="13.5" thickBot="1" x14ac:dyDescent="0.25">
      <c r="A27" s="168"/>
      <c r="B27" s="692"/>
      <c r="C27" s="375"/>
      <c r="D27" s="1671" t="s">
        <v>258</v>
      </c>
      <c r="E27" s="1671"/>
      <c r="F27" s="775">
        <f>'K3 Resultat'!K22</f>
        <v>20000</v>
      </c>
      <c r="G27" s="775">
        <f>IF('K3 Resultat'!$I$22&lt;2,0,'K1 Kostnader'!F27)</f>
        <v>20000</v>
      </c>
      <c r="H27" s="775">
        <f>IF('K3 Resultat'!$I$22&lt;3,0,'K1 Kostnader'!G27)</f>
        <v>20000</v>
      </c>
      <c r="I27" s="44"/>
      <c r="J27" s="746"/>
      <c r="K27" s="1284"/>
      <c r="L27" s="1284"/>
      <c r="M27" s="1284"/>
      <c r="N27" s="1284"/>
      <c r="O27" s="1284"/>
      <c r="P27" s="1284"/>
      <c r="Q27" s="1284"/>
      <c r="R27" s="1284"/>
      <c r="S27" s="1284"/>
      <c r="T27" s="1285"/>
    </row>
    <row r="28" spans="1:20" s="2" customFormat="1" ht="12.75" customHeight="1" thickBot="1" x14ac:dyDescent="0.25">
      <c r="A28"/>
      <c r="B28" s="691" t="s">
        <v>182</v>
      </c>
      <c r="C28" s="376" t="s">
        <v>8</v>
      </c>
      <c r="D28" s="1640" t="s">
        <v>259</v>
      </c>
      <c r="E28" s="511"/>
      <c r="F28" s="764">
        <f>Lönekostnader!C83</f>
        <v>40456.199999999997</v>
      </c>
      <c r="G28" s="764">
        <f>Lönekostnader!D83</f>
        <v>42912.42</v>
      </c>
      <c r="H28" s="764">
        <f>Lönekostnader!E83</f>
        <v>43770.668400000002</v>
      </c>
      <c r="I28" s="5"/>
      <c r="J28" s="1305"/>
      <c r="K28" s="1289"/>
      <c r="L28" s="1284"/>
      <c r="M28" s="1284"/>
      <c r="N28" s="1284"/>
      <c r="O28" s="1284"/>
      <c r="P28" s="1284"/>
      <c r="Q28" s="1284"/>
      <c r="R28" s="1288"/>
      <c r="S28" s="1288"/>
      <c r="T28" s="1285"/>
    </row>
    <row r="29" spans="1:20" s="2" customFormat="1" ht="12.75" customHeight="1" thickBot="1" x14ac:dyDescent="0.25">
      <c r="A29" s="168"/>
      <c r="B29" s="691" t="s">
        <v>112</v>
      </c>
      <c r="C29" s="721" t="s">
        <v>9</v>
      </c>
      <c r="D29" s="701" t="s">
        <v>260</v>
      </c>
      <c r="E29" s="367"/>
      <c r="F29" s="764">
        <f>F30+F33</f>
        <v>13760.5828</v>
      </c>
      <c r="G29" s="764">
        <f>G30+G33</f>
        <v>14384.17066</v>
      </c>
      <c r="H29" s="764">
        <f>H30+H33</f>
        <v>14735.4890182</v>
      </c>
      <c r="I29" s="5"/>
      <c r="J29" s="1306"/>
      <c r="K29" s="1289"/>
      <c r="L29" s="1284"/>
      <c r="M29" s="1284"/>
      <c r="N29" s="1284"/>
      <c r="O29" s="1284"/>
      <c r="P29" s="1284"/>
      <c r="Q29" s="1284"/>
      <c r="R29" s="1288"/>
      <c r="S29" s="1288"/>
      <c r="T29" s="1285"/>
    </row>
    <row r="30" spans="1:20" s="2" customFormat="1" x14ac:dyDescent="0.2">
      <c r="A30"/>
      <c r="B30" s="692" t="s">
        <v>0</v>
      </c>
      <c r="C30" s="163" t="s">
        <v>0</v>
      </c>
      <c r="D30" s="698" t="s">
        <v>261</v>
      </c>
      <c r="E30" s="698"/>
      <c r="F30" s="776">
        <f>F31*F13*F32/12</f>
        <v>6178.1500000000005</v>
      </c>
      <c r="G30" s="776">
        <f>G31*G32</f>
        <v>6363.4944999999998</v>
      </c>
      <c r="H30" s="776">
        <f>H31*H32</f>
        <v>6554.3993350000001</v>
      </c>
      <c r="I30" s="5"/>
      <c r="J30" s="1663" t="s">
        <v>350</v>
      </c>
      <c r="K30" s="1664"/>
      <c r="L30" s="1284"/>
      <c r="M30" s="1284"/>
      <c r="N30" s="1284"/>
      <c r="O30" s="1284"/>
      <c r="P30" s="1284"/>
      <c r="Q30" s="1284"/>
      <c r="R30" s="1288"/>
      <c r="S30" s="1288"/>
      <c r="T30" s="1285"/>
    </row>
    <row r="31" spans="1:20" s="2" customFormat="1" x14ac:dyDescent="0.2">
      <c r="A31" s="168"/>
      <c r="B31" s="692"/>
      <c r="C31" s="163"/>
      <c r="D31" s="368" t="s">
        <v>262</v>
      </c>
      <c r="E31" s="368"/>
      <c r="F31" s="862">
        <v>0.188</v>
      </c>
      <c r="G31" s="862">
        <f>F31</f>
        <v>0.188</v>
      </c>
      <c r="H31" s="862">
        <f>G31</f>
        <v>0.188</v>
      </c>
      <c r="I31" s="5"/>
      <c r="J31" s="328">
        <f>G$12</f>
        <v>2024</v>
      </c>
      <c r="K31" s="328">
        <f>H$12</f>
        <v>2025</v>
      </c>
      <c r="L31" s="1284"/>
      <c r="M31" s="1284"/>
      <c r="N31" s="1284"/>
      <c r="O31" s="1284"/>
      <c r="P31" s="1284"/>
      <c r="Q31" s="1284"/>
      <c r="R31" s="1288"/>
      <c r="S31" s="1288"/>
      <c r="T31" s="1285"/>
    </row>
    <row r="32" spans="1:20" s="2" customFormat="1" x14ac:dyDescent="0.2">
      <c r="A32"/>
      <c r="B32" s="692"/>
      <c r="C32" s="163"/>
      <c r="D32" s="1674" t="s">
        <v>263</v>
      </c>
      <c r="E32" s="1674"/>
      <c r="F32" s="863">
        <f>12.5*F16+12.5*F17</f>
        <v>32862.5</v>
      </c>
      <c r="G32" s="864">
        <f>F32 +F32*J32</f>
        <v>33848.375</v>
      </c>
      <c r="H32" s="864">
        <f>G32 +G32*K32</f>
        <v>34863.826249999998</v>
      </c>
      <c r="I32" s="5"/>
      <c r="J32" s="268">
        <v>0.03</v>
      </c>
      <c r="K32" s="498">
        <f>J32</f>
        <v>0.03</v>
      </c>
      <c r="L32" s="1284"/>
      <c r="M32" s="1284"/>
      <c r="N32" s="1290">
        <v>0</v>
      </c>
      <c r="O32" s="1284"/>
      <c r="P32" s="1284"/>
      <c r="Q32" s="1284"/>
      <c r="R32" s="1288"/>
      <c r="S32" s="1288"/>
      <c r="T32" s="1285"/>
    </row>
    <row r="33" spans="1:20" s="2" customFormat="1" x14ac:dyDescent="0.2">
      <c r="A33" s="168"/>
      <c r="B33" s="692"/>
      <c r="C33" s="163"/>
      <c r="D33" s="368" t="s">
        <v>264</v>
      </c>
      <c r="E33" s="368"/>
      <c r="F33" s="777">
        <f>('K1 Kostnader'!F34)*Lönekostnader!C$85+F35</f>
        <v>7582.4327999999987</v>
      </c>
      <c r="G33" s="777">
        <f>('K1 Kostnader'!G34)*Lönekostnader!D$85+G35</f>
        <v>8020.6761599999991</v>
      </c>
      <c r="H33" s="777">
        <f>('K1 Kostnader'!H34)*Lönekostnader!E$85+H35</f>
        <v>8181.0896831999999</v>
      </c>
      <c r="I33" s="5"/>
      <c r="J33" s="1304"/>
      <c r="K33" s="1289"/>
      <c r="L33" s="1284"/>
      <c r="M33" s="1284"/>
      <c r="N33" s="1284"/>
      <c r="O33" s="1284"/>
      <c r="P33" s="1284"/>
      <c r="Q33" s="1284"/>
      <c r="R33" s="1288"/>
      <c r="S33" s="1288"/>
      <c r="T33" s="1285"/>
    </row>
    <row r="34" spans="1:20" s="2" customFormat="1" x14ac:dyDescent="0.2">
      <c r="B34" s="692"/>
      <c r="C34" s="163"/>
      <c r="D34" s="368" t="s">
        <v>265</v>
      </c>
      <c r="E34" s="368"/>
      <c r="F34" s="862">
        <v>0.17399999999999999</v>
      </c>
      <c r="G34" s="862">
        <f>F34</f>
        <v>0.17399999999999999</v>
      </c>
      <c r="H34" s="862">
        <f>G34</f>
        <v>0.17399999999999999</v>
      </c>
      <c r="I34" s="5"/>
      <c r="J34" s="1304"/>
      <c r="K34" s="1289"/>
      <c r="L34" s="1284"/>
      <c r="M34" s="1284"/>
      <c r="N34" s="1284"/>
      <c r="O34" s="1284"/>
      <c r="P34" s="1284"/>
      <c r="Q34" s="1284"/>
      <c r="R34" s="1288"/>
      <c r="S34" s="1288"/>
      <c r="T34" s="1285"/>
    </row>
    <row r="35" spans="1:20" s="2" customFormat="1" ht="13.5" thickBot="1" x14ac:dyDescent="0.25">
      <c r="A35"/>
      <c r="B35" s="692"/>
      <c r="C35" s="375"/>
      <c r="D35" s="359" t="s">
        <v>266</v>
      </c>
      <c r="E35" s="359"/>
      <c r="F35" s="360">
        <v>0</v>
      </c>
      <c r="G35" s="360">
        <f>F35*12/F$13</f>
        <v>0</v>
      </c>
      <c r="H35" s="360">
        <f>G35</f>
        <v>0</v>
      </c>
      <c r="I35" s="5"/>
      <c r="J35" s="1304"/>
      <c r="K35" s="1289"/>
      <c r="L35" s="1284"/>
      <c r="M35" s="1284"/>
      <c r="N35" s="1284"/>
      <c r="O35" s="1284"/>
      <c r="P35" s="1284"/>
      <c r="Q35" s="1284"/>
      <c r="R35" s="1288"/>
      <c r="S35" s="1288"/>
      <c r="T35" s="1285"/>
    </row>
    <row r="36" spans="1:20" s="2" customFormat="1" ht="13.5" thickBot="1" x14ac:dyDescent="0.25">
      <c r="A36"/>
      <c r="B36" s="691" t="s">
        <v>113</v>
      </c>
      <c r="C36" s="721" t="s">
        <v>10</v>
      </c>
      <c r="D36" s="1675" t="s">
        <v>267</v>
      </c>
      <c r="E36" s="1675"/>
      <c r="F36" s="764">
        <f>('K1 Kostnader'!F37)*Lönekostnader!C$85+F40+F38+F39</f>
        <v>2314.4128999999998</v>
      </c>
      <c r="G36" s="764">
        <f>('K1 Kostnader'!G37)*Lönekostnader!D$85+G40+G38+G39</f>
        <v>2549.1693525000001</v>
      </c>
      <c r="H36" s="764">
        <f>('K1 Kostnader'!H37)*Lönekostnader!E$85+H40+H38+H39</f>
        <v>2673.6407646750004</v>
      </c>
      <c r="I36" s="5"/>
      <c r="J36" s="1307"/>
      <c r="K36" s="1284"/>
      <c r="L36" s="1284"/>
      <c r="M36" s="1284"/>
      <c r="N36" s="1284"/>
      <c r="O36" s="1284"/>
      <c r="P36" s="1284"/>
      <c r="Q36" s="1284"/>
      <c r="R36" s="1288"/>
      <c r="S36" s="1288"/>
      <c r="T36" s="1285"/>
    </row>
    <row r="37" spans="1:20" s="2" customFormat="1" x14ac:dyDescent="0.2">
      <c r="A37"/>
      <c r="B37" s="692"/>
      <c r="C37" s="163"/>
      <c r="D37" s="1677" t="s">
        <v>657</v>
      </c>
      <c r="E37" s="1677"/>
      <c r="F37" s="865">
        <v>2.5999999999999999E-2</v>
      </c>
      <c r="G37" s="865">
        <f>F37</f>
        <v>2.5999999999999999E-2</v>
      </c>
      <c r="H37" s="865">
        <f>G37</f>
        <v>2.5999999999999999E-2</v>
      </c>
      <c r="I37" s="5"/>
      <c r="J37" s="1663" t="s">
        <v>350</v>
      </c>
      <c r="K37" s="1664"/>
      <c r="L37" s="1284"/>
      <c r="M37" s="1284"/>
      <c r="N37" s="1284"/>
      <c r="O37" s="1284"/>
      <c r="P37" s="1284"/>
      <c r="Q37" s="1284"/>
      <c r="R37" s="1288"/>
      <c r="S37" s="1288"/>
      <c r="T37" s="1285"/>
    </row>
    <row r="38" spans="1:20" s="2" customFormat="1" x14ac:dyDescent="0.2">
      <c r="A38"/>
      <c r="B38" s="692"/>
      <c r="C38" s="163"/>
      <c r="D38" s="1674" t="s">
        <v>658</v>
      </c>
      <c r="E38" s="1674"/>
      <c r="F38" s="777">
        <f>F13*(1.7%*F32+1.34%*F15+0.008*'K3 Resultat'!$K16)/12</f>
        <v>1181.4057</v>
      </c>
      <c r="G38" s="777">
        <f>G13*(1.7%*G32+1.53%*G15+0.008*'K3 Resultat'!$K16)/12</f>
        <v>1350.6775124999999</v>
      </c>
      <c r="H38" s="777">
        <f>H13*(1.7%*H32+1.53%*H15+0.008*'K3 Resultat'!$K16)/12</f>
        <v>1451.1790878750001</v>
      </c>
      <c r="I38" s="5"/>
      <c r="J38" s="328">
        <f>G$12</f>
        <v>2024</v>
      </c>
      <c r="K38" s="328">
        <f>H$12</f>
        <v>2025</v>
      </c>
      <c r="L38" s="1284"/>
      <c r="M38" s="1284"/>
      <c r="N38" s="1284"/>
      <c r="O38" s="1284"/>
      <c r="P38" s="1284"/>
      <c r="Q38" s="1284"/>
      <c r="R38" s="1288"/>
      <c r="S38" s="1288"/>
      <c r="T38" s="1285"/>
    </row>
    <row r="39" spans="1:20" s="2" customFormat="1" x14ac:dyDescent="0.2">
      <c r="A39"/>
      <c r="B39" s="692"/>
      <c r="C39" s="163"/>
      <c r="D39" s="1674" t="s">
        <v>268</v>
      </c>
      <c r="E39" s="1674"/>
      <c r="F39" s="858">
        <v>0</v>
      </c>
      <c r="G39" s="858">
        <f>F39*12/F$13+J39*F39*12/F$13</f>
        <v>0</v>
      </c>
      <c r="H39" s="858">
        <f t="shared" ref="H39" si="0">G39 +G39*K39</f>
        <v>0</v>
      </c>
      <c r="I39" s="5"/>
      <c r="J39" s="498">
        <v>0.03</v>
      </c>
      <c r="K39" s="498">
        <f t="shared" ref="K39:K46" si="1">J39</f>
        <v>0.03</v>
      </c>
      <c r="L39" s="1284"/>
      <c r="M39" s="1284"/>
      <c r="N39" s="1284"/>
      <c r="O39" s="1284"/>
      <c r="P39" s="1284"/>
      <c r="Q39" s="1284"/>
      <c r="R39" s="1288"/>
      <c r="S39" s="1288"/>
      <c r="T39" s="1285"/>
    </row>
    <row r="40" spans="1:20" s="2" customFormat="1" ht="13.5" thickBot="1" x14ac:dyDescent="0.25">
      <c r="A40"/>
      <c r="B40" s="692"/>
      <c r="C40" s="375"/>
      <c r="D40" s="1671" t="s">
        <v>269</v>
      </c>
      <c r="E40" s="1671"/>
      <c r="F40" s="360">
        <v>0</v>
      </c>
      <c r="G40" s="866">
        <f>F40*12/F$13+J40*F40*12/F$13</f>
        <v>0</v>
      </c>
      <c r="H40" s="858">
        <f t="shared" ref="H40" si="2">G40 +G40*K40</f>
        <v>0</v>
      </c>
      <c r="I40" s="5"/>
      <c r="J40" s="498">
        <v>0.03</v>
      </c>
      <c r="K40" s="498">
        <f t="shared" si="1"/>
        <v>0.03</v>
      </c>
      <c r="L40" s="1284"/>
      <c r="M40" s="1284"/>
      <c r="N40" s="1284"/>
      <c r="O40" s="1284"/>
      <c r="P40" s="1284"/>
      <c r="Q40" s="1284"/>
      <c r="R40" s="1288"/>
      <c r="S40" s="1288"/>
      <c r="T40" s="1285"/>
    </row>
    <row r="41" spans="1:20" s="2" customFormat="1" ht="13.5" thickBot="1" x14ac:dyDescent="0.25">
      <c r="A41"/>
      <c r="B41" s="691" t="s">
        <v>114</v>
      </c>
      <c r="C41" s="721" t="s">
        <v>11</v>
      </c>
      <c r="D41" s="702" t="s">
        <v>275</v>
      </c>
      <c r="E41" s="369"/>
      <c r="F41" s="764">
        <f>SUM(F42:F46)</f>
        <v>1250</v>
      </c>
      <c r="G41" s="764">
        <f>SUM(G42:G46)</f>
        <v>1287.5</v>
      </c>
      <c r="H41" s="764">
        <f>SUM(H42:H46)</f>
        <v>1326.125</v>
      </c>
      <c r="I41" s="5"/>
      <c r="J41" s="328">
        <f>G$12</f>
        <v>2024</v>
      </c>
      <c r="K41" s="328">
        <f>H$12</f>
        <v>2025</v>
      </c>
      <c r="L41" s="1284"/>
      <c r="M41" s="1284"/>
      <c r="N41" s="1284"/>
      <c r="O41" s="1284"/>
      <c r="P41" s="1284"/>
      <c r="Q41" s="1284"/>
      <c r="R41" s="1288"/>
      <c r="S41" s="1288"/>
      <c r="T41" s="1285"/>
    </row>
    <row r="42" spans="1:20" s="2" customFormat="1" x14ac:dyDescent="0.2">
      <c r="A42"/>
      <c r="B42" s="692"/>
      <c r="C42" s="163"/>
      <c r="D42" s="368" t="s">
        <v>270</v>
      </c>
      <c r="E42" s="330"/>
      <c r="F42" s="858">
        <v>0</v>
      </c>
      <c r="G42" s="867">
        <f>F42*12/F$13+J42*F42*12/F$13</f>
        <v>0</v>
      </c>
      <c r="H42" s="867">
        <f t="shared" ref="H42" si="3">G42 +G42*K42</f>
        <v>0</v>
      </c>
      <c r="I42" s="5"/>
      <c r="J42" s="498">
        <v>0.03</v>
      </c>
      <c r="K42" s="498">
        <f t="shared" si="1"/>
        <v>0.03</v>
      </c>
      <c r="L42" s="1284"/>
      <c r="M42" s="1284"/>
      <c r="N42" s="1284"/>
      <c r="O42" s="1284"/>
      <c r="P42" s="1284"/>
      <c r="Q42" s="1284"/>
      <c r="R42" s="1288"/>
      <c r="S42" s="1288"/>
      <c r="T42" s="1285"/>
    </row>
    <row r="43" spans="1:20" s="2" customFormat="1" x14ac:dyDescent="0.2">
      <c r="A43"/>
      <c r="B43" s="692"/>
      <c r="C43" s="163"/>
      <c r="D43" s="368" t="s">
        <v>271</v>
      </c>
      <c r="E43" s="330"/>
      <c r="F43" s="858">
        <v>0</v>
      </c>
      <c r="G43" s="858">
        <f t="shared" ref="G43:G46" si="4">F43*12/F$13+J43*F43*12/F$13</f>
        <v>0</v>
      </c>
      <c r="H43" s="858">
        <f t="shared" ref="H43:H46" si="5">G43 +G43*K43</f>
        <v>0</v>
      </c>
      <c r="I43" s="5"/>
      <c r="J43" s="498">
        <v>0.03</v>
      </c>
      <c r="K43" s="498">
        <f t="shared" si="1"/>
        <v>0.03</v>
      </c>
      <c r="L43" s="1284"/>
      <c r="M43" s="1284"/>
      <c r="N43" s="1284"/>
      <c r="O43" s="1284"/>
      <c r="P43" s="1284"/>
      <c r="Q43" s="1284"/>
      <c r="R43" s="1288"/>
      <c r="S43" s="1288"/>
      <c r="T43" s="1285"/>
    </row>
    <row r="44" spans="1:20" s="2" customFormat="1" x14ac:dyDescent="0.2">
      <c r="A44"/>
      <c r="B44" s="692"/>
      <c r="C44" s="163"/>
      <c r="D44" s="368" t="s">
        <v>272</v>
      </c>
      <c r="E44" s="330"/>
      <c r="F44" s="867">
        <v>750</v>
      </c>
      <c r="G44" s="858">
        <f t="shared" si="4"/>
        <v>772.5</v>
      </c>
      <c r="H44" s="858">
        <f t="shared" si="5"/>
        <v>795.67499999999995</v>
      </c>
      <c r="I44" s="5"/>
      <c r="J44" s="498">
        <v>0.03</v>
      </c>
      <c r="K44" s="498">
        <f t="shared" si="1"/>
        <v>0.03</v>
      </c>
      <c r="L44" s="1284"/>
      <c r="M44" s="1284"/>
      <c r="N44" s="1284"/>
      <c r="O44" s="1284"/>
      <c r="P44" s="1284"/>
      <c r="Q44" s="1284"/>
      <c r="R44" s="1288"/>
      <c r="S44" s="1288"/>
      <c r="T44" s="1285"/>
    </row>
    <row r="45" spans="1:20" s="2" customFormat="1" x14ac:dyDescent="0.2">
      <c r="A45"/>
      <c r="B45" s="692"/>
      <c r="C45" s="163"/>
      <c r="D45" s="368" t="s">
        <v>273</v>
      </c>
      <c r="E45" s="330"/>
      <c r="F45" s="858">
        <v>500</v>
      </c>
      <c r="G45" s="858">
        <f t="shared" si="4"/>
        <v>515</v>
      </c>
      <c r="H45" s="858">
        <f t="shared" si="5"/>
        <v>530.45000000000005</v>
      </c>
      <c r="I45" s="5"/>
      <c r="J45" s="498">
        <v>0.03</v>
      </c>
      <c r="K45" s="498">
        <f t="shared" si="1"/>
        <v>0.03</v>
      </c>
      <c r="L45" s="1284"/>
      <c r="M45" s="1284"/>
      <c r="N45" s="1284"/>
      <c r="O45" s="1284"/>
      <c r="P45" s="1284"/>
      <c r="Q45" s="1284"/>
      <c r="R45" s="1288"/>
      <c r="S45" s="1288"/>
      <c r="T45" s="1285"/>
    </row>
    <row r="46" spans="1:20" s="2" customFormat="1" ht="13.5" thickBot="1" x14ac:dyDescent="0.25">
      <c r="A46"/>
      <c r="B46" s="692"/>
      <c r="C46" s="375"/>
      <c r="D46" s="1671" t="s">
        <v>274</v>
      </c>
      <c r="E46" s="1671"/>
      <c r="F46" s="360">
        <v>0</v>
      </c>
      <c r="G46" s="360">
        <f t="shared" si="4"/>
        <v>0</v>
      </c>
      <c r="H46" s="360">
        <f t="shared" si="5"/>
        <v>0</v>
      </c>
      <c r="I46" s="5"/>
      <c r="J46" s="498">
        <v>0.03</v>
      </c>
      <c r="K46" s="498">
        <f t="shared" si="1"/>
        <v>0.03</v>
      </c>
      <c r="L46" s="1284"/>
      <c r="M46" s="1284"/>
      <c r="N46" s="1284"/>
      <c r="O46" s="1284"/>
      <c r="P46" s="1284"/>
      <c r="Q46" s="1284"/>
      <c r="R46" s="1288"/>
      <c r="S46" s="1288"/>
      <c r="T46" s="1285"/>
    </row>
    <row r="47" spans="1:20" s="2" customFormat="1" ht="13.5" thickBot="1" x14ac:dyDescent="0.25">
      <c r="A47"/>
      <c r="B47" s="691" t="s">
        <v>115</v>
      </c>
      <c r="C47" s="721" t="s">
        <v>12</v>
      </c>
      <c r="D47" s="703" t="s">
        <v>848</v>
      </c>
      <c r="E47" s="704"/>
      <c r="F47" s="764">
        <f>F48+F51+F52+F53+F54+F55+F56+F57*0.003*F13/12+F58</f>
        <v>27350</v>
      </c>
      <c r="G47" s="764">
        <f>G48+G51+G52+G53+G54+G55+G56+G57*0.003+G58</f>
        <v>28170.5</v>
      </c>
      <c r="H47" s="764">
        <f>H48+H51+H52+H53+H54+H55+H56+H57*0.003+H58</f>
        <v>29015.615000000002</v>
      </c>
      <c r="I47" s="5"/>
      <c r="J47" s="1304"/>
      <c r="K47" s="1289"/>
      <c r="L47" s="1284"/>
      <c r="M47" s="1284"/>
      <c r="N47" s="1284"/>
      <c r="O47" s="1284"/>
      <c r="P47" s="1284"/>
      <c r="Q47" s="1284"/>
      <c r="R47" s="1288"/>
      <c r="S47" s="1288"/>
      <c r="T47" s="1285"/>
    </row>
    <row r="48" spans="1:20" x14ac:dyDescent="0.2">
      <c r="B48" s="692" t="s">
        <v>0</v>
      </c>
      <c r="C48" s="163">
        <v>0</v>
      </c>
      <c r="D48" s="368" t="s">
        <v>276</v>
      </c>
      <c r="E48" s="368"/>
      <c r="F48" s="776">
        <f>F50*F49</f>
        <v>21600</v>
      </c>
      <c r="G48" s="776">
        <f>G50*G49</f>
        <v>22248</v>
      </c>
      <c r="H48" s="776">
        <f>H50*H49</f>
        <v>22915.439999999999</v>
      </c>
      <c r="I48" s="5"/>
      <c r="J48" s="328">
        <f>G$12</f>
        <v>2024</v>
      </c>
      <c r="K48" s="328">
        <f>H$12</f>
        <v>2025</v>
      </c>
      <c r="L48" s="1284"/>
      <c r="M48" s="1284"/>
      <c r="N48" s="1284"/>
      <c r="O48" s="1284"/>
      <c r="P48" s="1284"/>
      <c r="Q48" s="1284"/>
      <c r="R48" s="1288"/>
      <c r="S48" s="1288"/>
      <c r="T48" s="1285"/>
    </row>
    <row r="49" spans="1:20" x14ac:dyDescent="0.2">
      <c r="B49" s="692" t="s">
        <v>0</v>
      </c>
      <c r="C49" s="163"/>
      <c r="D49" s="368" t="s">
        <v>277</v>
      </c>
      <c r="E49" s="368"/>
      <c r="F49" s="858">
        <v>1800</v>
      </c>
      <c r="G49" s="858">
        <f>F49 +F49*J49</f>
        <v>1854</v>
      </c>
      <c r="H49" s="858">
        <f>G49 +G49*K49</f>
        <v>1909.62</v>
      </c>
      <c r="I49" s="17"/>
      <c r="J49" s="498">
        <v>0.03</v>
      </c>
      <c r="K49" s="498">
        <f>J49</f>
        <v>0.03</v>
      </c>
      <c r="L49" s="1645" t="s">
        <v>875</v>
      </c>
      <c r="M49" s="1284"/>
      <c r="N49" s="1284"/>
      <c r="O49" s="1284"/>
      <c r="P49" s="1284"/>
      <c r="Q49" s="1284"/>
      <c r="R49" s="1288"/>
      <c r="S49" s="1288"/>
      <c r="T49" s="1285"/>
    </row>
    <row r="50" spans="1:20" x14ac:dyDescent="0.2">
      <c r="B50" s="692" t="s">
        <v>0</v>
      </c>
      <c r="C50" s="163"/>
      <c r="D50" s="368" t="s">
        <v>742</v>
      </c>
      <c r="E50" s="368"/>
      <c r="F50" s="868">
        <f>F13</f>
        <v>12</v>
      </c>
      <c r="G50" s="868">
        <v>12</v>
      </c>
      <c r="H50" s="868">
        <f>H13</f>
        <v>12</v>
      </c>
      <c r="I50" s="47"/>
      <c r="J50" s="328">
        <f>G$12</f>
        <v>2024</v>
      </c>
      <c r="K50" s="328">
        <f>H$12</f>
        <v>2025</v>
      </c>
      <c r="L50" s="1284"/>
      <c r="M50" s="1284"/>
      <c r="N50" s="1284"/>
      <c r="O50" s="1284"/>
      <c r="P50" s="1284"/>
      <c r="Q50" s="1284"/>
      <c r="R50" s="1288"/>
      <c r="S50" s="1288"/>
      <c r="T50" s="1285"/>
    </row>
    <row r="51" spans="1:20" s="279" customFormat="1" x14ac:dyDescent="0.2">
      <c r="A51"/>
      <c r="B51" s="692"/>
      <c r="C51" s="163"/>
      <c r="D51" s="368" t="s">
        <v>278</v>
      </c>
      <c r="E51" s="330"/>
      <c r="F51" s="858">
        <v>3600</v>
      </c>
      <c r="G51" s="858">
        <f t="shared" ref="G51" si="6">F51*12/F$13+J51*F51*12/F$13</f>
        <v>3708</v>
      </c>
      <c r="H51" s="858">
        <f t="shared" ref="H51" si="7">G51 +G51*K51</f>
        <v>3819.24</v>
      </c>
      <c r="I51" s="326"/>
      <c r="J51" s="498">
        <v>0.03</v>
      </c>
      <c r="K51" s="498">
        <f t="shared" ref="K51:K58" si="8">J51</f>
        <v>0.03</v>
      </c>
      <c r="L51" s="1284"/>
      <c r="M51" s="1284"/>
      <c r="N51" s="1284"/>
      <c r="O51" s="1284"/>
      <c r="P51" s="1284"/>
      <c r="Q51" s="1284"/>
      <c r="R51" s="1288"/>
      <c r="S51" s="1288"/>
      <c r="T51" s="1285"/>
    </row>
    <row r="52" spans="1:20" s="279" customFormat="1" x14ac:dyDescent="0.2">
      <c r="A52"/>
      <c r="B52" s="692"/>
      <c r="C52" s="163"/>
      <c r="D52" s="368" t="s">
        <v>279</v>
      </c>
      <c r="E52" s="330"/>
      <c r="F52" s="858">
        <v>1200</v>
      </c>
      <c r="G52" s="858">
        <f t="shared" ref="G52:G56" si="9">F52*12/F$13+J52*F52*12/F$13</f>
        <v>1236</v>
      </c>
      <c r="H52" s="858">
        <f t="shared" ref="H52:H57" si="10">G52 +G52*K52</f>
        <v>1273.08</v>
      </c>
      <c r="I52" s="326"/>
      <c r="J52" s="498">
        <v>0.03</v>
      </c>
      <c r="K52" s="498">
        <f t="shared" si="8"/>
        <v>0.03</v>
      </c>
      <c r="L52" s="1284"/>
      <c r="M52" s="1284"/>
      <c r="N52" s="1284"/>
      <c r="O52" s="1284"/>
      <c r="P52" s="1284"/>
      <c r="Q52" s="1284"/>
      <c r="R52" s="1288"/>
      <c r="S52" s="1288"/>
      <c r="T52" s="1285"/>
    </row>
    <row r="53" spans="1:20" s="279" customFormat="1" x14ac:dyDescent="0.2">
      <c r="A53"/>
      <c r="B53" s="692"/>
      <c r="C53" s="163"/>
      <c r="D53" s="368" t="s">
        <v>280</v>
      </c>
      <c r="E53" s="330"/>
      <c r="F53" s="858">
        <v>0</v>
      </c>
      <c r="G53" s="858">
        <f t="shared" si="9"/>
        <v>0</v>
      </c>
      <c r="H53" s="858">
        <f t="shared" si="10"/>
        <v>0</v>
      </c>
      <c r="I53" s="326"/>
      <c r="J53" s="498">
        <v>0.03</v>
      </c>
      <c r="K53" s="498">
        <f t="shared" si="8"/>
        <v>0.03</v>
      </c>
      <c r="L53" s="1284"/>
      <c r="M53" s="1284"/>
      <c r="N53" s="1284"/>
      <c r="O53" s="1284"/>
      <c r="P53" s="1284"/>
      <c r="Q53" s="1284"/>
      <c r="R53" s="1288"/>
      <c r="S53" s="1288"/>
      <c r="T53" s="1285"/>
    </row>
    <row r="54" spans="1:20" s="279" customFormat="1" x14ac:dyDescent="0.2">
      <c r="B54" s="692"/>
      <c r="C54" s="163"/>
      <c r="D54" s="368" t="s">
        <v>281</v>
      </c>
      <c r="E54" s="330"/>
      <c r="F54" s="858">
        <v>0</v>
      </c>
      <c r="G54" s="858">
        <f t="shared" si="9"/>
        <v>0</v>
      </c>
      <c r="H54" s="858">
        <f t="shared" si="10"/>
        <v>0</v>
      </c>
      <c r="I54" s="326"/>
      <c r="J54" s="498">
        <v>0.03</v>
      </c>
      <c r="K54" s="498">
        <f t="shared" si="8"/>
        <v>0.03</v>
      </c>
      <c r="L54" s="1284"/>
      <c r="M54" s="1284"/>
      <c r="N54" s="1284"/>
      <c r="O54" s="1284"/>
      <c r="P54" s="1284"/>
      <c r="Q54" s="1284"/>
      <c r="R54" s="1288"/>
      <c r="S54" s="1288"/>
      <c r="T54" s="1285"/>
    </row>
    <row r="55" spans="1:20" s="279" customFormat="1" x14ac:dyDescent="0.2">
      <c r="B55" s="692"/>
      <c r="C55" s="163"/>
      <c r="D55" s="368" t="s">
        <v>282</v>
      </c>
      <c r="E55" s="330"/>
      <c r="F55" s="858">
        <v>830</v>
      </c>
      <c r="G55" s="858">
        <f t="shared" si="9"/>
        <v>854.9</v>
      </c>
      <c r="H55" s="858">
        <f t="shared" si="10"/>
        <v>880.54700000000003</v>
      </c>
      <c r="I55" s="326"/>
      <c r="J55" s="498">
        <v>0.03</v>
      </c>
      <c r="K55" s="498">
        <f t="shared" si="8"/>
        <v>0.03</v>
      </c>
      <c r="L55" s="1284"/>
      <c r="M55" s="1284"/>
      <c r="N55" s="1284"/>
      <c r="O55" s="1284"/>
      <c r="P55" s="1284"/>
      <c r="Q55" s="1284"/>
      <c r="R55" s="1288"/>
      <c r="S55" s="1288"/>
      <c r="T55" s="1285"/>
    </row>
    <row r="56" spans="1:20" s="279" customFormat="1" x14ac:dyDescent="0.2">
      <c r="B56" s="692"/>
      <c r="C56" s="163"/>
      <c r="D56" s="1674" t="s">
        <v>283</v>
      </c>
      <c r="E56" s="1674"/>
      <c r="F56" s="858">
        <v>0</v>
      </c>
      <c r="G56" s="858">
        <f t="shared" si="9"/>
        <v>0</v>
      </c>
      <c r="H56" s="858">
        <f>G56 +G56*K56</f>
        <v>0</v>
      </c>
      <c r="I56" s="326"/>
      <c r="J56" s="498">
        <v>0.03</v>
      </c>
      <c r="K56" s="498">
        <f t="shared" si="8"/>
        <v>0.03</v>
      </c>
      <c r="L56" s="1284"/>
      <c r="M56" s="1284"/>
      <c r="N56" s="1284"/>
      <c r="O56" s="1284"/>
      <c r="P56" s="1284"/>
      <c r="Q56" s="1284"/>
      <c r="R56" s="1288"/>
      <c r="S56" s="1288"/>
      <c r="T56" s="1285"/>
    </row>
    <row r="57" spans="1:20" s="279" customFormat="1" x14ac:dyDescent="0.2">
      <c r="B57" s="692"/>
      <c r="C57" s="163"/>
      <c r="D57" s="1674" t="s">
        <v>284</v>
      </c>
      <c r="E57" s="1674"/>
      <c r="F57" s="867">
        <v>40000</v>
      </c>
      <c r="G57" s="858">
        <f t="shared" ref="G57" si="11">F57 +F57*J57</f>
        <v>41200</v>
      </c>
      <c r="H57" s="858">
        <f t="shared" si="10"/>
        <v>42436</v>
      </c>
      <c r="I57" s="326"/>
      <c r="J57" s="498">
        <v>0.03</v>
      </c>
      <c r="K57" s="498">
        <f t="shared" si="8"/>
        <v>0.03</v>
      </c>
      <c r="L57" s="1284"/>
      <c r="M57" s="1284"/>
      <c r="N57" s="1284"/>
      <c r="O57" s="1284"/>
      <c r="P57" s="1284"/>
      <c r="Q57" s="1284"/>
      <c r="R57" s="1288"/>
      <c r="S57" s="1288"/>
      <c r="T57" s="1285"/>
    </row>
    <row r="58" spans="1:20" s="279" customFormat="1" ht="13.5" thickBot="1" x14ac:dyDescent="0.25">
      <c r="B58" s="692"/>
      <c r="C58" s="375"/>
      <c r="D58" s="1671" t="s">
        <v>285</v>
      </c>
      <c r="E58" s="1671"/>
      <c r="F58" s="360">
        <v>0</v>
      </c>
      <c r="G58" s="858">
        <f t="shared" ref="G58" si="12">F58*12/F$13+J58*F58*12/F$13</f>
        <v>0</v>
      </c>
      <c r="H58" s="858">
        <f t="shared" ref="H58" si="13">G58 +G58*K58</f>
        <v>0</v>
      </c>
      <c r="I58" s="326"/>
      <c r="J58" s="498">
        <v>0.03</v>
      </c>
      <c r="K58" s="498">
        <f t="shared" si="8"/>
        <v>0.03</v>
      </c>
      <c r="L58" s="1284"/>
      <c r="M58" s="1284"/>
      <c r="N58" s="1284"/>
      <c r="O58" s="1284"/>
      <c r="P58" s="1284"/>
      <c r="Q58" s="1284"/>
      <c r="R58" s="1288"/>
      <c r="S58" s="1288"/>
      <c r="T58" s="1285"/>
    </row>
    <row r="59" spans="1:20" x14ac:dyDescent="0.2">
      <c r="B59" s="691" t="s">
        <v>116</v>
      </c>
      <c r="C59" s="163" t="s">
        <v>13</v>
      </c>
      <c r="D59" s="702" t="s">
        <v>286</v>
      </c>
      <c r="E59" s="1004">
        <v>0.3</v>
      </c>
      <c r="F59" s="774">
        <f>IF(F60=0,0,F13*'Kauppa AT lainat ja avustukset'!$G60/12)</f>
        <v>0</v>
      </c>
      <c r="G59" s="774">
        <f>IF(G60=0,0,G13*'Kauppa AT lainat ja avustukset'!$G60/12)</f>
        <v>0</v>
      </c>
      <c r="H59" s="774">
        <f>IF(H60=0,0,H13*'Kauppa AT lainat ja avustukset'!$G60/12)</f>
        <v>0</v>
      </c>
      <c r="I59" s="44"/>
      <c r="J59" s="1408"/>
      <c r="K59" s="1409"/>
      <c r="L59" s="1409"/>
      <c r="M59" s="1409"/>
      <c r="N59" s="1409"/>
      <c r="O59" s="1409"/>
      <c r="P59" s="1409"/>
      <c r="Q59" s="1409"/>
      <c r="R59" s="1410"/>
      <c r="S59" s="1410"/>
      <c r="T59" s="1411"/>
    </row>
    <row r="60" spans="1:20" ht="13.5" thickBot="1" x14ac:dyDescent="0.25">
      <c r="B60" s="692"/>
      <c r="C60" s="375"/>
      <c r="D60" s="1671" t="s">
        <v>287</v>
      </c>
      <c r="E60" s="1671"/>
      <c r="F60" s="775">
        <f>'K3 Resultat'!K21</f>
        <v>0</v>
      </c>
      <c r="G60" s="775">
        <f>IF('K3 Resultat'!I21&gt;1,F60,0)</f>
        <v>0</v>
      </c>
      <c r="H60" s="775">
        <f>IF('K3 Resultat'!I21&gt;2,G60,0)</f>
        <v>0</v>
      </c>
      <c r="I60" s="44"/>
      <c r="J60" s="1408"/>
      <c r="K60" s="1409"/>
      <c r="L60" s="1409"/>
      <c r="M60" s="1409"/>
      <c r="N60" s="1409"/>
      <c r="O60" s="1409"/>
      <c r="P60" s="1409"/>
      <c r="Q60" s="1409"/>
      <c r="R60" s="1410"/>
      <c r="S60" s="1410"/>
      <c r="T60" s="1411"/>
    </row>
    <row r="61" spans="1:20" ht="13.5" thickBot="1" x14ac:dyDescent="0.25">
      <c r="B61" s="691" t="s">
        <v>117</v>
      </c>
      <c r="C61" s="163" t="s">
        <v>758</v>
      </c>
      <c r="D61" s="1675" t="s">
        <v>291</v>
      </c>
      <c r="E61" s="1681"/>
      <c r="F61" s="764">
        <f>F62*F63*F64+F65+F66+F67</f>
        <v>0</v>
      </c>
      <c r="G61" s="764">
        <f>G62*G63*G64+G65+G66+G67</f>
        <v>0</v>
      </c>
      <c r="H61" s="764">
        <f>H62*H63*H64+H65+H66+H67</f>
        <v>0</v>
      </c>
      <c r="I61" s="44"/>
      <c r="J61" s="328">
        <f>G$12</f>
        <v>2024</v>
      </c>
      <c r="K61" s="328">
        <f>H$12</f>
        <v>2025</v>
      </c>
      <c r="L61" s="1284"/>
      <c r="M61" s="1284"/>
      <c r="N61" s="1284"/>
      <c r="O61" s="1284"/>
      <c r="P61" s="1284"/>
      <c r="Q61" s="1284"/>
      <c r="R61" s="1288"/>
      <c r="S61" s="1288"/>
      <c r="T61" s="1285"/>
    </row>
    <row r="62" spans="1:20" x14ac:dyDescent="0.2">
      <c r="B62" s="692"/>
      <c r="C62" s="163"/>
      <c r="D62" s="698" t="s">
        <v>757</v>
      </c>
      <c r="E62" s="705"/>
      <c r="F62" s="867">
        <v>0</v>
      </c>
      <c r="G62" s="867">
        <f t="shared" ref="G62" si="14">F62*12/F$13+J62*F62*12/F$13</f>
        <v>0</v>
      </c>
      <c r="H62" s="867">
        <f t="shared" ref="G62:H67" si="15">G62 +G62*K62</f>
        <v>0</v>
      </c>
      <c r="I62" s="44"/>
      <c r="J62" s="498">
        <v>0</v>
      </c>
      <c r="K62" s="498">
        <f>J62</f>
        <v>0</v>
      </c>
      <c r="L62" s="1284"/>
      <c r="M62" s="1284"/>
      <c r="N62" s="1284"/>
      <c r="O62" s="1284"/>
      <c r="P62" s="1284"/>
      <c r="Q62" s="1284"/>
      <c r="R62" s="1288"/>
      <c r="S62" s="1288"/>
      <c r="T62" s="1285"/>
    </row>
    <row r="63" spans="1:20" x14ac:dyDescent="0.2">
      <c r="B63" s="692"/>
      <c r="C63" s="163"/>
      <c r="D63" s="368" t="s">
        <v>846</v>
      </c>
      <c r="E63" s="706"/>
      <c r="F63" s="869">
        <v>0</v>
      </c>
      <c r="G63" s="869">
        <f>F63</f>
        <v>0</v>
      </c>
      <c r="H63" s="869">
        <f>G63</f>
        <v>0</v>
      </c>
      <c r="I63" s="44"/>
      <c r="J63" s="328">
        <f>G$12</f>
        <v>2024</v>
      </c>
      <c r="K63" s="328">
        <f>H$12</f>
        <v>2025</v>
      </c>
      <c r="L63" s="1284"/>
      <c r="M63" s="1284"/>
      <c r="N63" s="1284"/>
      <c r="O63" s="1284"/>
      <c r="P63" s="1284"/>
      <c r="Q63" s="1284"/>
      <c r="R63" s="1288"/>
      <c r="S63" s="1288"/>
      <c r="T63" s="1285"/>
    </row>
    <row r="64" spans="1:20" x14ac:dyDescent="0.2">
      <c r="B64" s="692"/>
      <c r="C64" s="163"/>
      <c r="D64" s="1635" t="s">
        <v>847</v>
      </c>
      <c r="E64" s="706"/>
      <c r="F64" s="869">
        <v>0</v>
      </c>
      <c r="G64" s="778">
        <f t="shared" si="15"/>
        <v>0</v>
      </c>
      <c r="H64" s="778">
        <f t="shared" si="15"/>
        <v>0</v>
      </c>
      <c r="I64" s="44"/>
      <c r="J64" s="498">
        <v>0.03</v>
      </c>
      <c r="K64" s="498">
        <f t="shared" ref="K64:K81" si="16">J64</f>
        <v>0.03</v>
      </c>
      <c r="L64" s="1284"/>
      <c r="M64" s="1284"/>
      <c r="N64" s="1284"/>
      <c r="O64" s="1284"/>
      <c r="P64" s="1284"/>
      <c r="Q64" s="1284"/>
      <c r="R64" s="1288"/>
      <c r="S64" s="1288"/>
      <c r="T64" s="1285"/>
    </row>
    <row r="65" spans="2:20" x14ac:dyDescent="0.2">
      <c r="B65" s="692"/>
      <c r="C65" s="163"/>
      <c r="D65" s="368" t="s">
        <v>288</v>
      </c>
      <c r="E65" s="706"/>
      <c r="F65" s="867">
        <v>0</v>
      </c>
      <c r="G65" s="858">
        <f t="shared" ref="G65:G72" si="17">F65*12/F$13+J65*F65*12/F$13</f>
        <v>0</v>
      </c>
      <c r="H65" s="858">
        <f t="shared" si="15"/>
        <v>0</v>
      </c>
      <c r="I65" s="44"/>
      <c r="J65" s="498">
        <v>0.03</v>
      </c>
      <c r="K65" s="498">
        <f t="shared" si="16"/>
        <v>0.03</v>
      </c>
      <c r="L65" s="1284"/>
      <c r="M65" s="1284"/>
      <c r="N65" s="1284"/>
      <c r="O65" s="1284"/>
      <c r="P65" s="1284"/>
      <c r="Q65" s="1284"/>
      <c r="R65" s="1288"/>
      <c r="S65" s="1288"/>
      <c r="T65" s="1285"/>
    </row>
    <row r="66" spans="2:20" x14ac:dyDescent="0.2">
      <c r="B66" s="692"/>
      <c r="C66" s="163"/>
      <c r="D66" s="368" t="s">
        <v>289</v>
      </c>
      <c r="E66" s="706"/>
      <c r="F66" s="867">
        <v>0</v>
      </c>
      <c r="G66" s="858">
        <f t="shared" si="17"/>
        <v>0</v>
      </c>
      <c r="H66" s="858">
        <f t="shared" si="15"/>
        <v>0</v>
      </c>
      <c r="I66" s="44"/>
      <c r="J66" s="498">
        <v>0.03</v>
      </c>
      <c r="K66" s="498">
        <f t="shared" si="16"/>
        <v>0.03</v>
      </c>
      <c r="L66" s="1284"/>
      <c r="M66" s="1284"/>
      <c r="N66" s="1284"/>
      <c r="O66" s="1284"/>
      <c r="P66" s="1284"/>
      <c r="Q66" s="1284"/>
      <c r="R66" s="1288"/>
      <c r="S66" s="1288"/>
      <c r="T66" s="1285"/>
    </row>
    <row r="67" spans="2:20" ht="13.5" thickBot="1" x14ac:dyDescent="0.25">
      <c r="B67" s="692"/>
      <c r="C67" s="375"/>
      <c r="D67" s="359" t="s">
        <v>290</v>
      </c>
      <c r="E67" s="707"/>
      <c r="F67" s="360">
        <v>0</v>
      </c>
      <c r="G67" s="360">
        <f t="shared" si="17"/>
        <v>0</v>
      </c>
      <c r="H67" s="360">
        <f t="shared" si="15"/>
        <v>0</v>
      </c>
      <c r="I67" s="1299"/>
      <c r="J67" s="498">
        <v>0.03</v>
      </c>
      <c r="K67" s="498">
        <f t="shared" si="16"/>
        <v>0.03</v>
      </c>
      <c r="L67" s="1272"/>
      <c r="M67" s="1272"/>
      <c r="N67" s="1272"/>
      <c r="O67" s="1272"/>
      <c r="P67" s="1272"/>
      <c r="Q67" s="1272"/>
      <c r="R67" s="1273"/>
      <c r="S67" s="1273"/>
      <c r="T67" s="1293"/>
    </row>
    <row r="68" spans="2:20" ht="13.5" thickBot="1" x14ac:dyDescent="0.25">
      <c r="B68" s="691" t="s">
        <v>118</v>
      </c>
      <c r="C68" s="163" t="s">
        <v>759</v>
      </c>
      <c r="D68" s="702" t="s">
        <v>296</v>
      </c>
      <c r="E68" s="709"/>
      <c r="F68" s="764">
        <f>SUM(F69:F72)</f>
        <v>360</v>
      </c>
      <c r="G68" s="764">
        <f>SUM(G69:G72)</f>
        <v>370.8</v>
      </c>
      <c r="H68" s="764">
        <f>SUM(H69:H72)</f>
        <v>381.92400000000004</v>
      </c>
      <c r="I68" s="1299"/>
      <c r="J68" s="328">
        <f>G$12</f>
        <v>2024</v>
      </c>
      <c r="K68" s="328">
        <f>H$12</f>
        <v>2025</v>
      </c>
      <c r="L68" s="1274"/>
      <c r="M68" s="1274"/>
      <c r="N68" s="1274"/>
      <c r="O68" s="1274"/>
      <c r="P68" s="1274"/>
      <c r="Q68" s="1274"/>
      <c r="R68" s="1275"/>
      <c r="S68" s="1275"/>
      <c r="T68" s="1281"/>
    </row>
    <row r="69" spans="2:20" x14ac:dyDescent="0.2">
      <c r="B69" s="692"/>
      <c r="C69" s="163"/>
      <c r="D69" s="698" t="s">
        <v>292</v>
      </c>
      <c r="E69" s="708"/>
      <c r="F69" s="867">
        <v>360</v>
      </c>
      <c r="G69" s="867">
        <f t="shared" si="17"/>
        <v>370.8</v>
      </c>
      <c r="H69" s="867">
        <f t="shared" ref="H69:H72" si="18">G69 +G69*K69</f>
        <v>381.92400000000004</v>
      </c>
      <c r="I69" s="44"/>
      <c r="J69" s="498">
        <v>0.03</v>
      </c>
      <c r="K69" s="498">
        <f t="shared" si="16"/>
        <v>0.03</v>
      </c>
      <c r="L69" s="1284" t="s">
        <v>857</v>
      </c>
      <c r="M69" s="1284"/>
      <c r="N69" s="1284"/>
      <c r="O69" s="1284"/>
      <c r="P69" s="1284"/>
      <c r="Q69" s="1284"/>
      <c r="R69" s="1288"/>
      <c r="S69" s="1288"/>
      <c r="T69" s="1285"/>
    </row>
    <row r="70" spans="2:20" x14ac:dyDescent="0.2">
      <c r="B70" s="692"/>
      <c r="C70" s="163"/>
      <c r="D70" s="368" t="s">
        <v>293</v>
      </c>
      <c r="E70" s="374"/>
      <c r="F70" s="858">
        <v>0</v>
      </c>
      <c r="G70" s="858">
        <f t="shared" si="17"/>
        <v>0</v>
      </c>
      <c r="H70" s="858">
        <f t="shared" si="18"/>
        <v>0</v>
      </c>
      <c r="I70" s="44"/>
      <c r="J70" s="498">
        <v>0.03</v>
      </c>
      <c r="K70" s="498">
        <f t="shared" si="16"/>
        <v>0.03</v>
      </c>
      <c r="L70" s="1284"/>
      <c r="M70" s="1284"/>
      <c r="N70" s="1284"/>
      <c r="O70" s="1284"/>
      <c r="P70" s="1284"/>
      <c r="Q70" s="1284"/>
      <c r="R70" s="1288"/>
      <c r="S70" s="1288"/>
      <c r="T70" s="1285"/>
    </row>
    <row r="71" spans="2:20" x14ac:dyDescent="0.2">
      <c r="B71" s="692"/>
      <c r="C71" s="163"/>
      <c r="D71" s="368" t="s">
        <v>294</v>
      </c>
      <c r="E71" s="374"/>
      <c r="F71" s="858">
        <v>0</v>
      </c>
      <c r="G71" s="858">
        <f t="shared" si="17"/>
        <v>0</v>
      </c>
      <c r="H71" s="858">
        <f t="shared" si="18"/>
        <v>0</v>
      </c>
      <c r="I71" s="44"/>
      <c r="J71" s="498">
        <v>0.03</v>
      </c>
      <c r="K71" s="498">
        <f t="shared" si="16"/>
        <v>0.03</v>
      </c>
      <c r="L71" s="1284"/>
      <c r="M71" s="1284"/>
      <c r="N71" s="1284"/>
      <c r="O71" s="1284"/>
      <c r="P71" s="1284"/>
      <c r="Q71" s="1284"/>
      <c r="R71" s="1288"/>
      <c r="S71" s="1288"/>
      <c r="T71" s="1285"/>
    </row>
    <row r="72" spans="2:20" ht="13.5" thickBot="1" x14ac:dyDescent="0.25">
      <c r="B72" s="692"/>
      <c r="C72" s="375"/>
      <c r="D72" s="359" t="s">
        <v>295</v>
      </c>
      <c r="E72" s="697"/>
      <c r="F72" s="360">
        <v>0</v>
      </c>
      <c r="G72" s="858">
        <f t="shared" si="17"/>
        <v>0</v>
      </c>
      <c r="H72" s="858">
        <f t="shared" si="18"/>
        <v>0</v>
      </c>
      <c r="I72" s="44"/>
      <c r="J72" s="498">
        <v>0.03</v>
      </c>
      <c r="K72" s="498">
        <f t="shared" si="16"/>
        <v>0.03</v>
      </c>
      <c r="L72" s="1284"/>
      <c r="M72" s="1284"/>
      <c r="N72" s="1284"/>
      <c r="O72" s="1284"/>
      <c r="P72" s="1284"/>
      <c r="Q72" s="1284"/>
      <c r="R72" s="1288"/>
      <c r="S72" s="1288"/>
      <c r="T72" s="1285"/>
    </row>
    <row r="73" spans="2:20" ht="13.5" thickBot="1" x14ac:dyDescent="0.25">
      <c r="B73" s="691" t="s">
        <v>119</v>
      </c>
      <c r="C73" s="163" t="s">
        <v>760</v>
      </c>
      <c r="D73" s="702" t="s">
        <v>299</v>
      </c>
      <c r="E73" s="709"/>
      <c r="F73" s="764">
        <f>SUM(F74:F77)</f>
        <v>2000</v>
      </c>
      <c r="G73" s="764">
        <f>SUM(G74:G77)</f>
        <v>2060</v>
      </c>
      <c r="H73" s="764">
        <f>SUM(H74:H77)</f>
        <v>2121.8000000000002</v>
      </c>
      <c r="I73" s="44"/>
      <c r="J73" s="328">
        <f>G$12</f>
        <v>2024</v>
      </c>
      <c r="K73" s="328">
        <f>H$12</f>
        <v>2025</v>
      </c>
      <c r="L73" s="1284"/>
      <c r="M73" s="1284"/>
      <c r="N73" s="1284"/>
      <c r="O73" s="1284"/>
      <c r="P73" s="1284"/>
      <c r="Q73" s="1284"/>
      <c r="R73" s="1288"/>
      <c r="S73" s="1288"/>
      <c r="T73" s="1285"/>
    </row>
    <row r="74" spans="2:20" x14ac:dyDescent="0.2">
      <c r="B74" s="692"/>
      <c r="C74" s="163"/>
      <c r="D74" s="368" t="s">
        <v>741</v>
      </c>
      <c r="E74" s="374"/>
      <c r="F74" s="867">
        <v>0</v>
      </c>
      <c r="G74" s="867">
        <f t="shared" ref="G74:G77" si="19">F74*12/F$13+J74*F74*12/F$13</f>
        <v>0</v>
      </c>
      <c r="H74" s="867">
        <f t="shared" ref="H74:H77" si="20">G74 +G74*K74</f>
        <v>0</v>
      </c>
      <c r="I74" s="44"/>
      <c r="J74" s="498">
        <v>0.03</v>
      </c>
      <c r="K74" s="498">
        <f t="shared" si="16"/>
        <v>0.03</v>
      </c>
      <c r="L74" s="1284"/>
      <c r="M74" s="1284"/>
      <c r="N74" s="1284"/>
      <c r="O74" s="1284"/>
      <c r="P74" s="1284"/>
      <c r="Q74" s="1284"/>
      <c r="R74" s="1288"/>
      <c r="S74" s="1288"/>
      <c r="T74" s="1285"/>
    </row>
    <row r="75" spans="2:20" x14ac:dyDescent="0.2">
      <c r="B75" s="692"/>
      <c r="C75" s="163"/>
      <c r="D75" s="368" t="s">
        <v>297</v>
      </c>
      <c r="E75" s="374"/>
      <c r="F75" s="858">
        <v>1500</v>
      </c>
      <c r="G75" s="858">
        <f t="shared" si="19"/>
        <v>1545</v>
      </c>
      <c r="H75" s="858">
        <f>G75 +G75*K75</f>
        <v>1591.35</v>
      </c>
      <c r="I75" s="44"/>
      <c r="J75" s="498">
        <v>0.03</v>
      </c>
      <c r="K75" s="498">
        <f t="shared" si="16"/>
        <v>0.03</v>
      </c>
      <c r="L75" s="1284"/>
      <c r="M75" s="1284"/>
      <c r="N75" s="1284"/>
      <c r="O75" s="1284"/>
      <c r="P75" s="1284"/>
      <c r="Q75" s="1284"/>
      <c r="R75" s="1288"/>
      <c r="S75" s="1288"/>
      <c r="T75" s="1285"/>
    </row>
    <row r="76" spans="2:20" x14ac:dyDescent="0.2">
      <c r="B76" s="692"/>
      <c r="C76" s="163"/>
      <c r="D76" s="368" t="s">
        <v>701</v>
      </c>
      <c r="E76" s="374"/>
      <c r="F76" s="858"/>
      <c r="G76" s="858">
        <f t="shared" si="19"/>
        <v>0</v>
      </c>
      <c r="H76" s="858">
        <f t="shared" si="20"/>
        <v>0</v>
      </c>
      <c r="I76" s="44"/>
      <c r="J76" s="498">
        <v>0.03</v>
      </c>
      <c r="K76" s="498">
        <f t="shared" si="16"/>
        <v>0.03</v>
      </c>
      <c r="L76" s="1284"/>
      <c r="M76" s="1284"/>
      <c r="N76" s="1284"/>
      <c r="O76" s="1284"/>
      <c r="P76" s="1284"/>
      <c r="Q76" s="1284"/>
      <c r="R76" s="1288"/>
      <c r="S76" s="1288"/>
      <c r="T76" s="1285"/>
    </row>
    <row r="77" spans="2:20" ht="13.5" thickBot="1" x14ac:dyDescent="0.25">
      <c r="B77" s="692"/>
      <c r="C77" s="375"/>
      <c r="D77" s="710" t="s">
        <v>298</v>
      </c>
      <c r="E77" s="697"/>
      <c r="F77" s="360">
        <v>500</v>
      </c>
      <c r="G77" s="858">
        <f t="shared" si="19"/>
        <v>515</v>
      </c>
      <c r="H77" s="858">
        <f t="shared" si="20"/>
        <v>530.45000000000005</v>
      </c>
      <c r="I77" s="44"/>
      <c r="J77" s="498">
        <v>0.03</v>
      </c>
      <c r="K77" s="498">
        <f t="shared" si="16"/>
        <v>0.03</v>
      </c>
      <c r="L77" s="1284"/>
      <c r="M77" s="1284"/>
      <c r="N77" s="1284"/>
      <c r="O77" s="1284"/>
      <c r="P77" s="1284"/>
      <c r="Q77" s="1284"/>
      <c r="R77" s="1288"/>
      <c r="S77" s="1288"/>
      <c r="T77" s="1285"/>
    </row>
    <row r="78" spans="2:20" ht="13.5" thickBot="1" x14ac:dyDescent="0.25">
      <c r="B78" s="692"/>
      <c r="C78" s="163" t="s">
        <v>761</v>
      </c>
      <c r="D78" s="1675" t="s">
        <v>331</v>
      </c>
      <c r="E78" s="1681"/>
      <c r="F78" s="764">
        <f>F81+F79+F80</f>
        <v>0</v>
      </c>
      <c r="G78" s="764">
        <f>G81+G79+G80</f>
        <v>0</v>
      </c>
      <c r="H78" s="764">
        <f>H81+H79+H80</f>
        <v>0</v>
      </c>
      <c r="I78" s="5"/>
      <c r="J78" s="328">
        <f>G$12</f>
        <v>2024</v>
      </c>
      <c r="K78" s="328">
        <f>H$12</f>
        <v>2025</v>
      </c>
      <c r="L78" s="1284"/>
      <c r="M78" s="1284"/>
      <c r="N78" s="1284"/>
      <c r="O78" s="1284"/>
      <c r="P78" s="1284"/>
      <c r="Q78" s="1284"/>
      <c r="R78" s="1288"/>
      <c r="S78" s="1288"/>
      <c r="T78" s="1285"/>
    </row>
    <row r="79" spans="2:20" x14ac:dyDescent="0.2">
      <c r="B79" s="692"/>
      <c r="C79" s="163"/>
      <c r="D79" s="1677" t="s">
        <v>304</v>
      </c>
      <c r="E79" s="1678"/>
      <c r="F79" s="867">
        <v>0</v>
      </c>
      <c r="G79" s="867">
        <f t="shared" ref="G79:G81" si="21">F79*12/F$13+J79*F79*12/F$13</f>
        <v>0</v>
      </c>
      <c r="H79" s="867">
        <f t="shared" ref="H79:H81" si="22">G79 +G79*K79</f>
        <v>0</v>
      </c>
      <c r="I79" s="17"/>
      <c r="J79" s="498">
        <v>0.03</v>
      </c>
      <c r="K79" s="498">
        <f t="shared" si="16"/>
        <v>0.03</v>
      </c>
      <c r="L79" s="1284"/>
      <c r="M79" s="1284"/>
      <c r="N79" s="1284"/>
      <c r="O79" s="1284"/>
      <c r="P79" s="1284"/>
      <c r="Q79" s="1284"/>
      <c r="R79" s="1288"/>
      <c r="S79" s="1288"/>
      <c r="T79" s="1285"/>
    </row>
    <row r="80" spans="2:20" x14ac:dyDescent="0.2">
      <c r="B80" s="692"/>
      <c r="C80" s="163"/>
      <c r="D80" s="1674" t="s">
        <v>305</v>
      </c>
      <c r="E80" s="1679"/>
      <c r="F80" s="858">
        <v>0</v>
      </c>
      <c r="G80" s="858">
        <f t="shared" si="21"/>
        <v>0</v>
      </c>
      <c r="H80" s="858">
        <f t="shared" si="22"/>
        <v>0</v>
      </c>
      <c r="I80" s="17"/>
      <c r="J80" s="498">
        <v>0.03</v>
      </c>
      <c r="K80" s="498">
        <f t="shared" si="16"/>
        <v>0.03</v>
      </c>
      <c r="L80" s="1284"/>
      <c r="M80" s="1284"/>
      <c r="N80" s="1284"/>
      <c r="O80" s="1284"/>
      <c r="P80" s="1284"/>
      <c r="Q80" s="1284"/>
      <c r="R80" s="1288"/>
      <c r="S80" s="1288"/>
      <c r="T80" s="1285"/>
    </row>
    <row r="81" spans="1:20" ht="13.5" thickBot="1" x14ac:dyDescent="0.25">
      <c r="B81" s="692" t="s">
        <v>0</v>
      </c>
      <c r="C81" s="375"/>
      <c r="D81" s="1671" t="s">
        <v>306</v>
      </c>
      <c r="E81" s="1680"/>
      <c r="F81" s="360">
        <v>0</v>
      </c>
      <c r="G81" s="360">
        <f t="shared" si="21"/>
        <v>0</v>
      </c>
      <c r="H81" s="360">
        <f t="shared" si="22"/>
        <v>0</v>
      </c>
      <c r="I81" s="44"/>
      <c r="J81" s="498">
        <v>0.03</v>
      </c>
      <c r="K81" s="498">
        <f t="shared" si="16"/>
        <v>0.03</v>
      </c>
      <c r="L81" s="1284"/>
      <c r="M81" s="1284"/>
      <c r="N81" s="1284"/>
      <c r="O81" s="1284"/>
      <c r="P81" s="1284"/>
      <c r="Q81" s="1284"/>
      <c r="R81" s="1288"/>
      <c r="S81" s="1288"/>
      <c r="T81" s="1285"/>
    </row>
    <row r="82" spans="1:20" ht="13.5" thickBot="1" x14ac:dyDescent="0.25">
      <c r="B82" s="691" t="s">
        <v>121</v>
      </c>
      <c r="C82" s="163" t="s">
        <v>762</v>
      </c>
      <c r="D82" s="702" t="s">
        <v>332</v>
      </c>
      <c r="E82" s="709"/>
      <c r="F82" s="764">
        <f>F83*F84+F86*F85</f>
        <v>966</v>
      </c>
      <c r="G82" s="764">
        <f>G83*G84+G86*G85</f>
        <v>966</v>
      </c>
      <c r="H82" s="764">
        <f>H83*H84+H86*H85</f>
        <v>966</v>
      </c>
      <c r="I82" s="44"/>
      <c r="J82" s="1304"/>
      <c r="K82" s="1289"/>
      <c r="L82" s="1284"/>
      <c r="M82" s="1284"/>
      <c r="N82" s="1284"/>
      <c r="O82" s="1284"/>
      <c r="P82" s="1284"/>
      <c r="Q82" s="1284"/>
      <c r="R82" s="1288"/>
      <c r="S82" s="1288"/>
      <c r="T82" s="1285"/>
    </row>
    <row r="83" spans="1:20" x14ac:dyDescent="0.2">
      <c r="B83" s="692" t="s">
        <v>0</v>
      </c>
      <c r="C83" s="163"/>
      <c r="D83" s="698" t="s">
        <v>300</v>
      </c>
      <c r="E83" s="708"/>
      <c r="F83" s="867">
        <v>2100</v>
      </c>
      <c r="G83" s="867">
        <f>F83*12/F$13</f>
        <v>2100</v>
      </c>
      <c r="H83" s="867">
        <f t="shared" ref="G83:H86" si="23">G83</f>
        <v>2100</v>
      </c>
      <c r="I83" s="44"/>
      <c r="J83" s="1304"/>
      <c r="K83" s="1289"/>
      <c r="L83" s="1284"/>
      <c r="M83" s="1284"/>
      <c r="N83" s="1284"/>
      <c r="O83" s="1284"/>
      <c r="P83" s="1284"/>
      <c r="Q83" s="1284"/>
      <c r="R83" s="1288"/>
      <c r="S83" s="1288"/>
      <c r="T83" s="1285"/>
    </row>
    <row r="84" spans="1:20" x14ac:dyDescent="0.2">
      <c r="B84" s="692" t="s">
        <v>0</v>
      </c>
      <c r="C84" s="163"/>
      <c r="D84" s="368" t="s">
        <v>301</v>
      </c>
      <c r="E84" s="374"/>
      <c r="F84" s="870">
        <v>0.46</v>
      </c>
      <c r="G84" s="870">
        <f t="shared" si="23"/>
        <v>0.46</v>
      </c>
      <c r="H84" s="870">
        <f t="shared" si="23"/>
        <v>0.46</v>
      </c>
      <c r="I84" s="49"/>
      <c r="J84" s="1304"/>
      <c r="K84" s="1289"/>
      <c r="L84" s="1284"/>
      <c r="M84" s="1284"/>
      <c r="N84" s="1284"/>
      <c r="O84" s="1284"/>
      <c r="P84" s="1284"/>
      <c r="Q84" s="1284"/>
      <c r="R84" s="1288"/>
      <c r="S84" s="1288"/>
      <c r="T84" s="1285"/>
    </row>
    <row r="85" spans="1:20" x14ac:dyDescent="0.2">
      <c r="B85" s="692" t="s">
        <v>0</v>
      </c>
      <c r="C85" s="163"/>
      <c r="D85" s="368" t="s">
        <v>302</v>
      </c>
      <c r="E85" s="374"/>
      <c r="F85" s="858">
        <v>0</v>
      </c>
      <c r="G85" s="858">
        <f t="shared" si="23"/>
        <v>0</v>
      </c>
      <c r="H85" s="858">
        <f t="shared" si="23"/>
        <v>0</v>
      </c>
      <c r="I85" s="44"/>
      <c r="J85" s="1304"/>
      <c r="K85" s="1289"/>
      <c r="L85" s="1284"/>
      <c r="M85" s="1284"/>
      <c r="N85" s="1284"/>
      <c r="O85" s="1284"/>
      <c r="P85" s="1284"/>
      <c r="Q85" s="1284"/>
      <c r="R85" s="1288"/>
      <c r="S85" s="1288"/>
      <c r="T85" s="1285"/>
    </row>
    <row r="86" spans="1:20" ht="13.5" thickBot="1" x14ac:dyDescent="0.25">
      <c r="A86" s="168"/>
      <c r="B86" s="692" t="s">
        <v>0</v>
      </c>
      <c r="C86" s="375"/>
      <c r="D86" s="359" t="s">
        <v>303</v>
      </c>
      <c r="E86" s="697"/>
      <c r="F86" s="871">
        <v>45</v>
      </c>
      <c r="G86" s="871">
        <f t="shared" si="23"/>
        <v>45</v>
      </c>
      <c r="H86" s="871">
        <f t="shared" si="23"/>
        <v>45</v>
      </c>
      <c r="I86" s="44"/>
      <c r="J86" s="328">
        <f>G$12</f>
        <v>2024</v>
      </c>
      <c r="K86" s="328">
        <f>H$12</f>
        <v>2025</v>
      </c>
      <c r="L86" s="1284"/>
      <c r="M86" s="1284"/>
      <c r="N86" s="1284"/>
      <c r="O86" s="1284"/>
      <c r="P86" s="1284"/>
      <c r="Q86" s="1284"/>
      <c r="R86" s="1288"/>
      <c r="S86" s="1288"/>
      <c r="T86" s="1285"/>
    </row>
    <row r="87" spans="1:20" ht="13.5" thickBot="1" x14ac:dyDescent="0.25">
      <c r="B87" s="691" t="s">
        <v>122</v>
      </c>
      <c r="C87" s="376" t="s">
        <v>763</v>
      </c>
      <c r="D87" s="1667" t="s">
        <v>333</v>
      </c>
      <c r="E87" s="1668"/>
      <c r="F87" s="872">
        <v>0</v>
      </c>
      <c r="G87" s="872">
        <f t="shared" ref="G87" si="24">F87*12/F$13+J87*F87*12/F$13</f>
        <v>0</v>
      </c>
      <c r="H87" s="872">
        <f>G87 +G87*K87</f>
        <v>0</v>
      </c>
      <c r="I87" s="17"/>
      <c r="J87" s="498">
        <v>0.03</v>
      </c>
      <c r="K87" s="498">
        <f>J87</f>
        <v>0.03</v>
      </c>
      <c r="L87" s="1284"/>
      <c r="M87" s="1284"/>
      <c r="N87" s="1284"/>
      <c r="O87" s="1284"/>
      <c r="P87" s="1284"/>
      <c r="Q87" s="1284"/>
      <c r="R87" s="1288"/>
      <c r="S87" s="1288"/>
      <c r="T87" s="1285"/>
    </row>
    <row r="88" spans="1:20" ht="13.5" thickBot="1" x14ac:dyDescent="0.25">
      <c r="A88" s="168"/>
      <c r="B88" s="691" t="s">
        <v>123</v>
      </c>
      <c r="C88" s="163" t="s">
        <v>764</v>
      </c>
      <c r="D88" s="1675" t="s">
        <v>334</v>
      </c>
      <c r="E88" s="1681"/>
      <c r="F88" s="764">
        <f>SUM(F89:F93)</f>
        <v>1200</v>
      </c>
      <c r="G88" s="764">
        <f>SUM(G89:G93)</f>
        <v>1236</v>
      </c>
      <c r="H88" s="764">
        <f>SUM(H89:H93)</f>
        <v>1273.08</v>
      </c>
      <c r="I88" s="17"/>
      <c r="J88" s="328">
        <f>G$12</f>
        <v>2024</v>
      </c>
      <c r="K88" s="328">
        <f>H$12</f>
        <v>2025</v>
      </c>
      <c r="L88" s="1284"/>
      <c r="M88" s="1284"/>
      <c r="N88" s="1284"/>
      <c r="O88" s="1284"/>
      <c r="P88" s="1284"/>
      <c r="Q88" s="1284"/>
      <c r="R88" s="1288"/>
      <c r="S88" s="1288"/>
      <c r="T88" s="1285"/>
    </row>
    <row r="89" spans="1:20" x14ac:dyDescent="0.2">
      <c r="B89" s="692"/>
      <c r="C89" s="163"/>
      <c r="D89" s="1677" t="s">
        <v>307</v>
      </c>
      <c r="E89" s="1678"/>
      <c r="F89" s="867">
        <v>0</v>
      </c>
      <c r="G89" s="867">
        <f t="shared" ref="G89:G114" si="25">F89*12/F$13+J89*F89*12/F$13</f>
        <v>0</v>
      </c>
      <c r="H89" s="867">
        <f t="shared" ref="H89:H93" si="26">G89 +G89*K89</f>
        <v>0</v>
      </c>
      <c r="I89" s="17"/>
      <c r="J89" s="498">
        <v>0.03</v>
      </c>
      <c r="K89" s="498">
        <f t="shared" ref="K89:K114" si="27">J89</f>
        <v>0.03</v>
      </c>
      <c r="L89" s="1284"/>
      <c r="M89" s="1284"/>
      <c r="N89" s="1284"/>
      <c r="O89" s="1284"/>
      <c r="P89" s="1284"/>
      <c r="Q89" s="1284"/>
      <c r="R89" s="1288"/>
      <c r="S89" s="1288"/>
      <c r="T89" s="1285"/>
    </row>
    <row r="90" spans="1:20" x14ac:dyDescent="0.2">
      <c r="A90" s="168"/>
      <c r="B90" s="692"/>
      <c r="C90" s="163"/>
      <c r="D90" s="1674" t="s">
        <v>308</v>
      </c>
      <c r="E90" s="1679"/>
      <c r="F90" s="858">
        <v>0</v>
      </c>
      <c r="G90" s="858">
        <f t="shared" si="25"/>
        <v>0</v>
      </c>
      <c r="H90" s="858">
        <f t="shared" si="26"/>
        <v>0</v>
      </c>
      <c r="I90" s="17"/>
      <c r="J90" s="498">
        <v>0.03</v>
      </c>
      <c r="K90" s="498">
        <f t="shared" si="27"/>
        <v>0.03</v>
      </c>
      <c r="L90" s="1284"/>
      <c r="M90" s="1284"/>
      <c r="N90" s="1284"/>
      <c r="O90" s="1284"/>
      <c r="P90" s="1284"/>
      <c r="Q90" s="1284"/>
      <c r="R90" s="1288"/>
      <c r="S90" s="1288"/>
      <c r="T90" s="1285"/>
    </row>
    <row r="91" spans="1:20" x14ac:dyDescent="0.2">
      <c r="B91" s="692"/>
      <c r="C91" s="163"/>
      <c r="D91" s="1674" t="s">
        <v>309</v>
      </c>
      <c r="E91" s="1679"/>
      <c r="F91" s="858">
        <v>1200</v>
      </c>
      <c r="G91" s="858">
        <f t="shared" si="25"/>
        <v>1236</v>
      </c>
      <c r="H91" s="858">
        <f t="shared" si="26"/>
        <v>1273.08</v>
      </c>
      <c r="I91" s="17"/>
      <c r="J91" s="498">
        <v>0.03</v>
      </c>
      <c r="K91" s="498">
        <f t="shared" si="27"/>
        <v>0.03</v>
      </c>
      <c r="L91" s="1284"/>
      <c r="M91" s="1284"/>
      <c r="N91" s="1284"/>
      <c r="O91" s="1284"/>
      <c r="P91" s="1284"/>
      <c r="Q91" s="1284"/>
      <c r="R91" s="1288"/>
      <c r="S91" s="1288"/>
      <c r="T91" s="1285"/>
    </row>
    <row r="92" spans="1:20" x14ac:dyDescent="0.2">
      <c r="A92" s="168"/>
      <c r="B92" s="692"/>
      <c r="C92" s="163"/>
      <c r="D92" s="1674" t="s">
        <v>744</v>
      </c>
      <c r="E92" s="1679"/>
      <c r="F92" s="858">
        <v>0</v>
      </c>
      <c r="G92" s="858">
        <f t="shared" si="25"/>
        <v>0</v>
      </c>
      <c r="H92" s="858">
        <f t="shared" si="26"/>
        <v>0</v>
      </c>
      <c r="I92" s="17"/>
      <c r="J92" s="498">
        <v>0.03</v>
      </c>
      <c r="K92" s="498">
        <f t="shared" si="27"/>
        <v>0.03</v>
      </c>
      <c r="L92" s="1284"/>
      <c r="M92" s="1284"/>
      <c r="N92" s="1284"/>
      <c r="O92" s="1284"/>
      <c r="P92" s="1284"/>
      <c r="Q92" s="1284"/>
      <c r="R92" s="1288"/>
      <c r="S92" s="1288"/>
      <c r="T92" s="1285"/>
    </row>
    <row r="93" spans="1:20" ht="13.5" thickBot="1" x14ac:dyDescent="0.25">
      <c r="A93" s="2"/>
      <c r="B93" s="692"/>
      <c r="C93" s="375">
        <v>0</v>
      </c>
      <c r="D93" s="1671" t="s">
        <v>745</v>
      </c>
      <c r="E93" s="1680"/>
      <c r="F93" s="360">
        <v>0</v>
      </c>
      <c r="G93" s="858">
        <f t="shared" si="25"/>
        <v>0</v>
      </c>
      <c r="H93" s="858">
        <f t="shared" si="26"/>
        <v>0</v>
      </c>
      <c r="I93" s="5"/>
      <c r="J93" s="498">
        <v>0.03</v>
      </c>
      <c r="K93" s="498">
        <f t="shared" si="27"/>
        <v>0.03</v>
      </c>
      <c r="L93" s="1284"/>
      <c r="M93" s="1284"/>
      <c r="N93" s="1284"/>
      <c r="O93" s="1284"/>
      <c r="P93" s="1284"/>
      <c r="Q93" s="1284"/>
      <c r="R93" s="1288"/>
      <c r="S93" s="1288"/>
      <c r="T93" s="1285"/>
    </row>
    <row r="94" spans="1:20" ht="13.5" thickBot="1" x14ac:dyDescent="0.25">
      <c r="A94" s="168"/>
      <c r="B94" s="691" t="s">
        <v>124</v>
      </c>
      <c r="C94" s="163" t="s">
        <v>765</v>
      </c>
      <c r="D94" s="1675" t="s">
        <v>335</v>
      </c>
      <c r="E94" s="1675"/>
      <c r="F94" s="764">
        <f>SUM(F95:F96)</f>
        <v>0</v>
      </c>
      <c r="G94" s="764">
        <f>SUM(G95:G96)</f>
        <v>0</v>
      </c>
      <c r="H94" s="764">
        <f>SUM(H95:H96)</f>
        <v>0</v>
      </c>
      <c r="I94" s="5"/>
      <c r="J94" s="328">
        <f>G$12</f>
        <v>2024</v>
      </c>
      <c r="K94" s="328">
        <f>H$12</f>
        <v>2025</v>
      </c>
      <c r="L94" s="1284"/>
      <c r="M94" s="1284"/>
      <c r="N94" s="1284"/>
      <c r="O94" s="1284"/>
      <c r="P94" s="1284"/>
      <c r="Q94" s="1284"/>
      <c r="R94" s="1288"/>
      <c r="S94" s="1288"/>
      <c r="T94" s="1285"/>
    </row>
    <row r="95" spans="1:20" x14ac:dyDescent="0.2">
      <c r="B95" s="692"/>
      <c r="C95" s="163"/>
      <c r="D95" s="1674" t="s">
        <v>312</v>
      </c>
      <c r="E95" s="1674"/>
      <c r="F95" s="867">
        <v>0</v>
      </c>
      <c r="G95" s="867">
        <f t="shared" si="25"/>
        <v>0</v>
      </c>
      <c r="H95" s="867">
        <f>G95 +G95*K95</f>
        <v>0</v>
      </c>
      <c r="I95" s="5"/>
      <c r="J95" s="498">
        <v>0.03</v>
      </c>
      <c r="K95" s="498">
        <f t="shared" si="27"/>
        <v>0.03</v>
      </c>
      <c r="L95" s="1284"/>
      <c r="M95" s="1284"/>
      <c r="N95" s="1284"/>
      <c r="O95" s="1284"/>
      <c r="P95" s="1284"/>
      <c r="Q95" s="1284"/>
      <c r="R95" s="1288"/>
      <c r="S95" s="1288"/>
      <c r="T95" s="1285"/>
    </row>
    <row r="96" spans="1:20" ht="13.5" thickBot="1" x14ac:dyDescent="0.25">
      <c r="A96" s="168"/>
      <c r="B96" s="692"/>
      <c r="C96" s="375"/>
      <c r="D96" s="1671" t="s">
        <v>313</v>
      </c>
      <c r="E96" s="1671"/>
      <c r="F96" s="360">
        <v>0</v>
      </c>
      <c r="G96" s="858">
        <f t="shared" si="25"/>
        <v>0</v>
      </c>
      <c r="H96" s="858">
        <f>G96 +G96*K96</f>
        <v>0</v>
      </c>
      <c r="I96" s="5"/>
      <c r="J96" s="498">
        <v>0.03</v>
      </c>
      <c r="K96" s="498">
        <f t="shared" si="27"/>
        <v>0.03</v>
      </c>
      <c r="L96" s="1284"/>
      <c r="M96" s="1284"/>
      <c r="N96" s="1284"/>
      <c r="O96" s="1284"/>
      <c r="P96" s="1284"/>
      <c r="Q96" s="1284"/>
      <c r="R96" s="1288"/>
      <c r="S96" s="1288"/>
      <c r="T96" s="1285"/>
    </row>
    <row r="97" spans="1:20" ht="13.5" thickBot="1" x14ac:dyDescent="0.25">
      <c r="B97" s="691" t="s">
        <v>125</v>
      </c>
      <c r="C97" s="163" t="s">
        <v>766</v>
      </c>
      <c r="D97" s="1675" t="s">
        <v>336</v>
      </c>
      <c r="E97" s="1675"/>
      <c r="F97" s="764">
        <f>SUM(F98:F100)</f>
        <v>2000</v>
      </c>
      <c r="G97" s="764">
        <f>SUM(G98:G100)</f>
        <v>2060</v>
      </c>
      <c r="H97" s="764">
        <f>SUM(H98:H100)</f>
        <v>2121.8000000000002</v>
      </c>
      <c r="I97" s="5"/>
      <c r="J97" s="328">
        <f>G$12</f>
        <v>2024</v>
      </c>
      <c r="K97" s="328">
        <f>H$12</f>
        <v>2025</v>
      </c>
      <c r="L97" s="1284"/>
      <c r="M97" s="1284"/>
      <c r="N97" s="1284"/>
      <c r="O97" s="1284"/>
      <c r="P97" s="1284"/>
      <c r="Q97" s="1284"/>
      <c r="R97" s="1288"/>
      <c r="S97" s="1288"/>
      <c r="T97" s="1285"/>
    </row>
    <row r="98" spans="1:20" x14ac:dyDescent="0.2">
      <c r="A98" s="168"/>
      <c r="B98" s="692"/>
      <c r="C98" s="163"/>
      <c r="D98" s="1674" t="s">
        <v>314</v>
      </c>
      <c r="E98" s="1674"/>
      <c r="F98" s="867">
        <v>0</v>
      </c>
      <c r="G98" s="867">
        <f t="shared" si="25"/>
        <v>0</v>
      </c>
      <c r="H98" s="867">
        <f t="shared" ref="H98:H100" si="28">G98 +G98*K98</f>
        <v>0</v>
      </c>
      <c r="I98" s="5"/>
      <c r="J98" s="498">
        <v>0.03</v>
      </c>
      <c r="K98" s="498">
        <f t="shared" si="27"/>
        <v>0.03</v>
      </c>
      <c r="L98" s="1284"/>
      <c r="M98" s="1284"/>
      <c r="N98" s="1284"/>
      <c r="O98" s="1284"/>
      <c r="P98" s="1284"/>
      <c r="Q98" s="1284"/>
      <c r="R98" s="1288"/>
      <c r="S98" s="1288"/>
      <c r="T98" s="1285"/>
    </row>
    <row r="99" spans="1:20" x14ac:dyDescent="0.2">
      <c r="A99" s="2"/>
      <c r="B99" s="692"/>
      <c r="C99" s="163"/>
      <c r="D99" s="1674" t="s">
        <v>315</v>
      </c>
      <c r="E99" s="1674"/>
      <c r="F99" s="858">
        <v>2000</v>
      </c>
      <c r="G99" s="858">
        <f t="shared" si="25"/>
        <v>2060</v>
      </c>
      <c r="H99" s="858">
        <f>G99 +G99*K99</f>
        <v>2121.8000000000002</v>
      </c>
      <c r="I99" s="5"/>
      <c r="J99" s="498">
        <v>0.03</v>
      </c>
      <c r="K99" s="498">
        <f t="shared" si="27"/>
        <v>0.03</v>
      </c>
      <c r="L99" s="1284"/>
      <c r="M99" s="1284"/>
      <c r="N99" s="1284"/>
      <c r="O99" s="1284"/>
      <c r="P99" s="1284"/>
      <c r="Q99" s="1284"/>
      <c r="R99" s="1288"/>
      <c r="S99" s="1288"/>
      <c r="T99" s="1285"/>
    </row>
    <row r="100" spans="1:20" ht="13.5" thickBot="1" x14ac:dyDescent="0.25">
      <c r="B100" s="692"/>
      <c r="C100" s="375"/>
      <c r="D100" s="1671" t="s">
        <v>316</v>
      </c>
      <c r="E100" s="1671"/>
      <c r="F100" s="858">
        <v>0</v>
      </c>
      <c r="G100" s="858">
        <f t="shared" si="25"/>
        <v>0</v>
      </c>
      <c r="H100" s="858">
        <f t="shared" si="28"/>
        <v>0</v>
      </c>
      <c r="I100" s="5"/>
      <c r="J100" s="498">
        <v>0.03</v>
      </c>
      <c r="K100" s="498">
        <f t="shared" si="27"/>
        <v>0.03</v>
      </c>
      <c r="L100" s="1284"/>
      <c r="M100" s="1284"/>
      <c r="N100" s="1284"/>
      <c r="O100" s="1284"/>
      <c r="P100" s="1284"/>
      <c r="Q100" s="1284"/>
      <c r="R100" s="1288"/>
      <c r="S100" s="1288"/>
      <c r="T100" s="1285"/>
    </row>
    <row r="101" spans="1:20" ht="13.5" thickBot="1" x14ac:dyDescent="0.25">
      <c r="B101" s="691" t="s">
        <v>126</v>
      </c>
      <c r="C101" s="163" t="s">
        <v>767</v>
      </c>
      <c r="D101" s="1675" t="s">
        <v>337</v>
      </c>
      <c r="E101" s="1675"/>
      <c r="F101" s="764">
        <f>SUM(F102:F104)</f>
        <v>0</v>
      </c>
      <c r="G101" s="764">
        <f>SUM(G102:G104)</f>
        <v>0</v>
      </c>
      <c r="H101" s="764">
        <f>SUM(H102:H104)</f>
        <v>0</v>
      </c>
      <c r="I101" s="5"/>
      <c r="J101" s="328">
        <f>G$12</f>
        <v>2024</v>
      </c>
      <c r="K101" s="328">
        <f>H$12</f>
        <v>2025</v>
      </c>
      <c r="L101" s="1284"/>
      <c r="M101" s="1284"/>
      <c r="N101" s="1284"/>
      <c r="O101" s="1284"/>
      <c r="P101" s="1284"/>
      <c r="Q101" s="1284"/>
      <c r="R101" s="1288"/>
      <c r="S101" s="1288"/>
      <c r="T101" s="1285"/>
    </row>
    <row r="102" spans="1:20" x14ac:dyDescent="0.2">
      <c r="B102" s="692"/>
      <c r="C102" s="163"/>
      <c r="D102" s="1674" t="s">
        <v>317</v>
      </c>
      <c r="E102" s="1674"/>
      <c r="F102" s="867">
        <v>0</v>
      </c>
      <c r="G102" s="867">
        <f t="shared" si="25"/>
        <v>0</v>
      </c>
      <c r="H102" s="867">
        <f t="shared" ref="H102:H104" si="29">G102 +G102*K102</f>
        <v>0</v>
      </c>
      <c r="I102" s="5"/>
      <c r="J102" s="498">
        <v>0.03</v>
      </c>
      <c r="K102" s="498">
        <f t="shared" si="27"/>
        <v>0.03</v>
      </c>
      <c r="L102" s="1284"/>
      <c r="M102" s="1284"/>
      <c r="N102" s="1284"/>
      <c r="O102" s="1284"/>
      <c r="P102" s="1284"/>
      <c r="Q102" s="1284"/>
      <c r="R102" s="1288"/>
      <c r="S102" s="1288"/>
      <c r="T102" s="1285"/>
    </row>
    <row r="103" spans="1:20" x14ac:dyDescent="0.2">
      <c r="B103" s="692"/>
      <c r="C103" s="163"/>
      <c r="D103" s="1674" t="s">
        <v>318</v>
      </c>
      <c r="E103" s="1674"/>
      <c r="F103" s="873">
        <v>0</v>
      </c>
      <c r="G103" s="858">
        <f t="shared" si="25"/>
        <v>0</v>
      </c>
      <c r="H103" s="858">
        <f t="shared" si="29"/>
        <v>0</v>
      </c>
      <c r="I103" s="5"/>
      <c r="J103" s="498">
        <v>0.03</v>
      </c>
      <c r="K103" s="498">
        <f t="shared" si="27"/>
        <v>0.03</v>
      </c>
      <c r="L103" s="1284"/>
      <c r="M103" s="1284"/>
      <c r="N103" s="1284"/>
      <c r="O103" s="1284"/>
      <c r="P103" s="1284"/>
      <c r="Q103" s="1284"/>
      <c r="R103" s="1288"/>
      <c r="S103" s="1288"/>
      <c r="T103" s="1285"/>
    </row>
    <row r="104" spans="1:20" ht="13.5" thickBot="1" x14ac:dyDescent="0.25">
      <c r="B104" s="692"/>
      <c r="C104" s="375"/>
      <c r="D104" s="1671" t="s">
        <v>319</v>
      </c>
      <c r="E104" s="1671"/>
      <c r="F104" s="360">
        <v>0</v>
      </c>
      <c r="G104" s="858">
        <f t="shared" si="25"/>
        <v>0</v>
      </c>
      <c r="H104" s="858">
        <f t="shared" si="29"/>
        <v>0</v>
      </c>
      <c r="I104" s="5"/>
      <c r="J104" s="498">
        <v>0.03</v>
      </c>
      <c r="K104" s="498">
        <f t="shared" si="27"/>
        <v>0.03</v>
      </c>
      <c r="L104" s="1284"/>
      <c r="M104" s="1284"/>
      <c r="N104" s="1284"/>
      <c r="O104" s="1284"/>
      <c r="P104" s="1284"/>
      <c r="Q104" s="1284"/>
      <c r="R104" s="1288"/>
      <c r="S104" s="1288"/>
      <c r="T104" s="1285"/>
    </row>
    <row r="105" spans="1:20" ht="13.5" thickBot="1" x14ac:dyDescent="0.25">
      <c r="B105" s="691" t="s">
        <v>127</v>
      </c>
      <c r="C105" s="163" t="s">
        <v>768</v>
      </c>
      <c r="D105" s="1675" t="s">
        <v>338</v>
      </c>
      <c r="E105" s="1675"/>
      <c r="F105" s="764">
        <f>SUM(F106:F109)</f>
        <v>1050</v>
      </c>
      <c r="G105" s="764">
        <f>SUM(G106:G109)</f>
        <v>1081.5</v>
      </c>
      <c r="H105" s="764">
        <f>SUM(H106:H109)</f>
        <v>1113.9449999999999</v>
      </c>
      <c r="I105" s="5"/>
      <c r="J105" s="328">
        <f>G$12</f>
        <v>2024</v>
      </c>
      <c r="K105" s="328">
        <f>H$12</f>
        <v>2025</v>
      </c>
      <c r="L105" s="1284"/>
      <c r="M105" s="1284"/>
      <c r="N105" s="1284"/>
      <c r="O105" s="1284"/>
      <c r="P105" s="1284"/>
      <c r="Q105" s="1284"/>
      <c r="R105" s="1288"/>
      <c r="S105" s="1288"/>
      <c r="T105" s="1285"/>
    </row>
    <row r="106" spans="1:20" x14ac:dyDescent="0.2">
      <c r="B106" s="692"/>
      <c r="C106" s="163"/>
      <c r="D106" s="1674" t="s">
        <v>320</v>
      </c>
      <c r="E106" s="1674"/>
      <c r="F106" s="867">
        <v>300</v>
      </c>
      <c r="G106" s="867">
        <f t="shared" si="25"/>
        <v>309</v>
      </c>
      <c r="H106" s="867">
        <f t="shared" ref="H106:H109" si="30">G106 +G106*K106</f>
        <v>318.27</v>
      </c>
      <c r="I106" s="5"/>
      <c r="J106" s="498">
        <v>0.03</v>
      </c>
      <c r="K106" s="498">
        <f t="shared" si="27"/>
        <v>0.03</v>
      </c>
      <c r="L106" s="1284"/>
      <c r="M106" s="1284"/>
      <c r="N106" s="1284"/>
      <c r="O106" s="1284"/>
      <c r="P106" s="1284"/>
      <c r="Q106" s="1284"/>
      <c r="R106" s="1288"/>
      <c r="S106" s="1288"/>
      <c r="T106" s="1285"/>
    </row>
    <row r="107" spans="1:20" x14ac:dyDescent="0.2">
      <c r="B107" s="692"/>
      <c r="C107" s="163"/>
      <c r="D107" s="1674" t="s">
        <v>321</v>
      </c>
      <c r="E107" s="1674"/>
      <c r="F107" s="858">
        <v>300</v>
      </c>
      <c r="G107" s="858">
        <f t="shared" si="25"/>
        <v>309</v>
      </c>
      <c r="H107" s="858">
        <f t="shared" si="30"/>
        <v>318.27</v>
      </c>
      <c r="I107" s="5"/>
      <c r="J107" s="498">
        <v>0.03</v>
      </c>
      <c r="K107" s="498">
        <f t="shared" si="27"/>
        <v>0.03</v>
      </c>
      <c r="L107" s="1284"/>
      <c r="M107" s="1284"/>
      <c r="N107" s="1284"/>
      <c r="O107" s="1284"/>
      <c r="P107" s="1284"/>
      <c r="Q107" s="1284"/>
      <c r="R107" s="1288"/>
      <c r="S107" s="1288"/>
      <c r="T107" s="1285"/>
    </row>
    <row r="108" spans="1:20" x14ac:dyDescent="0.2">
      <c r="B108" s="692"/>
      <c r="C108" s="163"/>
      <c r="D108" s="1674" t="s">
        <v>322</v>
      </c>
      <c r="E108" s="1674"/>
      <c r="F108" s="858">
        <v>50</v>
      </c>
      <c r="G108" s="858">
        <f t="shared" si="25"/>
        <v>51.5</v>
      </c>
      <c r="H108" s="858">
        <f t="shared" si="30"/>
        <v>53.045000000000002</v>
      </c>
      <c r="I108" s="5"/>
      <c r="J108" s="498">
        <v>0.03</v>
      </c>
      <c r="K108" s="498">
        <f t="shared" si="27"/>
        <v>0.03</v>
      </c>
      <c r="L108" s="1284"/>
      <c r="M108" s="1284"/>
      <c r="N108" s="1284"/>
      <c r="O108" s="1284"/>
      <c r="P108" s="1284"/>
      <c r="Q108" s="1284"/>
      <c r="R108" s="1288"/>
      <c r="S108" s="1288"/>
      <c r="T108" s="1285"/>
    </row>
    <row r="109" spans="1:20" ht="13.5" thickBot="1" x14ac:dyDescent="0.25">
      <c r="B109" s="692"/>
      <c r="C109" s="375">
        <v>0</v>
      </c>
      <c r="D109" s="1676" t="s">
        <v>323</v>
      </c>
      <c r="E109" s="1676"/>
      <c r="F109" s="360">
        <v>400</v>
      </c>
      <c r="G109" s="858">
        <f t="shared" si="25"/>
        <v>412</v>
      </c>
      <c r="H109" s="858">
        <f t="shared" si="30"/>
        <v>424.36</v>
      </c>
      <c r="I109" s="3"/>
      <c r="J109" s="498">
        <v>0.03</v>
      </c>
      <c r="K109" s="498">
        <f t="shared" si="27"/>
        <v>0.03</v>
      </c>
      <c r="L109" s="1284"/>
      <c r="M109" s="1284"/>
      <c r="N109" s="1284"/>
      <c r="O109" s="1284"/>
      <c r="P109" s="1284"/>
      <c r="Q109" s="1284"/>
      <c r="R109" s="1288"/>
      <c r="S109" s="1288"/>
      <c r="T109" s="1285"/>
    </row>
    <row r="110" spans="1:20" ht="13.5" thickBot="1" x14ac:dyDescent="0.25">
      <c r="B110" s="691" t="s">
        <v>134</v>
      </c>
      <c r="C110" s="163" t="s">
        <v>769</v>
      </c>
      <c r="D110" s="1675" t="s">
        <v>339</v>
      </c>
      <c r="E110" s="1675"/>
      <c r="F110" s="764">
        <f>SUM(F111:F112)</f>
        <v>0</v>
      </c>
      <c r="G110" s="764">
        <f>SUM(G111:G112)</f>
        <v>0</v>
      </c>
      <c r="H110" s="764">
        <f>SUM(H111:H112)</f>
        <v>0</v>
      </c>
      <c r="I110" s="3"/>
      <c r="J110" s="328">
        <f>G$12</f>
        <v>2024</v>
      </c>
      <c r="K110" s="328">
        <f>H$12</f>
        <v>2025</v>
      </c>
      <c r="L110" s="1284"/>
      <c r="M110" s="1284"/>
      <c r="N110" s="1284"/>
      <c r="O110" s="1284"/>
      <c r="P110" s="1284"/>
      <c r="Q110" s="1284"/>
      <c r="R110" s="1288"/>
      <c r="S110" s="1288"/>
      <c r="T110" s="1285"/>
    </row>
    <row r="111" spans="1:20" x14ac:dyDescent="0.2">
      <c r="B111" s="692"/>
      <c r="C111" s="163"/>
      <c r="D111" s="1674" t="s">
        <v>324</v>
      </c>
      <c r="E111" s="1674"/>
      <c r="F111" s="867">
        <v>0</v>
      </c>
      <c r="G111" s="867">
        <f t="shared" si="25"/>
        <v>0</v>
      </c>
      <c r="H111" s="874">
        <f t="shared" ref="H111:H115" si="31">G111 +G111*K111</f>
        <v>0</v>
      </c>
      <c r="I111" s="3"/>
      <c r="J111" s="498">
        <v>0.03</v>
      </c>
      <c r="K111" s="498">
        <f t="shared" si="27"/>
        <v>0.03</v>
      </c>
      <c r="L111" s="1284"/>
      <c r="M111" s="1284"/>
      <c r="N111" s="1284"/>
      <c r="O111" s="1284"/>
      <c r="P111" s="1284"/>
      <c r="Q111" s="1284"/>
      <c r="R111" s="1288"/>
      <c r="S111" s="1288"/>
      <c r="T111" s="1285"/>
    </row>
    <row r="112" spans="1:20" ht="13.5" thickBot="1" x14ac:dyDescent="0.25">
      <c r="B112" s="692"/>
      <c r="C112" s="375"/>
      <c r="D112" s="1671" t="s">
        <v>325</v>
      </c>
      <c r="E112" s="1671"/>
      <c r="F112" s="873">
        <v>0</v>
      </c>
      <c r="G112" s="873">
        <f t="shared" si="25"/>
        <v>0</v>
      </c>
      <c r="H112" s="873">
        <f t="shared" si="31"/>
        <v>0</v>
      </c>
      <c r="I112" s="3"/>
      <c r="J112" s="498">
        <v>0.03</v>
      </c>
      <c r="K112" s="498">
        <f t="shared" si="27"/>
        <v>0.03</v>
      </c>
      <c r="L112" s="1284"/>
      <c r="M112" s="1284"/>
      <c r="N112" s="1284"/>
      <c r="O112" s="1284"/>
      <c r="P112" s="1284"/>
      <c r="Q112" s="1284"/>
      <c r="R112" s="1288"/>
      <c r="S112" s="1288"/>
      <c r="T112" s="1285"/>
    </row>
    <row r="113" spans="2:20" ht="12.75" customHeight="1" thickBot="1" x14ac:dyDescent="0.25">
      <c r="B113" s="691" t="s">
        <v>180</v>
      </c>
      <c r="C113" s="376" t="s">
        <v>770</v>
      </c>
      <c r="D113" s="1667" t="s">
        <v>340</v>
      </c>
      <c r="E113" s="1668"/>
      <c r="F113" s="872">
        <v>0</v>
      </c>
      <c r="G113" s="872">
        <f t="shared" si="25"/>
        <v>0</v>
      </c>
      <c r="H113" s="872">
        <f t="shared" si="31"/>
        <v>0</v>
      </c>
      <c r="I113" s="3"/>
      <c r="J113" s="498">
        <v>0.03</v>
      </c>
      <c r="K113" s="498">
        <f t="shared" si="27"/>
        <v>0.03</v>
      </c>
      <c r="L113" s="1284"/>
      <c r="M113" s="1284"/>
      <c r="N113" s="1284"/>
      <c r="O113" s="1284"/>
      <c r="P113" s="1284"/>
      <c r="Q113" s="1284"/>
      <c r="R113" s="1288"/>
      <c r="S113" s="1288"/>
      <c r="T113" s="1285"/>
    </row>
    <row r="114" spans="2:20" ht="12.75" customHeight="1" thickBot="1" x14ac:dyDescent="0.25">
      <c r="B114" s="691" t="s">
        <v>178</v>
      </c>
      <c r="C114" s="376" t="s">
        <v>771</v>
      </c>
      <c r="D114" s="1667" t="s">
        <v>341</v>
      </c>
      <c r="E114" s="1668"/>
      <c r="F114" s="872">
        <v>0</v>
      </c>
      <c r="G114" s="872">
        <f t="shared" si="25"/>
        <v>0</v>
      </c>
      <c r="H114" s="872">
        <f t="shared" si="31"/>
        <v>0</v>
      </c>
      <c r="I114" s="3"/>
      <c r="J114" s="498">
        <v>0.03</v>
      </c>
      <c r="K114" s="498">
        <f t="shared" si="27"/>
        <v>0.03</v>
      </c>
      <c r="L114" s="1284"/>
      <c r="M114" s="1284"/>
      <c r="N114" s="1284"/>
      <c r="O114" s="1284"/>
      <c r="P114" s="1284"/>
      <c r="Q114" s="1284"/>
      <c r="R114" s="1288"/>
      <c r="S114" s="1288"/>
      <c r="T114" s="1285"/>
    </row>
    <row r="115" spans="2:20" ht="12.75" customHeight="1" thickBot="1" x14ac:dyDescent="0.25">
      <c r="B115" s="691" t="s">
        <v>179</v>
      </c>
      <c r="C115" s="376" t="s">
        <v>772</v>
      </c>
      <c r="D115" s="1672" t="s">
        <v>811</v>
      </c>
      <c r="E115" s="1673"/>
      <c r="F115" s="875">
        <v>0</v>
      </c>
      <c r="G115" s="876">
        <f>F115*12/F$13+J115*F115*12/F$13</f>
        <v>0</v>
      </c>
      <c r="H115" s="872">
        <f t="shared" si="31"/>
        <v>0</v>
      </c>
      <c r="I115" s="3"/>
      <c r="J115" s="498">
        <v>0.03</v>
      </c>
      <c r="K115" s="498">
        <f>J115</f>
        <v>0.03</v>
      </c>
      <c r="L115" s="1284"/>
      <c r="M115" s="1284"/>
      <c r="N115" s="1284"/>
      <c r="O115" s="1284"/>
      <c r="P115" s="1284"/>
      <c r="Q115" s="1284"/>
      <c r="R115" s="1288"/>
      <c r="S115" s="1288"/>
      <c r="T115" s="1285"/>
    </row>
    <row r="116" spans="2:20" ht="12.75" customHeight="1" thickBot="1" x14ac:dyDescent="0.25">
      <c r="B116" s="692"/>
      <c r="C116" s="376" t="s">
        <v>773</v>
      </c>
      <c r="D116" s="737" t="s">
        <v>626</v>
      </c>
      <c r="E116" s="738"/>
      <c r="F116" s="872">
        <v>0</v>
      </c>
      <c r="G116" s="872">
        <f>F116*12/F$13+J116*F116*12/F$13</f>
        <v>0</v>
      </c>
      <c r="H116" s="872">
        <f>G116 +G116*K116</f>
        <v>0</v>
      </c>
      <c r="I116" s="3"/>
      <c r="J116" s="498">
        <v>0.03</v>
      </c>
      <c r="K116" s="498">
        <f t="shared" ref="K116:K117" si="32">J116</f>
        <v>0.03</v>
      </c>
      <c r="L116" s="1284"/>
      <c r="M116" s="1284"/>
      <c r="N116" s="1284"/>
      <c r="O116" s="1284"/>
      <c r="P116" s="1284"/>
      <c r="Q116" s="1284"/>
      <c r="R116" s="1288"/>
      <c r="S116" s="1288"/>
      <c r="T116" s="1285"/>
    </row>
    <row r="117" spans="2:20" ht="12.75" customHeight="1" thickBot="1" x14ac:dyDescent="0.25">
      <c r="B117" s="692"/>
      <c r="C117" s="376" t="s">
        <v>774</v>
      </c>
      <c r="D117" s="737" t="s">
        <v>627</v>
      </c>
      <c r="E117" s="738"/>
      <c r="F117" s="872">
        <v>0</v>
      </c>
      <c r="G117" s="872">
        <f>F117*12/F$13+J117*F117*12/F$13</f>
        <v>0</v>
      </c>
      <c r="H117" s="875">
        <f>G117 +G117*K117</f>
        <v>0</v>
      </c>
      <c r="I117" s="3"/>
      <c r="J117" s="498">
        <v>0.03</v>
      </c>
      <c r="K117" s="498">
        <f t="shared" si="32"/>
        <v>0.03</v>
      </c>
      <c r="L117" s="1284"/>
      <c r="M117" s="1284"/>
      <c r="N117" s="1284"/>
      <c r="O117" s="1284"/>
      <c r="P117" s="1284"/>
      <c r="Q117" s="1284"/>
      <c r="R117" s="1288"/>
      <c r="S117" s="1288"/>
      <c r="T117" s="1285"/>
    </row>
    <row r="118" spans="2:20" ht="12.75" customHeight="1" thickBot="1" x14ac:dyDescent="0.25">
      <c r="B118" s="691" t="s">
        <v>181</v>
      </c>
      <c r="C118" s="376" t="s">
        <v>775</v>
      </c>
      <c r="D118" s="377" t="s">
        <v>342</v>
      </c>
      <c r="E118" s="373"/>
      <c r="F118" s="767">
        <f>-'K3 Resultat'!F51</f>
        <v>0</v>
      </c>
      <c r="G118" s="767">
        <f>-'K3 Resultat'!H51</f>
        <v>3379.3078674293574</v>
      </c>
      <c r="H118" s="766">
        <f>-'K3 Resultat'!K51</f>
        <v>5780.2883029245459</v>
      </c>
      <c r="I118" s="5"/>
      <c r="J118" s="1309"/>
      <c r="K118" s="1294"/>
      <c r="L118" s="1294"/>
      <c r="M118" s="1294"/>
      <c r="N118" s="1294"/>
      <c r="O118" s="1294"/>
      <c r="P118" s="1294"/>
      <c r="Q118" s="1294"/>
      <c r="R118" s="1295"/>
      <c r="S118" s="1295"/>
      <c r="T118" s="1296"/>
    </row>
    <row r="119" spans="2:20" ht="12.75" customHeight="1" thickBot="1" x14ac:dyDescent="0.25">
      <c r="B119" s="692"/>
      <c r="C119" s="376" t="s">
        <v>776</v>
      </c>
      <c r="D119" s="1665" t="s">
        <v>628</v>
      </c>
      <c r="E119" s="1666"/>
      <c r="F119" s="780">
        <f>F26+F28+F29+F36+F41+F47+F61+F68+F73+F78+F87+F88+F94+F97+F101+F105+F110+F113+F114+F115+F82+F59+F118+F116+F117</f>
        <v>98686.297061960591</v>
      </c>
      <c r="G119" s="780">
        <f>G26+G28+G29+G36+G41+G47+G61+G68+G73+G78+G87+G88+G94+G97+G101+G105+G110+G113+G114+G115+G82+G59+G118+G116+G117</f>
        <v>106436.46924188995</v>
      </c>
      <c r="H119" s="780">
        <f>H26+H28+H29+H36+H41+H47+H61+H68+H73+H78+H87+H88+H94+H97+H101+H105+H110+H113+H114+H115+H82+H59+H118+H116+H117</f>
        <v>111259.47684776016</v>
      </c>
      <c r="I119" s="17"/>
      <c r="J119" s="746"/>
      <c r="K119" s="1289"/>
      <c r="L119" s="1284"/>
      <c r="M119" s="1284"/>
      <c r="N119" s="1284"/>
      <c r="O119" s="1284"/>
      <c r="P119" s="1284"/>
      <c r="Q119" s="1284"/>
      <c r="R119" s="1288"/>
      <c r="S119" s="1288"/>
      <c r="T119" s="1285"/>
    </row>
    <row r="120" spans="2:20" ht="12.75" customHeight="1" thickBot="1" x14ac:dyDescent="0.25">
      <c r="B120" s="692"/>
      <c r="C120" s="376" t="s">
        <v>777</v>
      </c>
      <c r="D120" s="1665" t="s">
        <v>649</v>
      </c>
      <c r="E120" s="1666"/>
      <c r="F120" s="782">
        <f>F121/F13</f>
        <v>10817.608088496716</v>
      </c>
      <c r="G120" s="782">
        <f>G121/G13</f>
        <v>12473.221395157496</v>
      </c>
      <c r="H120" s="782">
        <f>H121/H13</f>
        <v>13300.919945646679</v>
      </c>
      <c r="I120" s="17"/>
      <c r="J120" s="746"/>
      <c r="K120" s="1289"/>
      <c r="L120" s="1284"/>
      <c r="M120" s="1284"/>
      <c r="N120" s="1284"/>
      <c r="O120" s="1284"/>
      <c r="P120" s="1284"/>
      <c r="Q120" s="1284"/>
      <c r="R120" s="1288"/>
      <c r="S120" s="1288"/>
      <c r="T120" s="1285"/>
    </row>
    <row r="121" spans="2:20" ht="12.75" customHeight="1" thickBot="1" x14ac:dyDescent="0.25">
      <c r="B121" s="693" t="s">
        <v>0</v>
      </c>
      <c r="C121" s="376" t="s">
        <v>778</v>
      </c>
      <c r="D121" s="1667" t="s">
        <v>629</v>
      </c>
      <c r="E121" s="1668"/>
      <c r="F121" s="781">
        <f>F119+F23</f>
        <v>129811.29706196059</v>
      </c>
      <c r="G121" s="781">
        <f>G119+G23</f>
        <v>149678.65674188995</v>
      </c>
      <c r="H121" s="781">
        <f>H119+H23</f>
        <v>159611.03934776015</v>
      </c>
      <c r="I121" s="5"/>
      <c r="J121" s="746"/>
      <c r="K121" s="1289"/>
      <c r="L121" s="1284"/>
      <c r="M121" s="1284"/>
      <c r="N121" s="1284"/>
      <c r="O121" s="1284"/>
      <c r="P121" s="1284"/>
      <c r="Q121" s="1284"/>
      <c r="R121" s="1288"/>
      <c r="S121" s="1288"/>
      <c r="T121" s="1285"/>
    </row>
    <row r="122" spans="2:20" s="828" customFormat="1" ht="6" customHeight="1" x14ac:dyDescent="0.2">
      <c r="B122" s="693"/>
      <c r="C122" s="721"/>
      <c r="D122" s="1216"/>
      <c r="E122" s="1216"/>
      <c r="F122" s="1428"/>
      <c r="G122" s="1428"/>
      <c r="H122" s="1428"/>
      <c r="I122" s="5"/>
      <c r="J122" s="1316"/>
      <c r="K122" s="1312"/>
      <c r="L122" s="1313"/>
      <c r="M122" s="1313"/>
      <c r="N122" s="1313"/>
      <c r="O122" s="1313"/>
      <c r="P122" s="1313"/>
      <c r="Q122" s="1313"/>
      <c r="R122" s="1314"/>
      <c r="S122" s="1314"/>
      <c r="T122" s="1315"/>
    </row>
    <row r="123" spans="2:20" ht="12.75" customHeight="1" x14ac:dyDescent="0.2">
      <c r="B123" s="692" t="s">
        <v>0</v>
      </c>
      <c r="C123" s="1439" t="s">
        <v>779</v>
      </c>
      <c r="D123" s="1661" t="s">
        <v>486</v>
      </c>
      <c r="E123" s="1662"/>
      <c r="F123" s="1436">
        <f>'K2 Försäljning'!C206-'K2 Försäljning'!C208</f>
        <v>139128.8996300275</v>
      </c>
      <c r="G123" s="1436">
        <f>'K2 Försäljning'!D206-'K2 Försäljning'!D208</f>
        <v>158046.52392886975</v>
      </c>
      <c r="H123" s="1436">
        <f>'K2 Försäljning'!E206-'K2 Försäljning'!E208</f>
        <v>176332.46406925048</v>
      </c>
      <c r="I123" s="5"/>
      <c r="J123" s="1308"/>
      <c r="K123" s="1289"/>
      <c r="L123" s="1284"/>
      <c r="M123" s="1284"/>
      <c r="N123" s="1284"/>
      <c r="O123" s="1284"/>
      <c r="P123" s="1284"/>
      <c r="Q123" s="1284"/>
      <c r="R123" s="1288"/>
      <c r="S123" s="1288"/>
      <c r="T123" s="1285"/>
    </row>
    <row r="124" spans="2:20" ht="12.75" customHeight="1" x14ac:dyDescent="0.2">
      <c r="B124" s="692"/>
      <c r="C124" s="1440" t="s">
        <v>780</v>
      </c>
      <c r="D124" s="1698" t="s">
        <v>326</v>
      </c>
      <c r="E124" s="1699"/>
      <c r="F124" s="1437">
        <f>F123-F121</f>
        <v>9317.6025680669118</v>
      </c>
      <c r="G124" s="1437">
        <f>G123-G121</f>
        <v>8367.8671869797981</v>
      </c>
      <c r="H124" s="1437">
        <f>H123-H121</f>
        <v>16721.42472149033</v>
      </c>
      <c r="I124" s="43"/>
      <c r="J124" s="1311" t="s">
        <v>349</v>
      </c>
      <c r="K124" s="1312"/>
      <c r="L124" s="1313"/>
      <c r="M124" s="1313"/>
      <c r="N124" s="1313"/>
      <c r="O124" s="1313"/>
      <c r="P124" s="1313"/>
      <c r="Q124" s="1313"/>
      <c r="R124" s="1314"/>
      <c r="S124" s="1314"/>
      <c r="T124" s="1315"/>
    </row>
    <row r="125" spans="2:20" ht="12.75" customHeight="1" x14ac:dyDescent="0.2">
      <c r="B125" s="694"/>
      <c r="C125" s="1441" t="s">
        <v>781</v>
      </c>
      <c r="D125" s="1669" t="s">
        <v>327</v>
      </c>
      <c r="E125" s="1670"/>
      <c r="F125" s="1438">
        <f>IF(F123=0,0,F124/F123)</f>
        <v>6.6971007409994204E-2</v>
      </c>
      <c r="G125" s="1438">
        <f>IF(G123=0,0,G124/G123)</f>
        <v>5.2945594619631317E-2</v>
      </c>
      <c r="H125" s="1438">
        <f>IF(H123=0,0,H124/H123)</f>
        <v>9.4828963059935351E-2</v>
      </c>
      <c r="I125" s="436"/>
      <c r="J125" s="1308"/>
      <c r="K125" s="1289"/>
      <c r="L125" s="1284"/>
      <c r="M125" s="1284"/>
      <c r="N125" s="1284"/>
      <c r="O125" s="1284"/>
      <c r="P125" s="1284"/>
      <c r="Q125" s="1284"/>
      <c r="R125" s="1288"/>
      <c r="S125" s="1288"/>
      <c r="T125" s="1285"/>
    </row>
    <row r="126" spans="2:20" s="752" customFormat="1" ht="6" customHeight="1" x14ac:dyDescent="0.2">
      <c r="B126" s="694"/>
      <c r="C126" s="1429"/>
      <c r="D126" s="1430"/>
      <c r="E126" s="1430"/>
      <c r="F126" s="1431"/>
      <c r="G126" s="1431"/>
      <c r="H126" s="1432"/>
      <c r="I126" s="436"/>
      <c r="J126" s="1317"/>
      <c r="K126" s="1312"/>
      <c r="L126" s="1313"/>
      <c r="M126" s="1313"/>
      <c r="N126" s="1313"/>
      <c r="O126" s="1313"/>
      <c r="P126" s="1313"/>
      <c r="Q126" s="1313"/>
      <c r="R126" s="1314"/>
      <c r="S126" s="1314"/>
      <c r="T126" s="1315"/>
    </row>
    <row r="127" spans="2:20" ht="12.75" customHeight="1" x14ac:dyDescent="0.2">
      <c r="B127" s="693"/>
      <c r="C127" s="1439" t="s">
        <v>782</v>
      </c>
      <c r="D127" s="1661" t="s">
        <v>328</v>
      </c>
      <c r="E127" s="1662"/>
      <c r="F127" s="1404">
        <f>'K2 Försäljning'!C206</f>
        <v>270892.98245614039</v>
      </c>
      <c r="G127" s="1404">
        <f>'K2 Försäljning'!D206</f>
        <v>306048.23684210522</v>
      </c>
      <c r="H127" s="1404">
        <f>'K2 Försäljning'!E206</f>
        <v>338846.10896929819</v>
      </c>
      <c r="I127" s="5"/>
      <c r="J127" s="1304"/>
      <c r="K127" s="1289"/>
      <c r="L127" s="1284"/>
      <c r="M127" s="1284"/>
      <c r="N127" s="1284"/>
      <c r="O127" s="1284"/>
      <c r="P127" s="1284"/>
      <c r="Q127" s="1284"/>
      <c r="R127" s="1288"/>
      <c r="S127" s="1288"/>
      <c r="T127" s="1285"/>
    </row>
    <row r="128" spans="2:20" ht="12.75" customHeight="1" x14ac:dyDescent="0.2">
      <c r="B128" s="695"/>
      <c r="C128" s="1439" t="s">
        <v>783</v>
      </c>
      <c r="D128" s="1659" t="s">
        <v>329</v>
      </c>
      <c r="E128" s="1660"/>
      <c r="F128" s="1405">
        <f>-'K3 Resultat'!F42</f>
        <v>37925.017543859605</v>
      </c>
      <c r="G128" s="1405">
        <f>-'K3 Resultat'!H42</f>
        <v>42846.753157894767</v>
      </c>
      <c r="H128" s="1405">
        <f>-'K3 Resultat'!K42</f>
        <v>47438.455255701847</v>
      </c>
      <c r="I128" s="1300"/>
      <c r="J128" s="1304"/>
      <c r="K128" s="1289"/>
      <c r="L128" s="1284"/>
      <c r="M128" s="1284"/>
      <c r="N128" s="1284"/>
      <c r="O128" s="1284"/>
      <c r="P128" s="1284"/>
      <c r="Q128" s="1284"/>
      <c r="R128" s="1288"/>
      <c r="S128" s="1288"/>
      <c r="T128" s="1285"/>
    </row>
    <row r="129" spans="2:23" ht="12.75" customHeight="1" x14ac:dyDescent="0.2">
      <c r="B129" s="696"/>
      <c r="C129" s="1439" t="s">
        <v>784</v>
      </c>
      <c r="D129" s="1661" t="s">
        <v>330</v>
      </c>
      <c r="E129" s="1662"/>
      <c r="F129" s="1404">
        <f>F127+F128</f>
        <v>308818</v>
      </c>
      <c r="G129" s="1404">
        <f>G127+G128</f>
        <v>348894.99</v>
      </c>
      <c r="H129" s="1404">
        <f>H127+H128</f>
        <v>386284.56422500004</v>
      </c>
      <c r="I129" s="1301"/>
      <c r="J129" s="1310"/>
      <c r="K129" s="1297"/>
      <c r="L129" s="1272"/>
      <c r="M129" s="1272"/>
      <c r="N129" s="1272"/>
      <c r="O129" s="1272"/>
      <c r="P129" s="1272"/>
      <c r="Q129" s="1272"/>
      <c r="R129" s="1273"/>
      <c r="S129" s="1273"/>
      <c r="T129" s="1293"/>
    </row>
    <row r="130" spans="2:23" ht="12.75" customHeight="1" x14ac:dyDescent="0.2">
      <c r="B130" s="372"/>
      <c r="C130" s="163"/>
      <c r="D130" s="1442" t="s">
        <v>343</v>
      </c>
      <c r="E130" s="1443"/>
      <c r="F130" s="1444">
        <v>47</v>
      </c>
      <c r="G130" s="1444">
        <v>47</v>
      </c>
      <c r="H130" s="1444">
        <v>47</v>
      </c>
      <c r="I130" s="44"/>
      <c r="J130" s="70"/>
      <c r="K130" s="70"/>
      <c r="L130" s="70"/>
      <c r="M130" s="70"/>
      <c r="N130" s="70"/>
      <c r="O130" s="70"/>
      <c r="P130" s="70"/>
      <c r="Q130" s="70"/>
      <c r="R130" s="382"/>
      <c r="S130" s="382"/>
      <c r="T130" s="52"/>
      <c r="U130" s="52"/>
      <c r="V130" s="52"/>
      <c r="W130" s="52"/>
    </row>
    <row r="131" spans="2:23" ht="12.75" customHeight="1" x14ac:dyDescent="0.2">
      <c r="B131" s="372"/>
      <c r="C131" s="163" t="s">
        <v>0</v>
      </c>
      <c r="D131" s="1442" t="s">
        <v>344</v>
      </c>
      <c r="E131" s="1443"/>
      <c r="F131" s="1444">
        <v>5</v>
      </c>
      <c r="G131" s="1444">
        <v>5</v>
      </c>
      <c r="H131" s="1444">
        <v>5</v>
      </c>
      <c r="I131" s="44"/>
      <c r="J131" s="70" t="s">
        <v>0</v>
      </c>
      <c r="K131" s="70"/>
      <c r="L131" s="70"/>
      <c r="M131" s="70"/>
      <c r="N131" s="70"/>
      <c r="O131" s="70"/>
      <c r="P131" s="70"/>
      <c r="Q131" s="70"/>
      <c r="R131" s="382"/>
      <c r="S131" s="382"/>
      <c r="T131" s="52"/>
      <c r="U131" s="52"/>
      <c r="V131" s="52"/>
      <c r="W131" s="52"/>
    </row>
    <row r="132" spans="2:23" ht="12.75" customHeight="1" x14ac:dyDescent="0.2">
      <c r="B132" s="372"/>
      <c r="C132" s="163"/>
      <c r="D132" s="1445" t="s">
        <v>345</v>
      </c>
      <c r="E132" s="1446"/>
      <c r="F132" s="1447">
        <f>IF(F131=0,0,F129/F131/F130)</f>
        <v>1314.1191489361702</v>
      </c>
      <c r="G132" s="1447">
        <f>IF(G131=0,0,G129/G131/G130)</f>
        <v>1484.6595319148935</v>
      </c>
      <c r="H132" s="1447">
        <f>IF(H131=0,0,H129/H131/H130)</f>
        <v>1643.7641030851066</v>
      </c>
      <c r="I132" s="50"/>
      <c r="J132" s="70"/>
      <c r="K132" s="70"/>
      <c r="L132" s="70"/>
      <c r="M132" s="70"/>
      <c r="N132" s="70"/>
      <c r="O132" s="70"/>
      <c r="P132" s="70"/>
      <c r="Q132" s="70"/>
      <c r="R132" s="382"/>
      <c r="S132" s="382"/>
      <c r="T132" s="52"/>
      <c r="U132" s="52"/>
      <c r="V132" s="52"/>
      <c r="W132" s="52"/>
    </row>
    <row r="133" spans="2:23" x14ac:dyDescent="0.2">
      <c r="B133" s="102"/>
      <c r="C133" s="325"/>
      <c r="I133" s="5"/>
      <c r="J133" s="383"/>
      <c r="K133" s="70"/>
      <c r="L133" s="70"/>
      <c r="M133" s="70"/>
      <c r="N133" s="70"/>
      <c r="O133" s="70"/>
      <c r="P133" s="70"/>
      <c r="Q133" s="70"/>
      <c r="R133" s="382"/>
      <c r="S133" s="382"/>
      <c r="T133" s="52"/>
      <c r="U133" s="52"/>
      <c r="V133" s="52"/>
      <c r="W133" s="52"/>
    </row>
    <row r="134" spans="2:23" ht="12.75" customHeight="1" x14ac:dyDescent="0.2">
      <c r="B134" s="102"/>
      <c r="C134" s="167"/>
      <c r="D134" s="379" t="s">
        <v>346</v>
      </c>
      <c r="E134" s="8"/>
      <c r="J134" s="70"/>
      <c r="K134" s="70"/>
      <c r="L134" s="70"/>
      <c r="M134" s="70"/>
      <c r="N134" s="70"/>
      <c r="O134" s="70"/>
      <c r="P134" s="70"/>
      <c r="Q134" s="70"/>
      <c r="R134" s="382"/>
      <c r="S134" s="382"/>
      <c r="T134" s="52"/>
      <c r="U134" s="52"/>
      <c r="V134" s="52"/>
      <c r="W134" s="52"/>
    </row>
    <row r="135" spans="2:23" ht="12.75" customHeight="1" x14ac:dyDescent="0.2">
      <c r="B135" s="103"/>
      <c r="C135" s="167"/>
      <c r="D135" s="108" t="s">
        <v>347</v>
      </c>
      <c r="E135" s="85"/>
      <c r="I135" s="20"/>
      <c r="J135" s="20"/>
      <c r="K135" s="32"/>
      <c r="L135" s="382"/>
      <c r="M135" s="382"/>
      <c r="N135" s="382"/>
      <c r="O135" s="382"/>
      <c r="P135" s="382"/>
      <c r="Q135" s="382"/>
      <c r="R135" s="382"/>
      <c r="S135" s="382"/>
      <c r="T135" s="52"/>
      <c r="U135" s="52"/>
      <c r="V135" s="52"/>
      <c r="W135" s="52"/>
    </row>
    <row r="136" spans="2:23" s="2" customFormat="1" ht="12.75" customHeight="1" x14ac:dyDescent="0.2">
      <c r="B136" s="104"/>
      <c r="C136" s="167"/>
      <c r="D136" s="108" t="s">
        <v>348</v>
      </c>
      <c r="E136" s="88"/>
      <c r="I136" s="20"/>
      <c r="J136" s="20"/>
      <c r="K136" s="32"/>
      <c r="L136" s="382"/>
      <c r="M136" s="382"/>
      <c r="N136" s="382"/>
      <c r="O136" s="382"/>
      <c r="P136" s="382"/>
      <c r="Q136" s="382"/>
      <c r="R136" s="382"/>
      <c r="S136" s="382"/>
      <c r="T136" s="6"/>
      <c r="U136" s="6"/>
      <c r="V136" s="6"/>
      <c r="W136" s="6"/>
    </row>
    <row r="137" spans="2:23" s="2" customFormat="1" ht="12.75" customHeight="1" x14ac:dyDescent="0.2">
      <c r="B137" s="104"/>
      <c r="C137" s="167"/>
      <c r="D137" s="349"/>
      <c r="E137" s="88"/>
      <c r="F137" s="86"/>
      <c r="G137" s="20"/>
      <c r="H137" s="20"/>
      <c r="I137" s="20"/>
      <c r="J137" s="20"/>
      <c r="K137" s="32"/>
      <c r="L137" s="382"/>
      <c r="M137" s="382"/>
      <c r="N137" s="382"/>
      <c r="O137" s="382"/>
      <c r="P137" s="382"/>
      <c r="Q137" s="382"/>
      <c r="R137" s="382"/>
      <c r="S137" s="382"/>
      <c r="T137" s="6"/>
      <c r="U137" s="6"/>
      <c r="V137" s="6"/>
      <c r="W137" s="6"/>
    </row>
    <row r="138" spans="2:23" ht="12.75" customHeight="1" x14ac:dyDescent="0.2">
      <c r="B138" s="103"/>
      <c r="C138" s="61"/>
      <c r="D138" s="167"/>
      <c r="E138" s="85"/>
      <c r="G138" s="331"/>
      <c r="H138" s="331"/>
      <c r="I138" s="22"/>
      <c r="J138" s="22"/>
      <c r="K138" s="32"/>
      <c r="L138" s="384"/>
      <c r="M138" s="382"/>
      <c r="N138" s="382"/>
      <c r="O138" s="382"/>
      <c r="P138" s="382"/>
      <c r="Q138" s="382"/>
      <c r="R138" s="382"/>
      <c r="S138" s="382"/>
      <c r="T138" s="52"/>
      <c r="U138" s="52"/>
      <c r="V138" s="52"/>
      <c r="W138" s="52"/>
    </row>
    <row r="139" spans="2:23" s="2" customFormat="1" ht="12.75" customHeight="1" x14ac:dyDescent="0.2">
      <c r="B139" s="104"/>
      <c r="C139" s="61"/>
      <c r="D139" s="167"/>
      <c r="E139" s="85"/>
      <c r="G139" s="91"/>
      <c r="H139" s="91"/>
      <c r="I139" s="23"/>
      <c r="J139" s="23"/>
      <c r="K139" s="32"/>
      <c r="L139" s="384"/>
      <c r="M139" s="382"/>
      <c r="N139" s="382"/>
      <c r="O139" s="382"/>
      <c r="P139" s="382"/>
      <c r="Q139" s="382"/>
      <c r="R139" s="382"/>
      <c r="S139" s="382"/>
      <c r="T139" s="6"/>
      <c r="U139" s="6"/>
      <c r="V139" s="6"/>
      <c r="W139" s="6"/>
    </row>
    <row r="140" spans="2:23" ht="12.75" customHeight="1" x14ac:dyDescent="0.2">
      <c r="B140" s="103"/>
      <c r="C140" s="61"/>
      <c r="D140" s="167"/>
      <c r="E140" s="88"/>
      <c r="G140" s="331"/>
      <c r="H140" s="331"/>
      <c r="I140" s="20"/>
      <c r="J140" s="20"/>
      <c r="K140" s="32"/>
      <c r="L140" s="382"/>
      <c r="M140" s="382"/>
      <c r="N140" s="382"/>
      <c r="O140" s="382"/>
      <c r="P140" s="382"/>
      <c r="Q140" s="382"/>
      <c r="R140" s="382"/>
      <c r="S140" s="382"/>
      <c r="T140" s="52"/>
      <c r="U140" s="52"/>
      <c r="V140" s="52"/>
      <c r="W140" s="52"/>
    </row>
    <row r="141" spans="2:23" ht="12.75" customHeight="1" x14ac:dyDescent="0.2">
      <c r="B141" s="103"/>
      <c r="C141" s="61"/>
      <c r="D141" s="167"/>
      <c r="E141" s="85"/>
      <c r="G141" s="91"/>
      <c r="H141" s="91"/>
      <c r="I141" s="22"/>
      <c r="J141" s="22"/>
      <c r="K141" s="32"/>
      <c r="L141" s="382"/>
      <c r="M141" s="382"/>
      <c r="N141" s="382"/>
      <c r="O141" s="382"/>
      <c r="P141" s="382"/>
      <c r="Q141" s="382"/>
      <c r="R141" s="382"/>
      <c r="S141" s="382"/>
      <c r="T141" s="52"/>
      <c r="U141" s="52"/>
      <c r="V141" s="52"/>
      <c r="W141" s="52"/>
    </row>
    <row r="142" spans="2:23" ht="12.75" customHeight="1" x14ac:dyDescent="0.2">
      <c r="B142" s="103"/>
      <c r="C142" s="61"/>
      <c r="D142" s="8"/>
      <c r="E142" s="88"/>
      <c r="G142" s="331"/>
      <c r="H142" s="331"/>
      <c r="I142" s="20"/>
      <c r="J142" s="20"/>
      <c r="K142" s="32"/>
      <c r="L142" s="382"/>
      <c r="M142" s="382"/>
      <c r="N142" s="382"/>
      <c r="O142" s="382"/>
      <c r="P142" s="382"/>
      <c r="Q142" s="382"/>
      <c r="R142" s="382"/>
      <c r="S142" s="382"/>
      <c r="T142" s="52"/>
      <c r="U142" s="52"/>
      <c r="V142" s="52"/>
      <c r="W142" s="52"/>
    </row>
    <row r="143" spans="2:23" ht="12.75" customHeight="1" x14ac:dyDescent="0.2">
      <c r="B143" s="103"/>
      <c r="C143" s="167"/>
      <c r="D143" s="349"/>
      <c r="E143" s="85"/>
      <c r="G143" s="20"/>
      <c r="H143" s="20"/>
      <c r="I143" s="25"/>
      <c r="J143" s="25"/>
      <c r="K143" s="32"/>
      <c r="L143" s="32"/>
      <c r="M143" s="32"/>
      <c r="N143" s="32"/>
      <c r="O143" s="32"/>
      <c r="P143" s="32"/>
      <c r="Q143" s="32"/>
      <c r="R143" s="32"/>
      <c r="S143" s="32"/>
      <c r="T143" s="52"/>
      <c r="U143" s="52"/>
      <c r="V143" s="52"/>
      <c r="W143" s="52"/>
    </row>
    <row r="144" spans="2:23" ht="12.75" customHeight="1" x14ac:dyDescent="0.2">
      <c r="B144" s="103"/>
      <c r="C144" s="167"/>
      <c r="D144" s="8"/>
      <c r="E144" s="85"/>
      <c r="G144" s="91"/>
      <c r="H144" s="91"/>
      <c r="I144" s="21"/>
      <c r="J144" s="21"/>
      <c r="K144" s="32"/>
      <c r="L144" s="32"/>
      <c r="M144" s="32"/>
      <c r="N144" s="32"/>
      <c r="O144" s="32"/>
      <c r="P144" s="32"/>
      <c r="Q144" s="32"/>
      <c r="R144" s="32"/>
      <c r="S144" s="32"/>
      <c r="T144" s="52"/>
      <c r="U144" s="52"/>
      <c r="V144" s="52"/>
      <c r="W144" s="52"/>
    </row>
    <row r="145" spans="2:23" ht="12.75" customHeight="1" x14ac:dyDescent="0.2">
      <c r="B145" s="103"/>
      <c r="C145" s="167"/>
      <c r="D145" s="8"/>
      <c r="E145" s="85"/>
      <c r="G145" s="331"/>
      <c r="H145" s="331"/>
      <c r="I145" s="89"/>
      <c r="J145" s="385"/>
      <c r="K145" s="32"/>
      <c r="L145" s="32"/>
      <c r="M145" s="32"/>
      <c r="N145" s="32"/>
      <c r="O145" s="32"/>
      <c r="P145" s="32"/>
      <c r="Q145" s="32"/>
      <c r="R145" s="32"/>
      <c r="S145" s="32"/>
      <c r="T145" s="52"/>
      <c r="U145" s="52"/>
      <c r="V145" s="52"/>
      <c r="W145" s="52"/>
    </row>
    <row r="146" spans="2:23" ht="12.75" customHeight="1" x14ac:dyDescent="0.2">
      <c r="B146" s="103"/>
      <c r="C146" s="167"/>
      <c r="D146" s="8"/>
      <c r="E146" s="85"/>
      <c r="G146" s="331"/>
      <c r="H146" s="331"/>
      <c r="I146" s="89"/>
      <c r="J146" s="385"/>
      <c r="K146" s="32"/>
      <c r="L146" s="32"/>
      <c r="M146" s="32"/>
      <c r="N146" s="32"/>
      <c r="O146" s="32"/>
      <c r="P146" s="32"/>
      <c r="Q146" s="32"/>
      <c r="R146" s="32"/>
      <c r="S146" s="32"/>
      <c r="T146" s="52"/>
      <c r="U146" s="52"/>
      <c r="V146" s="52"/>
      <c r="W146" s="52"/>
    </row>
    <row r="147" spans="2:23" ht="12.75" customHeight="1" x14ac:dyDescent="0.2">
      <c r="B147" s="103"/>
      <c r="C147" s="167"/>
      <c r="D147" s="349"/>
      <c r="E147" s="85"/>
      <c r="G147" s="333"/>
      <c r="H147" s="333"/>
      <c r="I147" s="89"/>
      <c r="J147" s="385"/>
      <c r="K147" s="32"/>
      <c r="L147" s="32"/>
      <c r="M147" s="32"/>
      <c r="N147" s="32"/>
      <c r="O147" s="32"/>
      <c r="P147" s="32"/>
      <c r="Q147" s="32"/>
      <c r="R147" s="32"/>
      <c r="S147" s="32"/>
      <c r="T147" s="52"/>
      <c r="U147" s="52"/>
      <c r="V147" s="52"/>
      <c r="W147" s="52"/>
    </row>
    <row r="148" spans="2:23" ht="12.75" customHeight="1" x14ac:dyDescent="0.2">
      <c r="B148" s="103"/>
      <c r="C148" s="104"/>
      <c r="D148" s="350"/>
      <c r="E148" s="19"/>
      <c r="F148" s="331"/>
      <c r="G148" s="331"/>
      <c r="H148" s="331"/>
      <c r="I148" s="331"/>
      <c r="J148" s="20"/>
      <c r="K148" s="32"/>
      <c r="L148" s="32"/>
      <c r="M148" s="32"/>
      <c r="N148" s="32"/>
      <c r="O148" s="32"/>
      <c r="P148" s="32"/>
      <c r="Q148" s="32"/>
      <c r="R148" s="32"/>
      <c r="S148" s="32"/>
      <c r="T148" s="52"/>
      <c r="U148" s="52"/>
      <c r="V148" s="52"/>
      <c r="W148" s="52"/>
    </row>
    <row r="149" spans="2:23" ht="12.75" customHeight="1" x14ac:dyDescent="0.2">
      <c r="B149" s="103"/>
      <c r="C149" s="104"/>
      <c r="D149" s="350"/>
      <c r="E149" s="19"/>
      <c r="F149" s="19"/>
      <c r="G149" s="87"/>
      <c r="H149" s="24"/>
      <c r="I149" s="24"/>
      <c r="J149" s="24"/>
      <c r="K149" s="32"/>
      <c r="L149" s="32"/>
      <c r="M149" s="32"/>
      <c r="N149" s="32"/>
      <c r="O149" s="32"/>
      <c r="P149" s="32"/>
      <c r="Q149" s="32"/>
      <c r="R149" s="32"/>
      <c r="S149" s="32"/>
      <c r="T149" s="52"/>
      <c r="U149" s="52"/>
      <c r="V149" s="52"/>
      <c r="W149" s="52"/>
    </row>
    <row r="150" spans="2:23" ht="12.75" customHeight="1" x14ac:dyDescent="0.2">
      <c r="B150" s="103"/>
      <c r="C150" s="104"/>
      <c r="D150" s="350"/>
      <c r="E150" s="19"/>
      <c r="I150" s="20"/>
      <c r="J150" s="20"/>
      <c r="K150" s="32"/>
      <c r="L150" s="32"/>
      <c r="M150" s="32"/>
      <c r="N150" s="32"/>
      <c r="O150" s="32"/>
      <c r="P150" s="32"/>
      <c r="Q150" s="32"/>
      <c r="R150" s="32"/>
      <c r="S150" s="32"/>
      <c r="T150" s="52"/>
      <c r="U150" s="52"/>
      <c r="V150" s="52"/>
      <c r="W150" s="52"/>
    </row>
    <row r="151" spans="2:23" ht="12.75" customHeight="1" x14ac:dyDescent="0.2">
      <c r="B151" s="103"/>
      <c r="C151" s="104"/>
      <c r="D151" s="350"/>
      <c r="E151" s="19"/>
      <c r="F151" s="19"/>
      <c r="G151" s="19"/>
      <c r="H151" s="19"/>
      <c r="I151" s="19"/>
      <c r="J151" s="32"/>
      <c r="K151" s="32"/>
      <c r="L151" s="32"/>
      <c r="M151" s="32"/>
      <c r="N151" s="32"/>
      <c r="O151" s="32"/>
      <c r="P151" s="32"/>
      <c r="Q151" s="32"/>
      <c r="R151" s="32"/>
      <c r="S151" s="32"/>
      <c r="T151" s="52"/>
      <c r="U151" s="52"/>
      <c r="V151" s="52"/>
      <c r="W151" s="52"/>
    </row>
    <row r="152" spans="2:23" ht="12.75" customHeight="1" x14ac:dyDescent="0.2">
      <c r="B152" s="103"/>
      <c r="C152" s="104"/>
      <c r="D152" s="19"/>
      <c r="E152" s="19"/>
      <c r="F152" s="86"/>
      <c r="G152" s="87"/>
      <c r="H152" s="26"/>
      <c r="I152" s="26"/>
      <c r="J152" s="26"/>
      <c r="K152" s="32"/>
      <c r="L152" s="32"/>
      <c r="M152" s="32"/>
      <c r="N152" s="32"/>
      <c r="O152" s="32"/>
      <c r="P152" s="32"/>
      <c r="Q152" s="32"/>
      <c r="R152" s="32"/>
      <c r="S152" s="32"/>
      <c r="T152" s="52"/>
      <c r="U152" s="52"/>
      <c r="V152" s="52"/>
      <c r="W152" s="52"/>
    </row>
    <row r="153" spans="2:23" ht="12.75" customHeight="1" x14ac:dyDescent="0.2">
      <c r="J153" s="52"/>
      <c r="K153" s="52"/>
      <c r="L153" s="52"/>
      <c r="M153" s="52"/>
      <c r="N153" s="52"/>
      <c r="O153" s="52"/>
      <c r="P153" s="52"/>
      <c r="Q153" s="52"/>
      <c r="R153" s="52"/>
      <c r="S153" s="52"/>
      <c r="T153" s="52"/>
      <c r="U153" s="52"/>
      <c r="V153" s="52"/>
      <c r="W153" s="52"/>
    </row>
    <row r="154" spans="2:23" x14ac:dyDescent="0.2">
      <c r="J154" s="52"/>
      <c r="K154" s="52"/>
      <c r="L154" s="52"/>
      <c r="M154" s="52"/>
      <c r="N154" s="52"/>
      <c r="O154" s="52"/>
      <c r="P154" s="52"/>
      <c r="Q154" s="52"/>
      <c r="R154" s="52"/>
      <c r="S154" s="52"/>
      <c r="T154" s="52"/>
      <c r="U154" s="52"/>
      <c r="V154" s="52"/>
      <c r="W154" s="52"/>
    </row>
    <row r="155" spans="2:23" x14ac:dyDescent="0.2">
      <c r="J155" s="52"/>
      <c r="K155" s="52"/>
      <c r="L155" s="52"/>
      <c r="M155" s="52"/>
      <c r="N155" s="52"/>
      <c r="O155" s="52"/>
      <c r="P155" s="52"/>
      <c r="Q155" s="52"/>
      <c r="R155" s="52"/>
      <c r="S155" s="52"/>
      <c r="T155" s="52"/>
      <c r="U155" s="52"/>
      <c r="V155" s="52"/>
      <c r="W155" s="52"/>
    </row>
    <row r="156" spans="2:23" x14ac:dyDescent="0.2">
      <c r="J156" s="52"/>
      <c r="K156" s="52"/>
      <c r="L156" s="52"/>
      <c r="M156" s="52"/>
      <c r="N156" s="52"/>
      <c r="O156" s="52"/>
      <c r="P156" s="52"/>
      <c r="Q156" s="52"/>
      <c r="R156" s="52"/>
      <c r="S156" s="52"/>
      <c r="T156" s="52"/>
      <c r="U156" s="52"/>
      <c r="V156" s="52"/>
      <c r="W156" s="52"/>
    </row>
    <row r="157" spans="2:23" x14ac:dyDescent="0.2">
      <c r="J157" s="52"/>
      <c r="K157" s="52"/>
      <c r="L157" s="52"/>
      <c r="M157" s="52"/>
      <c r="N157" s="52"/>
      <c r="O157" s="52"/>
      <c r="P157" s="52"/>
      <c r="Q157" s="52"/>
      <c r="R157" s="52"/>
      <c r="S157" s="52"/>
      <c r="T157" s="52"/>
      <c r="U157" s="52"/>
      <c r="V157" s="52"/>
      <c r="W157" s="52"/>
    </row>
    <row r="158" spans="2:23" x14ac:dyDescent="0.2">
      <c r="J158" s="52"/>
      <c r="K158" s="52"/>
      <c r="L158" s="52"/>
      <c r="M158" s="52"/>
      <c r="N158" s="52"/>
      <c r="O158" s="52"/>
      <c r="P158" s="52"/>
      <c r="Q158" s="52"/>
      <c r="R158" s="52"/>
      <c r="S158" s="52"/>
      <c r="T158" s="52"/>
      <c r="U158" s="52"/>
      <c r="V158" s="52"/>
      <c r="W158" s="52"/>
    </row>
    <row r="159" spans="2:23" x14ac:dyDescent="0.2">
      <c r="J159" s="52"/>
      <c r="K159" s="52"/>
      <c r="L159" s="52"/>
      <c r="M159" s="52"/>
      <c r="N159" s="52"/>
      <c r="O159" s="52"/>
      <c r="P159" s="52"/>
      <c r="Q159" s="52"/>
      <c r="R159" s="52"/>
      <c r="S159" s="52"/>
      <c r="T159" s="52"/>
      <c r="U159" s="52"/>
      <c r="V159" s="52"/>
      <c r="W159" s="52"/>
    </row>
    <row r="160" spans="2:23" x14ac:dyDescent="0.2">
      <c r="J160" s="52"/>
      <c r="K160" s="52"/>
      <c r="L160" s="52"/>
      <c r="M160" s="52"/>
      <c r="N160" s="52"/>
      <c r="O160" s="52"/>
      <c r="P160" s="52"/>
      <c r="Q160" s="52"/>
      <c r="R160" s="52"/>
      <c r="S160" s="52"/>
      <c r="T160" s="52"/>
      <c r="U160" s="52"/>
      <c r="V160" s="52"/>
      <c r="W160" s="52"/>
    </row>
    <row r="161" spans="10:23" x14ac:dyDescent="0.2">
      <c r="J161" s="52"/>
      <c r="K161" s="52"/>
      <c r="L161" s="52"/>
      <c r="M161" s="52"/>
      <c r="N161" s="52"/>
      <c r="O161" s="52"/>
      <c r="P161" s="52"/>
      <c r="Q161" s="52"/>
      <c r="R161" s="52"/>
      <c r="S161" s="52"/>
      <c r="T161" s="52"/>
      <c r="U161" s="52"/>
      <c r="V161" s="52"/>
      <c r="W161" s="52"/>
    </row>
    <row r="162" spans="10:23" x14ac:dyDescent="0.2">
      <c r="J162" s="52"/>
      <c r="K162" s="52"/>
      <c r="L162" s="52"/>
      <c r="M162" s="52"/>
      <c r="N162" s="52"/>
      <c r="O162" s="52"/>
      <c r="P162" s="52"/>
      <c r="Q162" s="52"/>
      <c r="R162" s="52"/>
      <c r="S162" s="52"/>
      <c r="T162" s="52"/>
      <c r="U162" s="52"/>
      <c r="V162" s="52"/>
      <c r="W162" s="52"/>
    </row>
    <row r="163" spans="10:23" x14ac:dyDescent="0.2">
      <c r="J163" s="52"/>
      <c r="K163" s="52"/>
      <c r="L163" s="52"/>
      <c r="M163" s="52"/>
      <c r="N163" s="52"/>
      <c r="O163" s="52"/>
      <c r="P163" s="52"/>
      <c r="Q163" s="52"/>
      <c r="R163" s="52"/>
      <c r="S163" s="52"/>
      <c r="T163" s="52"/>
      <c r="U163" s="52"/>
      <c r="V163" s="52"/>
      <c r="W163" s="52"/>
    </row>
    <row r="164" spans="10:23" x14ac:dyDescent="0.2">
      <c r="J164" s="52"/>
      <c r="K164" s="52"/>
      <c r="L164" s="52"/>
      <c r="M164" s="52"/>
      <c r="N164" s="52"/>
      <c r="O164" s="52"/>
      <c r="P164" s="52"/>
      <c r="Q164" s="52"/>
      <c r="R164" s="52"/>
      <c r="S164" s="52"/>
      <c r="T164" s="52"/>
      <c r="U164" s="52"/>
      <c r="V164" s="52"/>
      <c r="W164" s="52"/>
    </row>
    <row r="165" spans="10:23" x14ac:dyDescent="0.2">
      <c r="J165" s="52"/>
      <c r="K165" s="52"/>
      <c r="L165" s="52"/>
      <c r="M165" s="52"/>
      <c r="N165" s="52"/>
      <c r="O165" s="52"/>
      <c r="P165" s="52"/>
      <c r="Q165" s="52"/>
      <c r="R165" s="52"/>
      <c r="S165" s="52"/>
      <c r="T165" s="52"/>
      <c r="U165" s="52"/>
      <c r="V165" s="52"/>
      <c r="W165" s="52"/>
    </row>
    <row r="166" spans="10:23" x14ac:dyDescent="0.2">
      <c r="J166" s="52"/>
      <c r="K166" s="52"/>
      <c r="L166" s="52"/>
      <c r="M166" s="52"/>
      <c r="N166" s="52"/>
      <c r="O166" s="52"/>
      <c r="P166" s="52"/>
      <c r="Q166" s="52"/>
      <c r="R166" s="52"/>
      <c r="S166" s="52"/>
      <c r="T166" s="52"/>
      <c r="U166" s="52"/>
      <c r="V166" s="52"/>
      <c r="W166" s="52"/>
    </row>
    <row r="167" spans="10:23" x14ac:dyDescent="0.2">
      <c r="J167" s="52"/>
      <c r="K167" s="52"/>
      <c r="L167" s="52"/>
      <c r="M167" s="52"/>
      <c r="N167" s="52"/>
      <c r="O167" s="52"/>
      <c r="P167" s="52"/>
      <c r="Q167" s="52"/>
      <c r="R167" s="52"/>
      <c r="S167" s="52"/>
      <c r="T167" s="52"/>
      <c r="U167" s="52"/>
      <c r="V167" s="52"/>
      <c r="W167" s="52"/>
    </row>
    <row r="168" spans="10:23" x14ac:dyDescent="0.2">
      <c r="J168" s="52"/>
      <c r="K168" s="52"/>
      <c r="L168" s="52"/>
      <c r="M168" s="52"/>
      <c r="N168" s="52"/>
      <c r="O168" s="52"/>
      <c r="P168" s="52"/>
      <c r="Q168" s="52"/>
      <c r="R168" s="52"/>
      <c r="S168" s="52"/>
      <c r="T168" s="52"/>
      <c r="U168" s="52"/>
      <c r="V168" s="52"/>
      <c r="W168" s="52"/>
    </row>
    <row r="169" spans="10:23" x14ac:dyDescent="0.2">
      <c r="J169" s="52"/>
      <c r="K169" s="52"/>
      <c r="L169" s="52"/>
      <c r="M169" s="52"/>
      <c r="N169" s="52"/>
      <c r="O169" s="52"/>
      <c r="P169" s="52"/>
      <c r="Q169" s="52"/>
      <c r="R169" s="52"/>
      <c r="S169" s="52"/>
      <c r="T169" s="52"/>
      <c r="U169" s="52"/>
      <c r="V169" s="52"/>
      <c r="W169" s="52"/>
    </row>
    <row r="170" spans="10:23" x14ac:dyDescent="0.2">
      <c r="J170" s="52"/>
      <c r="K170" s="52"/>
      <c r="L170" s="52"/>
      <c r="M170" s="52"/>
      <c r="N170" s="52"/>
      <c r="O170" s="52"/>
      <c r="P170" s="52"/>
      <c r="Q170" s="52"/>
      <c r="R170" s="52"/>
      <c r="S170" s="52"/>
      <c r="T170" s="52"/>
      <c r="U170" s="52"/>
      <c r="V170" s="52"/>
      <c r="W170" s="52"/>
    </row>
    <row r="171" spans="10:23" x14ac:dyDescent="0.2">
      <c r="J171" s="52"/>
      <c r="K171" s="52"/>
      <c r="L171" s="52"/>
      <c r="M171" s="52"/>
      <c r="N171" s="52"/>
      <c r="O171" s="52"/>
      <c r="P171" s="52"/>
      <c r="Q171" s="52"/>
      <c r="R171" s="52"/>
      <c r="S171" s="52"/>
      <c r="T171" s="52"/>
      <c r="U171" s="52"/>
      <c r="V171" s="52"/>
      <c r="W171" s="52"/>
    </row>
    <row r="172" spans="10:23" x14ac:dyDescent="0.2">
      <c r="J172" s="52"/>
      <c r="K172" s="52"/>
      <c r="L172" s="52"/>
      <c r="M172" s="52"/>
      <c r="N172" s="52"/>
      <c r="O172" s="52"/>
      <c r="P172" s="52"/>
      <c r="Q172" s="52"/>
      <c r="R172" s="52"/>
      <c r="S172" s="52"/>
      <c r="T172" s="52"/>
      <c r="U172" s="52"/>
      <c r="V172" s="52"/>
      <c r="W172" s="52"/>
    </row>
    <row r="173" spans="10:23" x14ac:dyDescent="0.2">
      <c r="J173" s="52"/>
      <c r="K173" s="52"/>
      <c r="L173" s="52"/>
      <c r="M173" s="52"/>
      <c r="N173" s="52"/>
      <c r="O173" s="52"/>
      <c r="P173" s="52"/>
      <c r="Q173" s="52"/>
      <c r="R173" s="52"/>
      <c r="S173" s="52"/>
      <c r="T173" s="52"/>
      <c r="U173" s="52"/>
      <c r="V173" s="52"/>
      <c r="W173" s="52"/>
    </row>
    <row r="174" spans="10:23" x14ac:dyDescent="0.2">
      <c r="J174" s="52"/>
      <c r="K174" s="52"/>
      <c r="L174" s="52"/>
      <c r="M174" s="52"/>
      <c r="N174" s="52"/>
      <c r="O174" s="52"/>
      <c r="P174" s="52"/>
      <c r="Q174" s="52"/>
      <c r="R174" s="52"/>
      <c r="S174" s="52"/>
      <c r="T174" s="52"/>
      <c r="U174" s="52"/>
      <c r="V174" s="52"/>
      <c r="W174" s="52"/>
    </row>
    <row r="175" spans="10:23" x14ac:dyDescent="0.2">
      <c r="J175" s="52"/>
      <c r="K175" s="52"/>
      <c r="L175" s="52"/>
      <c r="M175" s="52"/>
      <c r="N175" s="52"/>
      <c r="O175" s="52"/>
      <c r="P175" s="52"/>
      <c r="Q175" s="52"/>
      <c r="R175" s="52"/>
      <c r="S175" s="52"/>
      <c r="T175" s="52"/>
      <c r="U175" s="52"/>
      <c r="V175" s="52"/>
      <c r="W175" s="52"/>
    </row>
    <row r="176" spans="10:23" x14ac:dyDescent="0.2">
      <c r="J176" s="52"/>
      <c r="K176" s="52"/>
      <c r="L176" s="52"/>
      <c r="M176" s="52"/>
      <c r="N176" s="52"/>
      <c r="O176" s="52"/>
      <c r="P176" s="52"/>
      <c r="Q176" s="52"/>
      <c r="R176" s="52"/>
      <c r="S176" s="52"/>
      <c r="T176" s="52"/>
      <c r="U176" s="52"/>
      <c r="V176" s="52"/>
      <c r="W176" s="52"/>
    </row>
    <row r="177" spans="10:23" x14ac:dyDescent="0.2">
      <c r="J177" s="52"/>
      <c r="K177" s="52"/>
      <c r="L177" s="52"/>
      <c r="M177" s="52"/>
      <c r="N177" s="52"/>
      <c r="O177" s="52"/>
      <c r="P177" s="52"/>
      <c r="Q177" s="52"/>
      <c r="R177" s="52"/>
      <c r="S177" s="52"/>
      <c r="T177" s="52"/>
      <c r="U177" s="52"/>
      <c r="V177" s="52"/>
      <c r="W177" s="52"/>
    </row>
    <row r="178" spans="10:23" x14ac:dyDescent="0.2">
      <c r="J178" s="52"/>
      <c r="K178" s="52"/>
      <c r="L178" s="52"/>
      <c r="M178" s="52"/>
      <c r="N178" s="52"/>
      <c r="O178" s="52"/>
      <c r="P178" s="52"/>
      <c r="Q178" s="52"/>
      <c r="R178" s="52"/>
      <c r="S178" s="52"/>
      <c r="T178" s="52"/>
      <c r="U178" s="52"/>
      <c r="V178" s="52"/>
      <c r="W178" s="52"/>
    </row>
    <row r="179" spans="10:23" x14ac:dyDescent="0.2">
      <c r="J179" s="52"/>
      <c r="K179" s="52"/>
      <c r="L179" s="52"/>
      <c r="M179" s="52"/>
      <c r="N179" s="52"/>
      <c r="O179" s="52"/>
      <c r="P179" s="52"/>
      <c r="Q179" s="52"/>
      <c r="R179" s="52"/>
      <c r="S179" s="52"/>
      <c r="T179" s="52"/>
      <c r="U179" s="52"/>
      <c r="V179" s="52"/>
      <c r="W179" s="52"/>
    </row>
    <row r="180" spans="10:23" x14ac:dyDescent="0.2">
      <c r="J180" s="52"/>
      <c r="K180" s="52"/>
      <c r="L180" s="52"/>
      <c r="M180" s="52"/>
      <c r="N180" s="52"/>
      <c r="O180" s="52"/>
      <c r="P180" s="52"/>
      <c r="Q180" s="52"/>
      <c r="R180" s="52"/>
      <c r="S180" s="52"/>
      <c r="T180" s="52"/>
      <c r="U180" s="52"/>
      <c r="V180" s="52"/>
      <c r="W180" s="52"/>
    </row>
    <row r="181" spans="10:23" x14ac:dyDescent="0.2">
      <c r="J181" s="52"/>
      <c r="K181" s="52"/>
      <c r="L181" s="52"/>
      <c r="M181" s="52"/>
      <c r="N181" s="52"/>
      <c r="O181" s="52"/>
      <c r="P181" s="52"/>
      <c r="Q181" s="52"/>
      <c r="R181" s="52"/>
      <c r="S181" s="52"/>
      <c r="T181" s="52"/>
      <c r="U181" s="52"/>
      <c r="V181" s="52"/>
      <c r="W181" s="52"/>
    </row>
    <row r="182" spans="10:23" x14ac:dyDescent="0.2">
      <c r="J182" s="52"/>
      <c r="K182" s="52"/>
      <c r="L182" s="52"/>
      <c r="M182" s="52"/>
      <c r="N182" s="52"/>
      <c r="O182" s="52"/>
      <c r="P182" s="52"/>
      <c r="Q182" s="52"/>
      <c r="R182" s="52"/>
      <c r="S182" s="52"/>
      <c r="T182" s="52"/>
      <c r="U182" s="52"/>
      <c r="V182" s="52"/>
      <c r="W182" s="52"/>
    </row>
    <row r="183" spans="10:23" x14ac:dyDescent="0.2">
      <c r="J183" s="52"/>
      <c r="K183" s="52"/>
      <c r="L183" s="52"/>
      <c r="M183" s="52"/>
      <c r="N183" s="52"/>
      <c r="O183" s="52"/>
      <c r="P183" s="52"/>
      <c r="Q183" s="52"/>
      <c r="R183" s="52"/>
      <c r="S183" s="52"/>
      <c r="T183" s="52"/>
      <c r="U183" s="52"/>
      <c r="V183" s="52"/>
      <c r="W183" s="52"/>
    </row>
    <row r="184" spans="10:23" x14ac:dyDescent="0.2">
      <c r="J184" s="52"/>
      <c r="K184" s="52"/>
      <c r="L184" s="52"/>
      <c r="M184" s="52"/>
      <c r="N184" s="52"/>
      <c r="O184" s="52"/>
      <c r="P184" s="52"/>
      <c r="Q184" s="52"/>
      <c r="R184" s="52"/>
      <c r="S184" s="52"/>
      <c r="T184" s="52"/>
      <c r="U184" s="52"/>
      <c r="V184" s="52"/>
      <c r="W184" s="52"/>
    </row>
  </sheetData>
  <sheetProtection algorithmName="SHA-512" hashValue="LiJRnooqYY0TChQy/cM280l6L2O6aC28ShBRmFlYtqtrkaOM7nD+g+qkKEz+WJ/sG+adpRDhJyQx2khGnHPhyw==" saltValue="NZ/m76BVr3fWMqyF0RWCTg==" spinCount="100000" sheet="1" objects="1" scenarios="1"/>
  <mergeCells count="79">
    <mergeCell ref="D124:E124"/>
    <mergeCell ref="D20:E20"/>
    <mergeCell ref="D78:E78"/>
    <mergeCell ref="D46:E46"/>
    <mergeCell ref="D58:E58"/>
    <mergeCell ref="D56:E56"/>
    <mergeCell ref="D40:E40"/>
    <mergeCell ref="D32:E32"/>
    <mergeCell ref="D21:E21"/>
    <mergeCell ref="D27:E27"/>
    <mergeCell ref="D26:E26"/>
    <mergeCell ref="D22:E22"/>
    <mergeCell ref="D36:E36"/>
    <mergeCell ref="D37:E37"/>
    <mergeCell ref="D38:E38"/>
    <mergeCell ref="D39:E39"/>
    <mergeCell ref="B11:B12"/>
    <mergeCell ref="E3:H3"/>
    <mergeCell ref="J4:K5"/>
    <mergeCell ref="D61:E61"/>
    <mergeCell ref="D13:E13"/>
    <mergeCell ref="C4:H4"/>
    <mergeCell ref="E9:H9"/>
    <mergeCell ref="C9:D9"/>
    <mergeCell ref="J9:N9"/>
    <mergeCell ref="D19:E19"/>
    <mergeCell ref="D18:E18"/>
    <mergeCell ref="D17:E17"/>
    <mergeCell ref="D16:E16"/>
    <mergeCell ref="D15:E15"/>
    <mergeCell ref="D60:E60"/>
    <mergeCell ref="J2:L2"/>
    <mergeCell ref="N2:P2"/>
    <mergeCell ref="D11:E12"/>
    <mergeCell ref="C2:H2"/>
    <mergeCell ref="D57:E57"/>
    <mergeCell ref="D79:E79"/>
    <mergeCell ref="D80:E80"/>
    <mergeCell ref="D81:E81"/>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D108:E108"/>
    <mergeCell ref="D109:E109"/>
    <mergeCell ref="D110:E110"/>
    <mergeCell ref="D111:E111"/>
    <mergeCell ref="D102:E102"/>
    <mergeCell ref="D103:E103"/>
    <mergeCell ref="D104:E104"/>
    <mergeCell ref="D105:E105"/>
    <mergeCell ref="D106:E106"/>
    <mergeCell ref="D128:E128"/>
    <mergeCell ref="D129:E129"/>
    <mergeCell ref="J30:K30"/>
    <mergeCell ref="J37:K37"/>
    <mergeCell ref="J14:K14"/>
    <mergeCell ref="D120:E120"/>
    <mergeCell ref="D121:E121"/>
    <mergeCell ref="D123:E123"/>
    <mergeCell ref="D125:E125"/>
    <mergeCell ref="D127:E127"/>
    <mergeCell ref="D112:E112"/>
    <mergeCell ref="D113:E113"/>
    <mergeCell ref="D114:E114"/>
    <mergeCell ref="D115:E115"/>
    <mergeCell ref="D119:E119"/>
    <mergeCell ref="D107:E107"/>
  </mergeCells>
  <phoneticPr fontId="8" type="noConversion"/>
  <hyperlinks>
    <hyperlink ref="D28" location="Lönekostnader!A1" display="Penninglönekostnader (ArPL - anställda och ArPL - företagare)" xr:uid="{00000000-0004-0000-0100-000000000000}"/>
  </hyperlinks>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 xml:space="preserve">&amp;C&amp;8FT5 Nyföretagets ekonomiplan </oddFooter>
  </headerFooter>
  <rowBreaks count="1" manualBreakCount="1">
    <brk id="67"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3"/>
  <sheetViews>
    <sheetView showGridLines="0" showZeros="0" defaultGridColor="0" colorId="55" zoomScaleNormal="100" zoomScaleSheetLayoutView="100" workbookViewId="0">
      <selection activeCell="B15" sqref="B15"/>
    </sheetView>
  </sheetViews>
  <sheetFormatPr defaultRowHeight="12.75" x14ac:dyDescent="0.2"/>
  <cols>
    <col min="1" max="1" width="5.7109375" customWidth="1"/>
    <col min="2" max="2" width="34" customWidth="1"/>
    <col min="3" max="5" width="11.7109375" customWidth="1"/>
    <col min="6" max="6" width="13.28515625" customWidth="1"/>
    <col min="7" max="7" width="6.7109375" customWidth="1"/>
    <col min="8" max="8" width="6.5703125" customWidth="1"/>
    <col min="9" max="9" width="6.7109375" customWidth="1"/>
    <col min="10" max="10" width="2.140625" customWidth="1"/>
    <col min="11" max="17" width="9.28515625" customWidth="1"/>
    <col min="18" max="18" width="9.28515625" style="1217" customWidth="1"/>
    <col min="19" max="20" width="9.28515625" customWidth="1"/>
  </cols>
  <sheetData>
    <row r="1" spans="1:20" x14ac:dyDescent="0.2">
      <c r="A1" s="300" t="s">
        <v>666</v>
      </c>
      <c r="B1" s="1704"/>
      <c r="C1" s="1704"/>
      <c r="D1" s="1704"/>
      <c r="E1" s="1704"/>
      <c r="F1" s="1704"/>
      <c r="G1" s="1704"/>
      <c r="H1" s="1704"/>
    </row>
    <row r="2" spans="1:20" ht="15" customHeight="1" x14ac:dyDescent="0.2">
      <c r="B2" s="1685" t="s">
        <v>244</v>
      </c>
      <c r="C2" s="1685"/>
      <c r="D2" s="1685"/>
      <c r="E2" s="1685"/>
      <c r="F2" s="1685"/>
      <c r="G2" s="1685"/>
      <c r="H2" s="1685"/>
      <c r="I2" s="1685"/>
      <c r="K2" s="1703" t="s">
        <v>247</v>
      </c>
      <c r="L2" s="1703"/>
      <c r="M2" s="1703"/>
      <c r="O2" s="1702" t="s">
        <v>248</v>
      </c>
      <c r="P2" s="1702"/>
      <c r="Q2" s="1702"/>
      <c r="R2" s="1218"/>
    </row>
    <row r="3" spans="1:20" ht="5.0999999999999996" customHeight="1" x14ac:dyDescent="0.25">
      <c r="B3" s="515"/>
      <c r="C3" s="515"/>
      <c r="D3" s="1688"/>
      <c r="E3" s="1688"/>
      <c r="F3" s="1688"/>
      <c r="G3" s="1688"/>
    </row>
    <row r="4" spans="1:20" ht="17.25" customHeight="1" x14ac:dyDescent="0.3">
      <c r="B4" s="1691" t="s">
        <v>353</v>
      </c>
      <c r="C4" s="1691"/>
      <c r="D4" s="1691"/>
      <c r="E4" s="1691"/>
      <c r="F4" s="1691"/>
      <c r="G4" s="1691"/>
      <c r="H4" s="1691"/>
      <c r="I4" s="1691"/>
    </row>
    <row r="5" spans="1:20" ht="11.65" customHeight="1" x14ac:dyDescent="0.2">
      <c r="B5" s="107" t="str">
        <f>'K1 Kostnader'!C5</f>
        <v>Tjänsten erbjuds av:</v>
      </c>
      <c r="D5" s="77"/>
      <c r="F5" s="1"/>
      <c r="G5" s="516" t="s">
        <v>0</v>
      </c>
      <c r="I5" s="2"/>
      <c r="K5" s="428"/>
      <c r="L5" s="428"/>
    </row>
    <row r="6" spans="1:20" ht="12" customHeight="1" x14ac:dyDescent="0.2">
      <c r="B6" s="535" t="str">
        <f>'K1 Kostnader'!C6</f>
        <v xml:space="preserve">Karlebynejdens Utveckling Ab
</v>
      </c>
      <c r="C6" s="107"/>
      <c r="D6" s="2"/>
      <c r="E6" s="33"/>
      <c r="F6" s="36"/>
      <c r="G6" s="36"/>
    </row>
    <row r="7" spans="1:20" ht="12" customHeight="1" x14ac:dyDescent="0.2">
      <c r="B7" s="517"/>
      <c r="C7" s="107"/>
      <c r="D7" s="2"/>
      <c r="E7" s="33"/>
      <c r="F7" s="36"/>
      <c r="G7" s="36"/>
    </row>
    <row r="8" spans="1:20" ht="12" customHeight="1" x14ac:dyDescent="0.2">
      <c r="B8" s="510" t="s">
        <v>246</v>
      </c>
      <c r="F8" s="39" t="s">
        <v>0</v>
      </c>
      <c r="G8" s="39"/>
      <c r="H8" s="118"/>
      <c r="I8" s="757"/>
    </row>
    <row r="9" spans="1:20" ht="13.5" customHeight="1" x14ac:dyDescent="0.2">
      <c r="B9" s="1707" t="str">
        <f>'K1 Kostnader'!$C$9</f>
        <v>Lunchrestaurang Ab</v>
      </c>
      <c r="C9" s="1707"/>
      <c r="D9" s="1707"/>
      <c r="E9" s="1707"/>
      <c r="F9" s="1706"/>
      <c r="G9" s="1706"/>
      <c r="H9" s="1706"/>
      <c r="I9" s="1706"/>
    </row>
    <row r="10" spans="1:20" ht="7.35" customHeight="1" x14ac:dyDescent="0.2">
      <c r="B10" s="1"/>
      <c r="C10" s="1"/>
      <c r="D10" s="1"/>
      <c r="E10" s="1"/>
      <c r="F10" s="119"/>
      <c r="G10" s="119"/>
      <c r="H10" s="119"/>
      <c r="K10" s="1326"/>
      <c r="L10" s="1326"/>
      <c r="M10" s="1326"/>
      <c r="N10" s="1326"/>
      <c r="O10" s="1326"/>
      <c r="P10" s="1326"/>
      <c r="Q10" s="1326"/>
      <c r="R10" s="1326"/>
      <c r="S10" s="1326"/>
      <c r="T10" s="1326"/>
    </row>
    <row r="11" spans="1:20" ht="12.75" customHeight="1" x14ac:dyDescent="0.2">
      <c r="B11" s="1708">
        <f>IF(C13=12,0,"OBSERVERA RÄKENSKAPSPERIODEN LÄNGD!")</f>
        <v>0</v>
      </c>
      <c r="C11" s="1452" t="s">
        <v>354</v>
      </c>
      <c r="D11" s="1452" t="s">
        <v>355</v>
      </c>
      <c r="E11" s="1452" t="s">
        <v>356</v>
      </c>
      <c r="F11" s="1"/>
      <c r="G11" s="1"/>
      <c r="K11" s="1327"/>
      <c r="L11" s="1326"/>
      <c r="M11" s="1326"/>
      <c r="N11" s="1326"/>
      <c r="O11" s="1326"/>
      <c r="P11" s="1326"/>
      <c r="Q11" s="1326"/>
      <c r="R11" s="1326"/>
      <c r="S11" s="1326"/>
      <c r="T11" s="1326"/>
    </row>
    <row r="12" spans="1:20" ht="12" customHeight="1" x14ac:dyDescent="0.2">
      <c r="B12" s="1708"/>
      <c r="C12" s="1484">
        <f>'K1 Kostnader'!F$12</f>
        <v>2023</v>
      </c>
      <c r="D12" s="1484">
        <f>'K1 Kostnader'!G$12</f>
        <v>2024</v>
      </c>
      <c r="E12" s="1484">
        <f>'K1 Kostnader'!H$12</f>
        <v>2025</v>
      </c>
      <c r="K12" s="1326"/>
      <c r="L12" s="1328" t="str">
        <f>B9</f>
        <v>Lunchrestaurang Ab</v>
      </c>
      <c r="M12" s="1328"/>
      <c r="N12" s="1326"/>
      <c r="O12" s="1326"/>
      <c r="P12" s="1326"/>
      <c r="Q12" s="1326"/>
      <c r="R12" s="1326"/>
      <c r="S12" s="1326"/>
      <c r="T12" s="1326"/>
    </row>
    <row r="13" spans="1:20" ht="12" customHeight="1" x14ac:dyDescent="0.2">
      <c r="B13" s="1451" t="s">
        <v>357</v>
      </c>
      <c r="C13" s="1485">
        <f>'K1 Kostnader'!F13</f>
        <v>12</v>
      </c>
      <c r="D13" s="1485">
        <f>'K1 Kostnader'!G13</f>
        <v>12</v>
      </c>
      <c r="E13" s="1485">
        <f>'K1 Kostnader'!H13</f>
        <v>12</v>
      </c>
      <c r="K13" s="1326"/>
      <c r="L13" s="1329"/>
      <c r="M13" s="1329"/>
      <c r="N13" s="1326"/>
      <c r="O13" s="1326"/>
      <c r="P13" s="1326"/>
      <c r="Q13" s="1326"/>
      <c r="R13" s="1326"/>
      <c r="S13" s="1326"/>
      <c r="T13" s="1326"/>
    </row>
    <row r="14" spans="1:20" ht="4.5" customHeight="1" x14ac:dyDescent="0.2">
      <c r="B14" s="14"/>
      <c r="C14" s="106"/>
      <c r="D14" s="106"/>
      <c r="E14" s="106"/>
      <c r="F14" s="105"/>
      <c r="G14" s="105"/>
      <c r="H14" s="105"/>
      <c r="I14" s="105"/>
      <c r="K14" s="1326"/>
      <c r="L14" s="1326"/>
      <c r="M14" s="1326"/>
      <c r="N14" s="1326"/>
      <c r="O14" s="1326"/>
      <c r="P14" s="1326"/>
      <c r="Q14" s="1326"/>
      <c r="R14" s="1326"/>
      <c r="S14" s="1326"/>
      <c r="T14" s="1326"/>
    </row>
    <row r="15" spans="1:20" ht="12" customHeight="1" x14ac:dyDescent="0.2">
      <c r="B15" s="393" t="s">
        <v>858</v>
      </c>
      <c r="C15" s="361">
        <v>0.14000000000000001</v>
      </c>
      <c r="D15" s="361">
        <f>C15</f>
        <v>0.14000000000000001</v>
      </c>
      <c r="E15" s="1454">
        <f>D15</f>
        <v>0.14000000000000001</v>
      </c>
      <c r="F15" s="1615"/>
      <c r="G15" s="1603">
        <f>D12</f>
        <v>2024</v>
      </c>
      <c r="H15" s="1603">
        <f>E12</f>
        <v>2025</v>
      </c>
      <c r="I15" s="1604"/>
      <c r="K15" s="1302" t="s">
        <v>351</v>
      </c>
      <c r="L15" s="1318"/>
      <c r="M15" s="1318"/>
      <c r="N15" s="1318"/>
      <c r="O15" s="1318"/>
      <c r="P15" s="1318"/>
      <c r="Q15" s="1318"/>
      <c r="R15" s="1318"/>
      <c r="S15" s="1318"/>
      <c r="T15" s="1319"/>
    </row>
    <row r="16" spans="1:20" ht="12" customHeight="1" x14ac:dyDescent="0.2">
      <c r="B16" s="390" t="s">
        <v>358</v>
      </c>
      <c r="C16" s="1592">
        <v>9.5</v>
      </c>
      <c r="D16" s="877">
        <f>C16*(1+G16)</f>
        <v>9.7850000000000001</v>
      </c>
      <c r="E16" s="1463">
        <f>D16*(1+H16)</f>
        <v>10.07855</v>
      </c>
      <c r="F16" s="1472" t="s">
        <v>652</v>
      </c>
      <c r="G16" s="1454">
        <v>0.03</v>
      </c>
      <c r="H16" s="1455">
        <f>G16</f>
        <v>0.03</v>
      </c>
      <c r="I16" s="1605"/>
      <c r="K16" s="1320"/>
      <c r="L16" s="1321"/>
      <c r="M16" s="1321"/>
      <c r="N16" s="1321"/>
      <c r="O16" s="1321"/>
      <c r="P16" s="1284"/>
      <c r="Q16" s="1284"/>
      <c r="R16" s="1284"/>
      <c r="S16" s="1284"/>
      <c r="T16" s="1285"/>
    </row>
    <row r="17" spans="1:20" ht="12" customHeight="1" x14ac:dyDescent="0.2">
      <c r="A17" s="168"/>
      <c r="B17" s="390" t="s">
        <v>359</v>
      </c>
      <c r="C17" s="1593">
        <v>25000</v>
      </c>
      <c r="D17" s="880">
        <f>C17*12/C$13+G17*C17*12/C$13</f>
        <v>27500</v>
      </c>
      <c r="E17" s="1464">
        <f>D17*(1+H17)</f>
        <v>29425</v>
      </c>
      <c r="F17" s="1472" t="s">
        <v>650</v>
      </c>
      <c r="G17" s="1454">
        <v>0.1</v>
      </c>
      <c r="H17" s="1455">
        <v>7.0000000000000007E-2</v>
      </c>
      <c r="I17" s="1605"/>
      <c r="K17" s="746" t="s">
        <v>859</v>
      </c>
      <c r="L17" s="1284"/>
      <c r="M17" s="1284"/>
      <c r="N17" s="1284"/>
      <c r="O17" s="1284"/>
      <c r="P17" s="1284"/>
      <c r="Q17" s="1284"/>
      <c r="R17" s="1284"/>
      <c r="S17" s="1284"/>
      <c r="T17" s="1285"/>
    </row>
    <row r="18" spans="1:20" ht="12" customHeight="1" x14ac:dyDescent="0.2">
      <c r="B18" s="390" t="s">
        <v>360</v>
      </c>
      <c r="C18" s="881">
        <f>IF(C16=0,0,C17*C16/(1+C15))</f>
        <v>208333.33333333331</v>
      </c>
      <c r="D18" s="881">
        <f>IF(D16=0,0,D17*D16/(1+D15))</f>
        <v>236041.66666666663</v>
      </c>
      <c r="E18" s="1465">
        <f>IF(E16=0,0,E17*E16/(1+E15))</f>
        <v>260141.52083333328</v>
      </c>
      <c r="F18" s="1473"/>
      <c r="G18" s="1044"/>
      <c r="H18" s="1044"/>
      <c r="I18" s="1606"/>
      <c r="K18" s="746"/>
      <c r="L18" s="1284"/>
      <c r="M18" s="1284"/>
      <c r="N18" s="1284"/>
      <c r="O18" s="1284"/>
      <c r="P18" s="1284"/>
      <c r="Q18" s="1284"/>
      <c r="R18" s="1284"/>
      <c r="S18" s="1284"/>
      <c r="T18" s="1285"/>
    </row>
    <row r="19" spans="1:20" ht="12" customHeight="1" x14ac:dyDescent="0.2">
      <c r="A19" s="168"/>
      <c r="B19" s="390" t="s">
        <v>361</v>
      </c>
      <c r="C19" s="877">
        <v>3.8</v>
      </c>
      <c r="D19" s="877">
        <f>C19*(1+G19)</f>
        <v>3.9139999999999997</v>
      </c>
      <c r="E19" s="1463">
        <f>D19*(1+H19)</f>
        <v>4.0314199999999998</v>
      </c>
      <c r="F19" s="1472" t="s">
        <v>651</v>
      </c>
      <c r="G19" s="1454">
        <v>0.03</v>
      </c>
      <c r="H19" s="1455">
        <f>G19</f>
        <v>0.03</v>
      </c>
      <c r="I19" s="1605"/>
      <c r="K19" s="746"/>
      <c r="L19" s="1284"/>
      <c r="M19" s="1284"/>
      <c r="N19" s="1284"/>
      <c r="O19" s="1284"/>
      <c r="P19" s="1284"/>
      <c r="Q19" s="1284"/>
      <c r="R19" s="1284"/>
      <c r="S19" s="1284"/>
      <c r="T19" s="1285"/>
    </row>
    <row r="20" spans="1:20" ht="12" customHeight="1" x14ac:dyDescent="0.2">
      <c r="A20" s="2"/>
      <c r="B20" s="390" t="s">
        <v>362</v>
      </c>
      <c r="C20" s="362">
        <v>0.25</v>
      </c>
      <c r="D20" s="362">
        <f>C20</f>
        <v>0.25</v>
      </c>
      <c r="E20" s="1454">
        <f>D20</f>
        <v>0.25</v>
      </c>
      <c r="F20" s="1473" t="s">
        <v>0</v>
      </c>
      <c r="G20" s="1044"/>
      <c r="H20" s="1044"/>
      <c r="I20" s="1606"/>
      <c r="K20" s="746"/>
      <c r="L20" s="1284"/>
      <c r="M20" s="1284"/>
      <c r="N20" s="1284"/>
      <c r="O20" s="1284"/>
      <c r="P20" s="1284"/>
      <c r="Q20" s="1284"/>
      <c r="R20" s="1284"/>
      <c r="S20" s="1284"/>
      <c r="T20" s="1285"/>
    </row>
    <row r="21" spans="1:20" ht="12" customHeight="1" x14ac:dyDescent="0.2">
      <c r="A21" s="168"/>
      <c r="B21" s="390" t="s">
        <v>363</v>
      </c>
      <c r="C21" s="882">
        <f>IF(C16=0,0,(C16-(C19+(C19*C20)))/C16)</f>
        <v>0.5</v>
      </c>
      <c r="D21" s="882">
        <f>IF(D16=0,0,(D16-(D19+(D19*D20)))/D16)</f>
        <v>0.5</v>
      </c>
      <c r="E21" s="1466">
        <f>IF(E16=0,0,(E16-(E19+(E19*E20)))/E16)</f>
        <v>0.5</v>
      </c>
      <c r="F21" s="1473"/>
      <c r="G21" s="1044"/>
      <c r="H21" s="1044"/>
      <c r="I21" s="1606"/>
      <c r="K21" s="746"/>
      <c r="L21" s="1284"/>
      <c r="M21" s="1284"/>
      <c r="N21" s="1284"/>
      <c r="O21" s="1284"/>
      <c r="P21" s="1284"/>
      <c r="Q21" s="1284"/>
      <c r="R21" s="1284"/>
      <c r="S21" s="1284"/>
      <c r="T21" s="1285"/>
    </row>
    <row r="22" spans="1:20" ht="12" customHeight="1" x14ac:dyDescent="0.2">
      <c r="B22" s="390" t="s">
        <v>710</v>
      </c>
      <c r="C22" s="883">
        <f>IF(C19=0,0,(C19/(1-C20))/(1+C15))</f>
        <v>4.4444444444444438</v>
      </c>
      <c r="D22" s="883">
        <f>IF(D19=0,0,(D19/(1-D20))/(1+D15))</f>
        <v>4.5777777777777775</v>
      </c>
      <c r="E22" s="1467">
        <f>IF(E19=0,0,(E19/(1-E20))/(1+E15))</f>
        <v>4.7151111111111099</v>
      </c>
      <c r="F22" s="1473"/>
      <c r="G22" s="1044"/>
      <c r="H22" s="1044"/>
      <c r="I22" s="1606"/>
      <c r="K22" s="746"/>
      <c r="L22" s="1284"/>
      <c r="M22" s="1284"/>
      <c r="N22" s="1284"/>
      <c r="O22" s="1284"/>
      <c r="P22" s="1284"/>
      <c r="Q22" s="1284"/>
      <c r="R22" s="1284"/>
      <c r="S22" s="1284"/>
      <c r="T22" s="1285"/>
    </row>
    <row r="23" spans="1:20" ht="12" customHeight="1" x14ac:dyDescent="0.2">
      <c r="A23" s="168"/>
      <c r="B23" s="390" t="s">
        <v>711</v>
      </c>
      <c r="C23" s="881">
        <f>C22*C17</f>
        <v>111111.11111111109</v>
      </c>
      <c r="D23" s="881">
        <f>D22*D17</f>
        <v>125888.88888888888</v>
      </c>
      <c r="E23" s="1465">
        <f>E22*E17</f>
        <v>138742.14444444442</v>
      </c>
      <c r="F23" s="1473"/>
      <c r="G23" s="1044"/>
      <c r="H23" s="1044"/>
      <c r="I23" s="1606"/>
      <c r="K23" s="746"/>
      <c r="L23" s="1284"/>
      <c r="M23" s="1284"/>
      <c r="N23" s="1284"/>
      <c r="O23" s="1284"/>
      <c r="P23" s="1284"/>
      <c r="Q23" s="1284"/>
      <c r="R23" s="1284"/>
      <c r="S23" s="1284"/>
      <c r="T23" s="1285"/>
    </row>
    <row r="24" spans="1:20" s="52" customFormat="1" ht="4.5" customHeight="1" x14ac:dyDescent="0.2">
      <c r="B24" s="1476"/>
      <c r="C24" s="1477"/>
      <c r="D24" s="1477"/>
      <c r="E24" s="1477"/>
      <c r="F24" s="1607"/>
      <c r="G24" s="1456"/>
      <c r="H24" s="1456"/>
      <c r="I24" s="1608"/>
      <c r="K24" s="1322"/>
      <c r="L24" s="1323"/>
      <c r="M24" s="1323"/>
      <c r="N24" s="1323"/>
      <c r="O24" s="1323"/>
      <c r="P24" s="1323"/>
      <c r="Q24" s="1323"/>
      <c r="R24" s="1323"/>
      <c r="S24" s="1323"/>
      <c r="T24" s="1324"/>
    </row>
    <row r="25" spans="1:20" ht="12" customHeight="1" x14ac:dyDescent="0.2">
      <c r="A25" s="168"/>
      <c r="B25" s="393" t="s">
        <v>860</v>
      </c>
      <c r="C25" s="361">
        <v>0.14000000000000001</v>
      </c>
      <c r="D25" s="361">
        <f>C25</f>
        <v>0.14000000000000001</v>
      </c>
      <c r="E25" s="1454">
        <f>D25</f>
        <v>0.14000000000000001</v>
      </c>
      <c r="F25" s="1474"/>
      <c r="G25" s="364">
        <f>D12</f>
        <v>2024</v>
      </c>
      <c r="H25" s="1453">
        <f>E12</f>
        <v>2025</v>
      </c>
      <c r="I25" s="1605"/>
      <c r="K25" s="746"/>
      <c r="L25" s="1284"/>
      <c r="M25" s="1284"/>
      <c r="N25" s="1284"/>
      <c r="O25" s="1284"/>
      <c r="P25" s="1284"/>
      <c r="Q25" s="1284"/>
      <c r="R25" s="1284"/>
      <c r="S25" s="1284"/>
      <c r="T25" s="1285"/>
    </row>
    <row r="26" spans="1:20" ht="12" customHeight="1" x14ac:dyDescent="0.2">
      <c r="A26" s="2"/>
      <c r="B26" s="390" t="s">
        <v>358</v>
      </c>
      <c r="C26" s="877">
        <v>2.2999999999999998</v>
      </c>
      <c r="D26" s="877">
        <f>C26*(1+G26)</f>
        <v>2.3689999999999998</v>
      </c>
      <c r="E26" s="1463">
        <f>D26*(1+H26)</f>
        <v>2.44007</v>
      </c>
      <c r="F26" s="1472" t="s">
        <v>652</v>
      </c>
      <c r="G26" s="1454">
        <v>0.03</v>
      </c>
      <c r="H26" s="1455">
        <f>G26</f>
        <v>0.03</v>
      </c>
      <c r="I26" s="1605"/>
      <c r="K26" s="746" t="s">
        <v>864</v>
      </c>
      <c r="L26" s="1284"/>
      <c r="M26" s="1284"/>
      <c r="N26" s="1284"/>
      <c r="O26" s="1284"/>
      <c r="P26" s="1284"/>
      <c r="Q26" s="1284"/>
      <c r="R26" s="1284"/>
      <c r="S26" s="1284"/>
      <c r="T26" s="1285"/>
    </row>
    <row r="27" spans="1:20" ht="12" customHeight="1" x14ac:dyDescent="0.2">
      <c r="B27" s="390" t="s">
        <v>359</v>
      </c>
      <c r="C27" s="879">
        <v>12000</v>
      </c>
      <c r="D27" s="880">
        <f>C27*12/C$13+G27*C27*12/C$13</f>
        <v>13800</v>
      </c>
      <c r="E27" s="1464">
        <f>D27*(1+H27)</f>
        <v>15869.999999999998</v>
      </c>
      <c r="F27" s="1472" t="s">
        <v>650</v>
      </c>
      <c r="G27" s="1454">
        <v>0.15</v>
      </c>
      <c r="H27" s="1455">
        <f>G27</f>
        <v>0.15</v>
      </c>
      <c r="I27" s="1605"/>
      <c r="K27" s="746"/>
      <c r="L27" s="1284"/>
      <c r="M27" s="1284"/>
      <c r="N27" s="1284"/>
      <c r="O27" s="1284"/>
      <c r="P27" s="1284"/>
      <c r="Q27" s="1284"/>
      <c r="R27" s="1284"/>
      <c r="S27" s="1284"/>
      <c r="T27" s="1285"/>
    </row>
    <row r="28" spans="1:20" ht="12" customHeight="1" x14ac:dyDescent="0.2">
      <c r="B28" s="390" t="s">
        <v>360</v>
      </c>
      <c r="C28" s="881">
        <f>IF(C26=0,0,C27*C26/(1+C25))</f>
        <v>24210.52631578947</v>
      </c>
      <c r="D28" s="881">
        <f>IF(D26=0,0,D27*D26/(1+D25))</f>
        <v>28677.368421052626</v>
      </c>
      <c r="E28" s="1465">
        <f>IF(E26=0,0,E27*E26/(1+E25))</f>
        <v>33968.342894736837</v>
      </c>
      <c r="F28" s="1473"/>
      <c r="G28" s="1044"/>
      <c r="H28" s="1044"/>
      <c r="I28" s="1606"/>
      <c r="K28" s="746"/>
      <c r="L28" s="1284"/>
      <c r="M28" s="1284"/>
      <c r="N28" s="1284"/>
      <c r="O28" s="1284"/>
      <c r="P28" s="1284"/>
      <c r="Q28" s="1284"/>
      <c r="R28" s="1284"/>
      <c r="S28" s="1284"/>
      <c r="T28" s="1285"/>
    </row>
    <row r="29" spans="1:20" ht="12" customHeight="1" x14ac:dyDescent="0.2">
      <c r="B29" s="390" t="s">
        <v>361</v>
      </c>
      <c r="C29" s="877">
        <v>0.09</v>
      </c>
      <c r="D29" s="877">
        <f>C29*(1+G29)</f>
        <v>9.2700000000000005E-2</v>
      </c>
      <c r="E29" s="1463">
        <f>D29*(1+H29)</f>
        <v>9.548100000000001E-2</v>
      </c>
      <c r="F29" s="1472" t="s">
        <v>651</v>
      </c>
      <c r="G29" s="1454">
        <v>0.03</v>
      </c>
      <c r="H29" s="1455">
        <f>G29</f>
        <v>0.03</v>
      </c>
      <c r="I29" s="1605"/>
      <c r="K29" s="746"/>
      <c r="L29" s="1284"/>
      <c r="M29" s="1284"/>
      <c r="N29" s="1284"/>
      <c r="O29" s="1284"/>
      <c r="P29" s="1284"/>
      <c r="Q29" s="1284"/>
      <c r="R29" s="1284"/>
      <c r="S29" s="1284"/>
      <c r="T29" s="1285"/>
    </row>
    <row r="30" spans="1:20" ht="12" customHeight="1" x14ac:dyDescent="0.2">
      <c r="B30" s="390" t="s">
        <v>362</v>
      </c>
      <c r="C30" s="362">
        <v>0.1</v>
      </c>
      <c r="D30" s="362">
        <f>C30</f>
        <v>0.1</v>
      </c>
      <c r="E30" s="1454">
        <f>D30</f>
        <v>0.1</v>
      </c>
      <c r="F30" s="1473">
        <v>0</v>
      </c>
      <c r="G30" s="1044"/>
      <c r="H30" s="1044"/>
      <c r="I30" s="1606"/>
      <c r="K30" s="746"/>
      <c r="L30" s="1284"/>
      <c r="M30" s="1284"/>
      <c r="N30" s="1284"/>
      <c r="O30" s="1284"/>
      <c r="P30" s="1284"/>
      <c r="Q30" s="1284"/>
      <c r="R30" s="1284"/>
      <c r="S30" s="1284"/>
      <c r="T30" s="1285"/>
    </row>
    <row r="31" spans="1:20" ht="12" customHeight="1" x14ac:dyDescent="0.2">
      <c r="B31" s="390" t="s">
        <v>363</v>
      </c>
      <c r="C31" s="882">
        <f>IF(C26=0,0,(C26-(C29+(C29*C30)))/C26)</f>
        <v>0.95695652173913037</v>
      </c>
      <c r="D31" s="882">
        <f>IF(D26=0,0,(D26-(D29+(D29*D30)))/D26)</f>
        <v>0.95695652173913037</v>
      </c>
      <c r="E31" s="1466">
        <f>IF(E26=0,0,(E26-(E29+(E29*E30)))/E26)</f>
        <v>0.95695652173913048</v>
      </c>
      <c r="F31" s="1473"/>
      <c r="G31" s="1044"/>
      <c r="H31" s="1044"/>
      <c r="I31" s="1606"/>
      <c r="K31" s="746"/>
      <c r="L31" s="1284"/>
      <c r="M31" s="1284"/>
      <c r="N31" s="1284"/>
      <c r="O31" s="1284"/>
      <c r="P31" s="1284"/>
      <c r="Q31" s="1284"/>
      <c r="R31" s="1284"/>
      <c r="S31" s="1284"/>
      <c r="T31" s="1285"/>
    </row>
    <row r="32" spans="1:20" ht="12" customHeight="1" x14ac:dyDescent="0.2">
      <c r="B32" s="390" t="s">
        <v>710</v>
      </c>
      <c r="C32" s="883">
        <f>IF(C29=0,0,(C29/(1-C30))/(1+C25))</f>
        <v>8.7719298245614016E-2</v>
      </c>
      <c r="D32" s="883">
        <f>IF(D29=0,0,(D29/(1-D30))/(1+D25))</f>
        <v>9.0350877192982459E-2</v>
      </c>
      <c r="E32" s="1467">
        <f>IF(E29=0,0,(E29/(1-E30))/(1+E25))</f>
        <v>9.3061403508771928E-2</v>
      </c>
      <c r="F32" s="1473"/>
      <c r="G32" s="1044"/>
      <c r="H32" s="1044"/>
      <c r="I32" s="1606"/>
      <c r="K32" s="746"/>
      <c r="L32" s="1284"/>
      <c r="M32" s="1284"/>
      <c r="N32" s="1284"/>
      <c r="O32" s="1284"/>
      <c r="P32" s="1284"/>
      <c r="Q32" s="1284"/>
      <c r="R32" s="1284"/>
      <c r="S32" s="1284"/>
      <c r="T32" s="1285"/>
    </row>
    <row r="33" spans="2:20" ht="12" customHeight="1" x14ac:dyDescent="0.2">
      <c r="B33" s="390" t="s">
        <v>711</v>
      </c>
      <c r="C33" s="881">
        <f>C32*C27</f>
        <v>1052.6315789473681</v>
      </c>
      <c r="D33" s="881">
        <f>D32*D27</f>
        <v>1246.8421052631579</v>
      </c>
      <c r="E33" s="1465">
        <f>E32*E27</f>
        <v>1476.8844736842104</v>
      </c>
      <c r="F33" s="1473"/>
      <c r="G33" s="1044"/>
      <c r="H33" s="1044"/>
      <c r="I33" s="1606"/>
      <c r="K33" s="746"/>
      <c r="L33" s="1284"/>
      <c r="M33" s="1284"/>
      <c r="N33" s="1284"/>
      <c r="O33" s="1284"/>
      <c r="P33" s="1284"/>
      <c r="Q33" s="1284"/>
      <c r="R33" s="1284"/>
      <c r="S33" s="1284"/>
      <c r="T33" s="1285"/>
    </row>
    <row r="34" spans="2:20" s="52" customFormat="1" ht="4.5" customHeight="1" x14ac:dyDescent="0.2">
      <c r="B34" s="1476"/>
      <c r="C34" s="1477"/>
      <c r="D34" s="1477"/>
      <c r="E34" s="1477"/>
      <c r="F34" s="1607"/>
      <c r="G34" s="1456"/>
      <c r="H34" s="1456"/>
      <c r="I34" s="1608"/>
      <c r="K34" s="1322"/>
      <c r="L34" s="1323"/>
      <c r="M34" s="1323"/>
      <c r="N34" s="1323"/>
      <c r="O34" s="1323"/>
      <c r="P34" s="1323"/>
      <c r="Q34" s="1323"/>
      <c r="R34" s="1323"/>
      <c r="S34" s="1323"/>
      <c r="T34" s="1324"/>
    </row>
    <row r="35" spans="2:20" ht="12" customHeight="1" x14ac:dyDescent="0.2">
      <c r="B35" s="393" t="s">
        <v>861</v>
      </c>
      <c r="C35" s="361">
        <v>0.14000000000000001</v>
      </c>
      <c r="D35" s="361">
        <f>C35</f>
        <v>0.14000000000000001</v>
      </c>
      <c r="E35" s="1454">
        <f>D35</f>
        <v>0.14000000000000001</v>
      </c>
      <c r="F35" s="1474"/>
      <c r="G35" s="1453">
        <f>D12</f>
        <v>2024</v>
      </c>
      <c r="H35" s="1453">
        <f>E12</f>
        <v>2025</v>
      </c>
      <c r="I35" s="1605"/>
      <c r="K35" s="746"/>
      <c r="L35" s="1284"/>
      <c r="M35" s="1284"/>
      <c r="N35" s="1284"/>
      <c r="O35" s="1284"/>
      <c r="P35" s="1284"/>
      <c r="Q35" s="1284"/>
      <c r="R35" s="1284"/>
      <c r="S35" s="1284"/>
      <c r="T35" s="1285"/>
    </row>
    <row r="36" spans="2:20" ht="12" customHeight="1" x14ac:dyDescent="0.2">
      <c r="B36" s="390" t="s">
        <v>358</v>
      </c>
      <c r="C36" s="877">
        <v>2.6</v>
      </c>
      <c r="D36" s="877">
        <f>C36*(1+G36)</f>
        <v>2.6780000000000004</v>
      </c>
      <c r="E36" s="1463">
        <f>D36*(1+H36)</f>
        <v>2.7583400000000005</v>
      </c>
      <c r="F36" s="1472" t="s">
        <v>652</v>
      </c>
      <c r="G36" s="1454">
        <v>0.03</v>
      </c>
      <c r="H36" s="1455">
        <f>G36</f>
        <v>0.03</v>
      </c>
      <c r="I36" s="1605"/>
      <c r="K36" s="1320" t="s">
        <v>865</v>
      </c>
      <c r="L36" s="1284"/>
      <c r="M36" s="1284"/>
      <c r="N36" s="1284"/>
      <c r="O36" s="1284"/>
      <c r="P36" s="1284"/>
      <c r="Q36" s="1284"/>
      <c r="R36" s="1284"/>
      <c r="S36" s="1284"/>
      <c r="T36" s="1285"/>
    </row>
    <row r="37" spans="2:20" ht="12" customHeight="1" x14ac:dyDescent="0.2">
      <c r="B37" s="390" t="s">
        <v>359</v>
      </c>
      <c r="C37" s="880">
        <v>8000</v>
      </c>
      <c r="D37" s="880">
        <f>C37*12/C$13+G37*C37*12/C$13</f>
        <v>8000</v>
      </c>
      <c r="E37" s="1468">
        <f>D37*(1+H37)</f>
        <v>8000</v>
      </c>
      <c r="F37" s="1472" t="s">
        <v>650</v>
      </c>
      <c r="G37" s="1454">
        <v>0</v>
      </c>
      <c r="H37" s="1455">
        <f>G37</f>
        <v>0</v>
      </c>
      <c r="I37" s="1605"/>
      <c r="K37" s="746"/>
      <c r="L37" s="1284"/>
      <c r="M37" s="1284"/>
      <c r="N37" s="1284"/>
      <c r="O37" s="1284"/>
      <c r="P37" s="1284"/>
      <c r="Q37" s="1284"/>
      <c r="R37" s="1284"/>
      <c r="S37" s="1284"/>
      <c r="T37" s="1285"/>
    </row>
    <row r="38" spans="2:20" ht="12" customHeight="1" x14ac:dyDescent="0.2">
      <c r="B38" s="390" t="s">
        <v>360</v>
      </c>
      <c r="C38" s="881">
        <f>IF(C36=0,0,C37*C36/(1+C35))</f>
        <v>18245.614035087718</v>
      </c>
      <c r="D38" s="881">
        <f>IF(D36=0,0,D37*D36/(1+D35))</f>
        <v>18792.982456140351</v>
      </c>
      <c r="E38" s="1465">
        <f>IF(E36=0,0,E37*E36/(1+E35))</f>
        <v>19356.771929824565</v>
      </c>
      <c r="F38" s="1473"/>
      <c r="G38" s="1044"/>
      <c r="H38" s="1044"/>
      <c r="I38" s="1606"/>
      <c r="K38" s="746"/>
      <c r="L38" s="1284"/>
      <c r="M38" s="1284"/>
      <c r="N38" s="1284"/>
      <c r="O38" s="1284"/>
      <c r="P38" s="1284"/>
      <c r="Q38" s="1284"/>
      <c r="R38" s="1284"/>
      <c r="S38" s="1284"/>
      <c r="T38" s="1285"/>
    </row>
    <row r="39" spans="2:20" ht="12" customHeight="1" x14ac:dyDescent="0.2">
      <c r="B39" s="390" t="s">
        <v>361</v>
      </c>
      <c r="C39" s="877">
        <v>1.1499999999999999</v>
      </c>
      <c r="D39" s="877">
        <f>C39*(1+G39)</f>
        <v>1.1844999999999999</v>
      </c>
      <c r="E39" s="1463">
        <f>D39*(1+H39)</f>
        <v>1.220035</v>
      </c>
      <c r="F39" s="1472" t="s">
        <v>651</v>
      </c>
      <c r="G39" s="1454">
        <v>0.03</v>
      </c>
      <c r="H39" s="1455">
        <f>G39</f>
        <v>0.03</v>
      </c>
      <c r="I39" s="1605"/>
      <c r="K39" s="746"/>
      <c r="L39" s="1284"/>
      <c r="M39" s="1284"/>
      <c r="N39" s="1284"/>
      <c r="O39" s="1284"/>
      <c r="P39" s="1284"/>
      <c r="Q39" s="1284"/>
      <c r="R39" s="1284"/>
      <c r="S39" s="1284"/>
      <c r="T39" s="1285"/>
    </row>
    <row r="40" spans="2:20" ht="12" customHeight="1" x14ac:dyDescent="0.2">
      <c r="B40" s="390" t="s">
        <v>362</v>
      </c>
      <c r="C40" s="362">
        <v>0.2</v>
      </c>
      <c r="D40" s="362">
        <f>C40</f>
        <v>0.2</v>
      </c>
      <c r="E40" s="1454">
        <f>D40</f>
        <v>0.2</v>
      </c>
      <c r="F40" s="1473"/>
      <c r="G40" s="1044"/>
      <c r="H40" s="1044"/>
      <c r="I40" s="1606"/>
      <c r="K40" s="746"/>
      <c r="L40" s="1284"/>
      <c r="M40" s="1284"/>
      <c r="N40" s="1284"/>
      <c r="O40" s="1284"/>
      <c r="P40" s="1284"/>
      <c r="Q40" s="1284"/>
      <c r="R40" s="1284"/>
      <c r="S40" s="1284"/>
      <c r="T40" s="1285"/>
    </row>
    <row r="41" spans="2:20" ht="12" customHeight="1" x14ac:dyDescent="0.2">
      <c r="B41" s="390" t="s">
        <v>363</v>
      </c>
      <c r="C41" s="882">
        <f>IF(C36=0,0,(C36-(C39+(C39*C40)))/C36)</f>
        <v>0.46923076923076928</v>
      </c>
      <c r="D41" s="882">
        <f>IF(D36=0,0,(D36-(D39+(D39*D40)))/D36)</f>
        <v>0.4692307692307694</v>
      </c>
      <c r="E41" s="1466">
        <f>IF(E36=0,0,(E36-(E39+(E39*E40)))/E36)</f>
        <v>0.46923076923076928</v>
      </c>
      <c r="F41" s="1473"/>
      <c r="G41" s="1044"/>
      <c r="H41" s="1044"/>
      <c r="I41" s="1606"/>
      <c r="K41" s="746"/>
      <c r="L41" s="1284"/>
      <c r="M41" s="1284"/>
      <c r="N41" s="1284"/>
      <c r="O41" s="1284"/>
      <c r="P41" s="1284"/>
      <c r="Q41" s="1284"/>
      <c r="R41" s="1284"/>
      <c r="S41" s="1284"/>
      <c r="T41" s="1285"/>
    </row>
    <row r="42" spans="2:20" ht="12" customHeight="1" x14ac:dyDescent="0.2">
      <c r="B42" s="390" t="s">
        <v>364</v>
      </c>
      <c r="C42" s="883">
        <f>IF(C39=0,0,(C39/(1-C40))/(1+C35))</f>
        <v>1.2609649122807014</v>
      </c>
      <c r="D42" s="883">
        <f>IF(D39=0,0,(D39/(1-D40))/(1+D35))</f>
        <v>1.2987938596491226</v>
      </c>
      <c r="E42" s="1467">
        <f>IF(E39=0,0,(E39/(1-E40))/(1+E35))</f>
        <v>1.3377576754385962</v>
      </c>
      <c r="F42" s="1473"/>
      <c r="G42" s="1044"/>
      <c r="H42" s="1044"/>
      <c r="I42" s="1606"/>
      <c r="K42" s="746"/>
      <c r="L42" s="1284"/>
      <c r="M42" s="1284"/>
      <c r="N42" s="1284"/>
      <c r="O42" s="1284"/>
      <c r="P42" s="1284"/>
      <c r="Q42" s="1284"/>
      <c r="R42" s="1284"/>
      <c r="S42" s="1284"/>
      <c r="T42" s="1285"/>
    </row>
    <row r="43" spans="2:20" ht="12" customHeight="1" x14ac:dyDescent="0.2">
      <c r="B43" s="390" t="s">
        <v>365</v>
      </c>
      <c r="C43" s="881">
        <f>C42*C37</f>
        <v>10087.719298245611</v>
      </c>
      <c r="D43" s="881">
        <f>D42*D37</f>
        <v>10390.350877192981</v>
      </c>
      <c r="E43" s="1465">
        <f>E42*E37</f>
        <v>10702.061403508769</v>
      </c>
      <c r="F43" s="1473"/>
      <c r="G43" s="1044"/>
      <c r="H43" s="1044"/>
      <c r="I43" s="1606"/>
      <c r="K43" s="746"/>
      <c r="L43" s="1284"/>
      <c r="M43" s="1284"/>
      <c r="N43" s="1284"/>
      <c r="O43" s="1284"/>
      <c r="P43" s="1284"/>
      <c r="Q43" s="1284"/>
      <c r="R43" s="1284"/>
      <c r="S43" s="1284"/>
      <c r="T43" s="1285"/>
    </row>
    <row r="44" spans="2:20" s="52" customFormat="1" ht="4.5" customHeight="1" x14ac:dyDescent="0.2">
      <c r="B44" s="1476"/>
      <c r="C44" s="1477"/>
      <c r="D44" s="1477"/>
      <c r="E44" s="1477"/>
      <c r="F44" s="1611"/>
      <c r="G44" s="1457"/>
      <c r="H44" s="1457"/>
      <c r="I44" s="1608"/>
      <c r="K44" s="1322"/>
      <c r="L44" s="1323"/>
      <c r="M44" s="1323"/>
      <c r="N44" s="1323"/>
      <c r="O44" s="1323"/>
      <c r="P44" s="1323"/>
      <c r="Q44" s="1323"/>
      <c r="R44" s="1323"/>
      <c r="S44" s="1323"/>
      <c r="T44" s="1324"/>
    </row>
    <row r="45" spans="2:20" ht="12" customHeight="1" x14ac:dyDescent="0.2">
      <c r="B45" s="393" t="s">
        <v>862</v>
      </c>
      <c r="C45" s="361">
        <v>0.14000000000000001</v>
      </c>
      <c r="D45" s="361">
        <f>C45</f>
        <v>0.14000000000000001</v>
      </c>
      <c r="E45" s="1454">
        <f>D45</f>
        <v>0.14000000000000001</v>
      </c>
      <c r="F45" s="1474"/>
      <c r="G45" s="364">
        <f>G$25</f>
        <v>2024</v>
      </c>
      <c r="H45" s="364">
        <f>H$25</f>
        <v>2025</v>
      </c>
      <c r="I45" s="1605"/>
      <c r="K45" s="746"/>
      <c r="L45" s="1284"/>
      <c r="M45" s="1284"/>
      <c r="N45" s="1284"/>
      <c r="O45" s="1284"/>
      <c r="P45" s="1284"/>
      <c r="Q45" s="1284"/>
      <c r="R45" s="1284"/>
      <c r="S45" s="1284"/>
      <c r="T45" s="1285"/>
    </row>
    <row r="46" spans="2:20" ht="12" customHeight="1" x14ac:dyDescent="0.2">
      <c r="B46" s="390" t="s">
        <v>358</v>
      </c>
      <c r="C46" s="877">
        <v>4.5</v>
      </c>
      <c r="D46" s="885">
        <f>C46*(1+G46)</f>
        <v>4.6349999999999998</v>
      </c>
      <c r="E46" s="1469">
        <f>D46*(1+H46)</f>
        <v>4.7740499999999999</v>
      </c>
      <c r="F46" s="1472" t="s">
        <v>652</v>
      </c>
      <c r="G46" s="1454">
        <v>0.03</v>
      </c>
      <c r="H46" s="1455">
        <f>G46</f>
        <v>0.03</v>
      </c>
      <c r="I46" s="1605"/>
      <c r="K46" s="746" t="s">
        <v>866</v>
      </c>
      <c r="L46" s="1284"/>
      <c r="M46" s="1284"/>
      <c r="N46" s="1284"/>
      <c r="O46" s="1284"/>
      <c r="P46" s="1284"/>
      <c r="Q46" s="1284"/>
      <c r="R46" s="1284"/>
      <c r="S46" s="1284"/>
      <c r="T46" s="1285"/>
    </row>
    <row r="47" spans="2:20" ht="12" customHeight="1" x14ac:dyDescent="0.2">
      <c r="B47" s="390" t="s">
        <v>359</v>
      </c>
      <c r="C47" s="880">
        <v>3000</v>
      </c>
      <c r="D47" s="879">
        <f>C47*12/C$13+G47*C47*12/C$13</f>
        <v>3450</v>
      </c>
      <c r="E47" s="1468">
        <f>D47*(1+H47)</f>
        <v>3967.4999999999995</v>
      </c>
      <c r="F47" s="1472" t="s">
        <v>650</v>
      </c>
      <c r="G47" s="1454">
        <v>0.15</v>
      </c>
      <c r="H47" s="1455">
        <f>G47</f>
        <v>0.15</v>
      </c>
      <c r="I47" s="1605"/>
      <c r="K47" s="746"/>
      <c r="L47" s="1284"/>
      <c r="M47" s="1284"/>
      <c r="N47" s="1284"/>
      <c r="O47" s="1284"/>
      <c r="P47" s="1284"/>
      <c r="Q47" s="1284"/>
      <c r="R47" s="1284"/>
      <c r="S47" s="1284"/>
      <c r="T47" s="1285"/>
    </row>
    <row r="48" spans="2:20" ht="12" customHeight="1" x14ac:dyDescent="0.2">
      <c r="B48" s="390" t="s">
        <v>360</v>
      </c>
      <c r="C48" s="881">
        <f>IF(C46=0,0,C47*C46/(1+C45))</f>
        <v>11842.105263157893</v>
      </c>
      <c r="D48" s="881">
        <f>IF(D46=0,0,D47*D46/(1+D45))</f>
        <v>14026.973684210525</v>
      </c>
      <c r="E48" s="1465">
        <f>IF(E46=0,0,E47*E46/(1+E45))</f>
        <v>16614.950328947365</v>
      </c>
      <c r="F48" s="1473"/>
      <c r="G48" s="1044"/>
      <c r="H48" s="1044"/>
      <c r="I48" s="1606"/>
      <c r="K48" s="746"/>
      <c r="L48" s="1284"/>
      <c r="M48" s="1284"/>
      <c r="N48" s="1284"/>
      <c r="O48" s="1284"/>
      <c r="P48" s="1284"/>
      <c r="Q48" s="1284"/>
      <c r="R48" s="1284"/>
      <c r="S48" s="1284"/>
      <c r="T48" s="1285"/>
    </row>
    <row r="49" spans="2:20" ht="12" customHeight="1" x14ac:dyDescent="0.2">
      <c r="B49" s="390" t="s">
        <v>360</v>
      </c>
      <c r="C49" s="877">
        <v>1.5</v>
      </c>
      <c r="D49" s="878">
        <f>C49*(1+G49)</f>
        <v>1.5449999999999999</v>
      </c>
      <c r="E49" s="1463">
        <f>D49*(1+H49)</f>
        <v>1.59135</v>
      </c>
      <c r="F49" s="1472" t="s">
        <v>651</v>
      </c>
      <c r="G49" s="1454">
        <v>0.03</v>
      </c>
      <c r="H49" s="1455">
        <f>G49</f>
        <v>0.03</v>
      </c>
      <c r="I49" s="1605"/>
      <c r="K49" s="746"/>
      <c r="L49" s="1284"/>
      <c r="M49" s="1284"/>
      <c r="N49" s="1284"/>
      <c r="O49" s="1284"/>
      <c r="P49" s="1284"/>
      <c r="Q49" s="1284"/>
      <c r="R49" s="1284"/>
      <c r="S49" s="1284"/>
      <c r="T49" s="1285"/>
    </row>
    <row r="50" spans="2:20" ht="12" customHeight="1" x14ac:dyDescent="0.2">
      <c r="B50" s="390" t="s">
        <v>362</v>
      </c>
      <c r="C50" s="362">
        <v>0.1</v>
      </c>
      <c r="D50" s="361">
        <f>C50</f>
        <v>0.1</v>
      </c>
      <c r="E50" s="1454">
        <f>D50</f>
        <v>0.1</v>
      </c>
      <c r="F50" s="1473"/>
      <c r="G50" s="1044"/>
      <c r="H50" s="1044"/>
      <c r="I50" s="1606"/>
      <c r="K50" s="746"/>
      <c r="L50" s="1284"/>
      <c r="M50" s="1284"/>
      <c r="N50" s="1284"/>
      <c r="O50" s="1284"/>
      <c r="P50" s="1284"/>
      <c r="Q50" s="1284">
        <v>0</v>
      </c>
      <c r="R50" s="1284"/>
      <c r="S50" s="1284"/>
      <c r="T50" s="1285"/>
    </row>
    <row r="51" spans="2:20" ht="12" customHeight="1" x14ac:dyDescent="0.2">
      <c r="B51" s="390" t="s">
        <v>363</v>
      </c>
      <c r="C51" s="882">
        <f>IF(C46=0,0,(C46-(C49+(C49*C50)))/C46)</f>
        <v>0.6333333333333333</v>
      </c>
      <c r="D51" s="882">
        <f>IF(D46=0,0,(D46-(D49+(D49*D50)))/D46)</f>
        <v>0.6333333333333333</v>
      </c>
      <c r="E51" s="1466">
        <f>IF(E46=0,0,(E46-(E49+(E49*E50)))/E46)</f>
        <v>0.6333333333333333</v>
      </c>
      <c r="F51" s="1473"/>
      <c r="G51" s="1044"/>
      <c r="H51" s="1044"/>
      <c r="I51" s="1606"/>
      <c r="K51" s="746"/>
      <c r="L51" s="1284"/>
      <c r="M51" s="1284"/>
      <c r="N51" s="1284"/>
      <c r="O51" s="1284"/>
      <c r="P51" s="1284"/>
      <c r="Q51" s="1284"/>
      <c r="R51" s="1284"/>
      <c r="S51" s="1284"/>
      <c r="T51" s="1285"/>
    </row>
    <row r="52" spans="2:20" ht="12" customHeight="1" x14ac:dyDescent="0.2">
      <c r="B52" s="390" t="s">
        <v>710</v>
      </c>
      <c r="C52" s="883">
        <f>IF(C49=0,0,(C49/(1-C50))/(1+C45))</f>
        <v>1.4619883040935671</v>
      </c>
      <c r="D52" s="883">
        <f>IF(D49=0,0,(D49/(1-D50))/(1+D45))</f>
        <v>1.505847953216374</v>
      </c>
      <c r="E52" s="1467">
        <f>IF(E49=0,0,(E49/(1-E50))/(1+E45))</f>
        <v>1.5510233918128653</v>
      </c>
      <c r="F52" s="1473"/>
      <c r="G52" s="1044"/>
      <c r="H52" s="1044"/>
      <c r="I52" s="1606"/>
      <c r="K52" s="746"/>
      <c r="L52" s="1284"/>
      <c r="M52" s="1284"/>
      <c r="N52" s="1284"/>
      <c r="O52" s="1284"/>
      <c r="P52" s="1284"/>
      <c r="Q52" s="1284"/>
      <c r="R52" s="1284"/>
      <c r="S52" s="1284"/>
      <c r="T52" s="1285"/>
    </row>
    <row r="53" spans="2:20" ht="12" customHeight="1" x14ac:dyDescent="0.2">
      <c r="B53" s="390" t="s">
        <v>711</v>
      </c>
      <c r="C53" s="881">
        <f>C52*C47</f>
        <v>4385.9649122807014</v>
      </c>
      <c r="D53" s="881">
        <f>D52*D47</f>
        <v>5195.1754385964905</v>
      </c>
      <c r="E53" s="1465">
        <f>E52*E47</f>
        <v>6153.6853070175421</v>
      </c>
      <c r="F53" s="1473" t="s">
        <v>0</v>
      </c>
      <c r="G53" s="1044"/>
      <c r="H53" s="1044"/>
      <c r="I53" s="1606"/>
      <c r="K53" s="746"/>
      <c r="L53" s="1284"/>
      <c r="M53" s="1284"/>
      <c r="N53" s="1284"/>
      <c r="O53" s="1284"/>
      <c r="P53" s="1284"/>
      <c r="Q53" s="1284"/>
      <c r="R53" s="1284"/>
      <c r="S53" s="1284"/>
      <c r="T53" s="1285"/>
    </row>
    <row r="54" spans="2:20" s="52" customFormat="1" ht="4.5" customHeight="1" x14ac:dyDescent="0.2">
      <c r="B54" s="1476"/>
      <c r="C54" s="1477"/>
      <c r="D54" s="1477"/>
      <c r="E54" s="1477"/>
      <c r="F54" s="1611"/>
      <c r="G54" s="1457"/>
      <c r="H54" s="1457"/>
      <c r="I54" s="1608"/>
      <c r="K54" s="1322"/>
      <c r="L54" s="1323"/>
      <c r="M54" s="1323"/>
      <c r="N54" s="1323"/>
      <c r="O54" s="1323"/>
      <c r="P54" s="1323"/>
      <c r="Q54" s="1323"/>
      <c r="R54" s="1323"/>
      <c r="S54" s="1323"/>
      <c r="T54" s="1324"/>
    </row>
    <row r="55" spans="2:20" ht="12" customHeight="1" x14ac:dyDescent="0.2">
      <c r="B55" s="393" t="s">
        <v>708</v>
      </c>
      <c r="C55" s="361">
        <v>0.24</v>
      </c>
      <c r="D55" s="361">
        <f>C55</f>
        <v>0.24</v>
      </c>
      <c r="E55" s="1454">
        <f>D55</f>
        <v>0.24</v>
      </c>
      <c r="F55" s="1474"/>
      <c r="G55" s="364">
        <f>G$25</f>
        <v>2024</v>
      </c>
      <c r="H55" s="364">
        <f>H$25</f>
        <v>2025</v>
      </c>
      <c r="I55" s="1605"/>
      <c r="K55" s="746"/>
      <c r="L55" s="1284"/>
      <c r="M55" s="1284"/>
      <c r="N55" s="1284"/>
      <c r="O55" s="1284"/>
      <c r="P55" s="1284"/>
      <c r="Q55" s="1284"/>
      <c r="R55" s="1284"/>
      <c r="S55" s="1284"/>
      <c r="T55" s="1285"/>
    </row>
    <row r="56" spans="2:20" ht="12" customHeight="1" x14ac:dyDescent="0.2">
      <c r="B56" s="390" t="s">
        <v>358</v>
      </c>
      <c r="C56" s="1592">
        <v>0</v>
      </c>
      <c r="D56" s="878">
        <f>C56*(1+G56)</f>
        <v>0</v>
      </c>
      <c r="E56" s="1463">
        <f>D56*(1+H56)</f>
        <v>0</v>
      </c>
      <c r="F56" s="1472" t="s">
        <v>652</v>
      </c>
      <c r="G56" s="1454">
        <v>0.03</v>
      </c>
      <c r="H56" s="1455">
        <f>G56</f>
        <v>0.03</v>
      </c>
      <c r="I56" s="1605"/>
      <c r="K56" s="746"/>
      <c r="L56" s="1284"/>
      <c r="M56" s="1284"/>
      <c r="N56" s="1284"/>
      <c r="O56" s="1284"/>
      <c r="P56" s="1284"/>
      <c r="Q56" s="1284"/>
      <c r="R56" s="1284"/>
      <c r="S56" s="1284"/>
      <c r="T56" s="1285"/>
    </row>
    <row r="57" spans="2:20" ht="12" customHeight="1" x14ac:dyDescent="0.2">
      <c r="B57" s="390" t="s">
        <v>359</v>
      </c>
      <c r="C57" s="1593">
        <v>0</v>
      </c>
      <c r="D57" s="879">
        <f>C57*12/C$13+G57*C57*12/C$13</f>
        <v>0</v>
      </c>
      <c r="E57" s="1468">
        <f>D57*(1+H57)</f>
        <v>0</v>
      </c>
      <c r="F57" s="1472" t="s">
        <v>650</v>
      </c>
      <c r="G57" s="1454">
        <v>0</v>
      </c>
      <c r="H57" s="1455">
        <f>G57</f>
        <v>0</v>
      </c>
      <c r="I57" s="1605"/>
      <c r="K57" s="746"/>
      <c r="L57" s="1284"/>
      <c r="M57" s="1284"/>
      <c r="N57" s="1284"/>
      <c r="O57" s="1284"/>
      <c r="P57" s="1284"/>
      <c r="Q57" s="1284"/>
      <c r="R57" s="1284"/>
      <c r="S57" s="1284"/>
      <c r="T57" s="1285"/>
    </row>
    <row r="58" spans="2:20" ht="12" customHeight="1" x14ac:dyDescent="0.2">
      <c r="B58" s="390" t="s">
        <v>813</v>
      </c>
      <c r="C58" s="1593">
        <v>0</v>
      </c>
      <c r="D58" s="878">
        <f>C58*(1+G58)</f>
        <v>0</v>
      </c>
      <c r="E58" s="1463">
        <f>D58*(1+H58)</f>
        <v>0</v>
      </c>
      <c r="F58" s="1472" t="s">
        <v>652</v>
      </c>
      <c r="G58" s="1454">
        <v>0.03</v>
      </c>
      <c r="H58" s="1455">
        <f>G58</f>
        <v>0.03</v>
      </c>
      <c r="I58" s="1605"/>
      <c r="K58" s="746"/>
      <c r="L58" s="1284"/>
      <c r="M58" s="1284"/>
      <c r="N58" s="1284"/>
      <c r="O58" s="1284"/>
      <c r="P58" s="1284"/>
      <c r="Q58" s="1284"/>
      <c r="R58" s="1284"/>
      <c r="S58" s="1284"/>
      <c r="T58" s="1285"/>
    </row>
    <row r="59" spans="2:20" ht="12" customHeight="1" x14ac:dyDescent="0.2">
      <c r="B59" s="390" t="s">
        <v>362</v>
      </c>
      <c r="C59" s="994">
        <v>0</v>
      </c>
      <c r="D59" s="995">
        <f>C59</f>
        <v>0</v>
      </c>
      <c r="E59" s="1470">
        <f>D59</f>
        <v>0</v>
      </c>
      <c r="F59" s="1473"/>
      <c r="G59" s="1044"/>
      <c r="H59" s="1044"/>
      <c r="I59" s="1606"/>
      <c r="K59" s="746"/>
      <c r="L59" s="1284"/>
      <c r="M59" s="1284"/>
      <c r="N59" s="1284"/>
      <c r="O59" s="1284"/>
      <c r="P59" s="1284"/>
      <c r="Q59" s="1284"/>
      <c r="R59" s="1284"/>
      <c r="S59" s="1284"/>
      <c r="T59" s="1285"/>
    </row>
    <row r="60" spans="2:20" s="966" customFormat="1" ht="12" customHeight="1" x14ac:dyDescent="0.2">
      <c r="B60" s="390" t="s">
        <v>709</v>
      </c>
      <c r="C60" s="985">
        <f>IF(C56=0,0,C57*C56-'AT2 Myynnin alv'!B12)</f>
        <v>0</v>
      </c>
      <c r="D60" s="985">
        <f>IF(D56=0,0,D57*D56-'AT2 Myynnin alv'!C12)</f>
        <v>0</v>
      </c>
      <c r="E60" s="1471">
        <f>IF(E56=0,0,E57*E56-'AT2 Myynnin alv'!D12)</f>
        <v>0</v>
      </c>
      <c r="F60" s="1473"/>
      <c r="G60" s="1044"/>
      <c r="H60" s="1044"/>
      <c r="I60" s="1606"/>
      <c r="K60" s="746"/>
      <c r="L60" s="1284"/>
      <c r="M60" s="1284"/>
      <c r="N60" s="1284"/>
      <c r="O60" s="1284"/>
      <c r="P60" s="1284"/>
      <c r="Q60" s="1284"/>
      <c r="R60" s="1284"/>
      <c r="S60" s="1284"/>
      <c r="T60" s="1285"/>
    </row>
    <row r="61" spans="2:20" ht="12" customHeight="1" x14ac:dyDescent="0.2">
      <c r="B61" s="390" t="s">
        <v>363</v>
      </c>
      <c r="C61" s="882">
        <f>IF(C58=0,0,(C60-C63)/C60)</f>
        <v>0</v>
      </c>
      <c r="D61" s="882">
        <f t="shared" ref="D61:E61" si="0">IF(D58=0,0,(D60-D63)/D60)</f>
        <v>0</v>
      </c>
      <c r="E61" s="1466">
        <f t="shared" si="0"/>
        <v>0</v>
      </c>
      <c r="F61" s="1473"/>
      <c r="G61" s="1044"/>
      <c r="H61" s="1044"/>
      <c r="I61" s="1606"/>
      <c r="K61" s="746"/>
      <c r="L61" s="1284"/>
      <c r="M61" s="1284"/>
      <c r="N61" s="1284"/>
      <c r="O61" s="1284"/>
      <c r="P61" s="1284"/>
      <c r="Q61" s="1284"/>
      <c r="R61" s="1284"/>
      <c r="S61" s="1284"/>
      <c r="T61" s="1285"/>
    </row>
    <row r="62" spans="2:20" ht="12" customHeight="1" x14ac:dyDescent="0.2">
      <c r="B62" s="390" t="s">
        <v>710</v>
      </c>
      <c r="C62" s="883">
        <f>IF(C58=0,0,(C58/(1-C59)))</f>
        <v>0</v>
      </c>
      <c r="D62" s="883">
        <f t="shared" ref="D62:E62" si="1">IF(D58=0,0,(D58/(1-D59)))</f>
        <v>0</v>
      </c>
      <c r="E62" s="1467">
        <f t="shared" si="1"/>
        <v>0</v>
      </c>
      <c r="F62" s="1473"/>
      <c r="G62" s="1044"/>
      <c r="H62" s="1044"/>
      <c r="I62" s="1606"/>
      <c r="K62" s="746"/>
      <c r="L62" s="1284"/>
      <c r="M62" s="1284"/>
      <c r="N62" s="1284"/>
      <c r="O62" s="1284"/>
      <c r="P62" s="1284"/>
      <c r="Q62" s="1284"/>
      <c r="R62" s="1284"/>
      <c r="S62" s="1284"/>
      <c r="T62" s="1285"/>
    </row>
    <row r="63" spans="2:20" ht="12" customHeight="1" x14ac:dyDescent="0.2">
      <c r="B63" s="390" t="s">
        <v>711</v>
      </c>
      <c r="C63" s="881">
        <f>C62*C57</f>
        <v>0</v>
      </c>
      <c r="D63" s="881">
        <f t="shared" ref="D63:E63" si="2">D62*D57</f>
        <v>0</v>
      </c>
      <c r="E63" s="1465">
        <f t="shared" si="2"/>
        <v>0</v>
      </c>
      <c r="F63" s="1612" t="s">
        <v>0</v>
      </c>
      <c r="G63" s="1613"/>
      <c r="H63" s="1613"/>
      <c r="I63" s="1614"/>
      <c r="K63" s="1325"/>
      <c r="L63" s="1272"/>
      <c r="M63" s="1272"/>
      <c r="N63" s="1272"/>
      <c r="O63" s="1272"/>
      <c r="P63" s="1272"/>
      <c r="Q63" s="1272"/>
      <c r="R63" s="1272"/>
      <c r="S63" s="1272"/>
      <c r="T63" s="1293"/>
    </row>
    <row r="64" spans="2:20" ht="4.5" customHeight="1" x14ac:dyDescent="0.2">
      <c r="B64" s="394"/>
      <c r="C64" s="886"/>
      <c r="D64" s="886"/>
      <c r="E64" s="886"/>
      <c r="F64" s="365"/>
      <c r="G64" s="365"/>
      <c r="H64" s="363"/>
      <c r="I64" s="387"/>
    </row>
    <row r="65" spans="1:20" ht="12.75" customHeight="1" x14ac:dyDescent="0.2">
      <c r="B65" s="1459" t="s">
        <v>664</v>
      </c>
      <c r="C65" s="1460">
        <f>C16*C17+C26*C27+C36*C37+C46*C47+C56*C57</f>
        <v>299400</v>
      </c>
      <c r="D65" s="1460">
        <f>D16*D17+D26*D27+D36*D37+D46*D47+D56*D57</f>
        <v>339194.45</v>
      </c>
      <c r="E65" s="1460">
        <f>E16*E17+E26*E27+E36*E37+E46*E47+E56*E57</f>
        <v>376293.00802500005</v>
      </c>
      <c r="F65" s="365"/>
      <c r="G65" s="365"/>
      <c r="H65" s="363"/>
      <c r="I65" s="387"/>
    </row>
    <row r="66" spans="1:20" ht="12" customHeight="1" x14ac:dyDescent="0.2">
      <c r="B66" s="1461" t="s">
        <v>665</v>
      </c>
      <c r="C66" s="1460">
        <f>C18+C28+C38+C48+C60</f>
        <v>262631.57894736843</v>
      </c>
      <c r="D66" s="1460">
        <f t="shared" ref="D66:E66" si="3">D18+D28+D38+D48+D60</f>
        <v>297538.99122807011</v>
      </c>
      <c r="E66" s="1460">
        <f t="shared" si="3"/>
        <v>330081.58598684205</v>
      </c>
      <c r="F66" s="363"/>
      <c r="G66" s="363"/>
      <c r="H66" s="363"/>
      <c r="I66" s="387"/>
    </row>
    <row r="67" spans="1:20" s="966" customFormat="1" ht="12" customHeight="1" x14ac:dyDescent="0.2">
      <c r="B67" s="1461" t="s">
        <v>746</v>
      </c>
      <c r="C67" s="1460">
        <f>C53+C53*C45+C43+C43*C35+C33+C33*C25+C23+C23*C15</f>
        <v>144366.66666666666</v>
      </c>
      <c r="D67" s="1460">
        <f t="shared" ref="D67:E67" si="4">D53+D53*D45+D43+D43*D35+D33+D33*D25+D23+D23*D15</f>
        <v>162702.23333333331</v>
      </c>
      <c r="E67" s="1460">
        <f t="shared" si="4"/>
        <v>179065.24421666664</v>
      </c>
      <c r="F67" s="363"/>
      <c r="G67" s="363"/>
      <c r="H67" s="363"/>
      <c r="I67" s="387"/>
      <c r="R67" s="1217"/>
    </row>
    <row r="68" spans="1:20" ht="12" customHeight="1" x14ac:dyDescent="0.2">
      <c r="B68" s="1461" t="s">
        <v>747</v>
      </c>
      <c r="C68" s="1460">
        <f>C63+C53+C43+C33+C23</f>
        <v>126637.42690058477</v>
      </c>
      <c r="D68" s="1460">
        <f>D63+D53+D43+D33+D23</f>
        <v>142721.25730994152</v>
      </c>
      <c r="E68" s="1460">
        <f>E63+E53+E43+E33+E23</f>
        <v>157074.77562865496</v>
      </c>
      <c r="F68" s="363"/>
      <c r="G68" s="363"/>
      <c r="H68" s="363"/>
      <c r="I68" s="387"/>
    </row>
    <row r="69" spans="1:20" ht="12" customHeight="1" x14ac:dyDescent="0.2">
      <c r="B69" s="1461" t="s">
        <v>748</v>
      </c>
      <c r="C69" s="1462">
        <f>IF(C66=0,0,(C66-C68)/C66)</f>
        <v>0.5178134045869518</v>
      </c>
      <c r="D69" s="1462">
        <f>IF(D66=0,0,(D66-D68)/D66)</f>
        <v>0.52032754859835306</v>
      </c>
      <c r="E69" s="1462">
        <f>IF(E66=0,0,(E66-E68)/E66)</f>
        <v>0.52413348003327764</v>
      </c>
      <c r="F69" s="363"/>
      <c r="G69" s="363"/>
      <c r="H69" s="363"/>
      <c r="I69" s="387"/>
    </row>
    <row r="70" spans="1:20" ht="6" customHeight="1" x14ac:dyDescent="0.2">
      <c r="B70" s="395"/>
      <c r="C70" s="888"/>
      <c r="D70" s="888"/>
      <c r="E70" s="889"/>
      <c r="F70" s="363"/>
      <c r="G70" s="363"/>
      <c r="H70" s="363"/>
      <c r="I70" s="387"/>
    </row>
    <row r="71" spans="1:20" ht="12" customHeight="1" x14ac:dyDescent="0.2">
      <c r="B71" s="1705"/>
      <c r="C71" s="1475" t="str">
        <f t="shared" ref="C71:E73" si="5">C11</f>
        <v>Period 1</v>
      </c>
      <c r="D71" s="1475" t="str">
        <f t="shared" si="5"/>
        <v>Period 2</v>
      </c>
      <c r="E71" s="1475" t="str">
        <f t="shared" si="5"/>
        <v>Period 3</v>
      </c>
      <c r="F71" s="363"/>
      <c r="G71" s="363"/>
      <c r="H71" s="363"/>
      <c r="I71" s="387"/>
    </row>
    <row r="72" spans="1:20" ht="12" customHeight="1" x14ac:dyDescent="0.2">
      <c r="B72" s="1705"/>
      <c r="C72" s="1483">
        <f t="shared" si="5"/>
        <v>2023</v>
      </c>
      <c r="D72" s="1483">
        <f t="shared" si="5"/>
        <v>2024</v>
      </c>
      <c r="E72" s="1483">
        <f t="shared" si="5"/>
        <v>2025</v>
      </c>
      <c r="F72" s="363"/>
      <c r="G72" s="363"/>
      <c r="H72" s="363"/>
      <c r="I72" s="387"/>
    </row>
    <row r="73" spans="1:20" ht="12" customHeight="1" x14ac:dyDescent="0.2">
      <c r="B73" s="1481" t="str">
        <f>B13</f>
        <v>Räkenskapsperiodens längd</v>
      </c>
      <c r="C73" s="1482">
        <f t="shared" si="5"/>
        <v>12</v>
      </c>
      <c r="D73" s="1482">
        <f t="shared" si="5"/>
        <v>12</v>
      </c>
      <c r="E73" s="1482">
        <f t="shared" si="5"/>
        <v>12</v>
      </c>
      <c r="F73" s="363"/>
      <c r="G73" s="363"/>
      <c r="H73" s="363"/>
      <c r="I73" s="387"/>
    </row>
    <row r="74" spans="1:20" ht="4.5" customHeight="1" x14ac:dyDescent="0.2">
      <c r="B74" s="395"/>
      <c r="C74" s="396"/>
      <c r="D74" s="396"/>
      <c r="E74" s="396"/>
      <c r="F74" s="363"/>
      <c r="G74" s="363"/>
      <c r="H74" s="363"/>
      <c r="I74" s="387"/>
    </row>
    <row r="75" spans="1:20" ht="12" customHeight="1" x14ac:dyDescent="0.2">
      <c r="B75" s="393" t="s">
        <v>863</v>
      </c>
      <c r="C75" s="361">
        <v>0.14000000000000001</v>
      </c>
      <c r="D75" s="361">
        <f>C75</f>
        <v>0.14000000000000001</v>
      </c>
      <c r="E75" s="1454">
        <f>D75</f>
        <v>0.14000000000000001</v>
      </c>
      <c r="F75" s="1602"/>
      <c r="G75" s="1603">
        <f>G$15</f>
        <v>2024</v>
      </c>
      <c r="H75" s="1603">
        <f>H$15</f>
        <v>2025</v>
      </c>
      <c r="I75" s="1604"/>
      <c r="J75" s="1616"/>
      <c r="K75" s="1302" t="s">
        <v>351</v>
      </c>
      <c r="L75" s="1318"/>
      <c r="M75" s="1318"/>
      <c r="N75" s="1318"/>
      <c r="O75" s="1318"/>
      <c r="P75" s="1318"/>
      <c r="Q75" s="1318"/>
      <c r="R75" s="1318"/>
      <c r="S75" s="1318"/>
      <c r="T75" s="1319"/>
    </row>
    <row r="76" spans="1:20" ht="12" customHeight="1" x14ac:dyDescent="0.2">
      <c r="B76" s="390" t="s">
        <v>358</v>
      </c>
      <c r="C76" s="1592">
        <v>2.2000000000000002</v>
      </c>
      <c r="D76" s="877">
        <f>C76*(1+G76)</f>
        <v>2.2660000000000005</v>
      </c>
      <c r="E76" s="1463">
        <f>D76*(1+H76)</f>
        <v>2.3339800000000004</v>
      </c>
      <c r="F76" s="1472" t="s">
        <v>652</v>
      </c>
      <c r="G76" s="1454">
        <v>0.03</v>
      </c>
      <c r="H76" s="1455">
        <f>G76</f>
        <v>0.03</v>
      </c>
      <c r="I76" s="1605"/>
      <c r="J76" s="1616"/>
      <c r="K76" s="746"/>
      <c r="L76" s="1284"/>
      <c r="M76" s="1284"/>
      <c r="N76" s="1284"/>
      <c r="O76" s="1284"/>
      <c r="P76" s="1284"/>
      <c r="Q76" s="1284"/>
      <c r="R76" s="1284"/>
      <c r="S76" s="1284"/>
      <c r="T76" s="1285"/>
    </row>
    <row r="77" spans="1:20" ht="12" customHeight="1" x14ac:dyDescent="0.2">
      <c r="B77" s="390" t="s">
        <v>359</v>
      </c>
      <c r="C77" s="1593">
        <v>1440</v>
      </c>
      <c r="D77" s="880">
        <f>C77*12/C$13+G77*C77*12/C$13</f>
        <v>1440</v>
      </c>
      <c r="E77" s="1468">
        <f>D77*(1+H77)</f>
        <v>1440</v>
      </c>
      <c r="F77" s="1472" t="s">
        <v>650</v>
      </c>
      <c r="G77" s="1454">
        <v>0</v>
      </c>
      <c r="H77" s="1455">
        <f>G77</f>
        <v>0</v>
      </c>
      <c r="I77" s="1605"/>
      <c r="J77" s="1616"/>
      <c r="K77" s="746"/>
      <c r="L77" s="1284"/>
      <c r="M77" s="1284"/>
      <c r="N77" s="1284"/>
      <c r="O77" s="1284"/>
      <c r="P77" s="1284"/>
      <c r="Q77" s="1284"/>
      <c r="R77" s="1284"/>
      <c r="S77" s="1284"/>
      <c r="T77" s="1285"/>
    </row>
    <row r="78" spans="1:20" ht="12" customHeight="1" x14ac:dyDescent="0.2">
      <c r="B78" s="390" t="s">
        <v>360</v>
      </c>
      <c r="C78" s="881">
        <f>IF(C76=0,0,C77*C76/(1+C75))</f>
        <v>2778.9473684210529</v>
      </c>
      <c r="D78" s="881">
        <f>IF(D76=0,0,D77*D76/(1+D75))</f>
        <v>2862.3157894736846</v>
      </c>
      <c r="E78" s="1465">
        <f>IF(E76=0,0,E77*E76/(1+E75))</f>
        <v>2948.185263157895</v>
      </c>
      <c r="F78" s="1473"/>
      <c r="G78" s="1044"/>
      <c r="H78" s="1044"/>
      <c r="I78" s="1606"/>
      <c r="J78" s="1616"/>
      <c r="K78" s="746"/>
      <c r="L78" s="1284"/>
      <c r="M78" s="1284"/>
      <c r="N78" s="1284"/>
      <c r="O78" s="1284"/>
      <c r="P78" s="1284"/>
      <c r="Q78" s="1284"/>
      <c r="R78" s="1284"/>
      <c r="S78" s="1284"/>
      <c r="T78" s="1285"/>
    </row>
    <row r="79" spans="1:20" ht="12" customHeight="1" x14ac:dyDescent="0.2">
      <c r="B79" s="390" t="s">
        <v>361</v>
      </c>
      <c r="C79" s="877">
        <v>1</v>
      </c>
      <c r="D79" s="877">
        <f>C79*(1+G79)</f>
        <v>1.03</v>
      </c>
      <c r="E79" s="1463">
        <f>D79*(1+H79)</f>
        <v>1.0609</v>
      </c>
      <c r="F79" s="1472" t="s">
        <v>651</v>
      </c>
      <c r="G79" s="1454">
        <v>0.03</v>
      </c>
      <c r="H79" s="1455">
        <f>G79</f>
        <v>0.03</v>
      </c>
      <c r="I79" s="1605"/>
      <c r="J79" s="1616"/>
      <c r="K79" s="746"/>
      <c r="L79" s="1284"/>
      <c r="M79" s="1284"/>
      <c r="N79" s="1284"/>
      <c r="O79" s="1284"/>
      <c r="P79" s="1284"/>
      <c r="Q79" s="1284"/>
      <c r="R79" s="1284"/>
      <c r="S79" s="1284"/>
      <c r="T79" s="1285"/>
    </row>
    <row r="80" spans="1:20" ht="12" customHeight="1" x14ac:dyDescent="0.2">
      <c r="A80" s="168"/>
      <c r="B80" s="390" t="s">
        <v>362</v>
      </c>
      <c r="C80" s="362">
        <v>0.02</v>
      </c>
      <c r="D80" s="362">
        <f>C80</f>
        <v>0.02</v>
      </c>
      <c r="E80" s="1454">
        <f>D80</f>
        <v>0.02</v>
      </c>
      <c r="F80" s="1473"/>
      <c r="G80" s="1044"/>
      <c r="H80" s="1044"/>
      <c r="I80" s="1606"/>
      <c r="J80" s="1616"/>
      <c r="K80" s="746"/>
      <c r="L80" s="1284"/>
      <c r="M80" s="1284"/>
      <c r="N80" s="1284"/>
      <c r="O80" s="1284"/>
      <c r="P80" s="1284"/>
      <c r="Q80" s="1284"/>
      <c r="R80" s="1284"/>
      <c r="S80" s="1284"/>
      <c r="T80" s="1285"/>
    </row>
    <row r="81" spans="1:20" ht="12" customHeight="1" x14ac:dyDescent="0.2">
      <c r="B81" s="390" t="s">
        <v>363</v>
      </c>
      <c r="C81" s="882">
        <f>IF(C76=0,0,(C76-(C79+(C79*C80)))/C76)</f>
        <v>0.53636363636363638</v>
      </c>
      <c r="D81" s="882">
        <f>IF(D76=0,0,(D76-(D79+(D79*D80)))/D76)</f>
        <v>0.53636363636363649</v>
      </c>
      <c r="E81" s="1466">
        <f>IF(E76=0,0,(E76-(E79+(E79*E80)))/E76)</f>
        <v>0.53636363636363649</v>
      </c>
      <c r="F81" s="1473"/>
      <c r="G81" s="1044"/>
      <c r="H81" s="1044"/>
      <c r="I81" s="1606"/>
      <c r="J81" s="1616"/>
      <c r="K81" s="746"/>
      <c r="L81" s="1284"/>
      <c r="M81" s="1284"/>
      <c r="N81" s="1284"/>
      <c r="O81" s="1284"/>
      <c r="P81" s="1284"/>
      <c r="Q81" s="1284"/>
      <c r="R81" s="1284"/>
      <c r="S81" s="1284"/>
      <c r="T81" s="1285"/>
    </row>
    <row r="82" spans="1:20" ht="12" customHeight="1" x14ac:dyDescent="0.2">
      <c r="A82" s="168"/>
      <c r="B82" s="390" t="s">
        <v>710</v>
      </c>
      <c r="C82" s="883">
        <f>IF(C79=0,0,(C79/(1-C80))/(1+C75))</f>
        <v>0.89509488005728599</v>
      </c>
      <c r="D82" s="883">
        <f>IF(D79=0,0,(D79/(1-D80))/(1+D75))</f>
        <v>0.92194772645900447</v>
      </c>
      <c r="E82" s="1467">
        <f>IF(E79=0,0,(E79/(1-E80))/(1+E75))</f>
        <v>0.94960615825277461</v>
      </c>
      <c r="F82" s="1473"/>
      <c r="G82" s="1044"/>
      <c r="H82" s="1044"/>
      <c r="I82" s="1606"/>
      <c r="J82" s="1616"/>
      <c r="K82" s="746"/>
      <c r="L82" s="1284"/>
      <c r="M82" s="1284"/>
      <c r="N82" s="1284"/>
      <c r="O82" s="1284"/>
      <c r="P82" s="1284"/>
      <c r="Q82" s="1284"/>
      <c r="R82" s="1284"/>
      <c r="S82" s="1284"/>
      <c r="T82" s="1285"/>
    </row>
    <row r="83" spans="1:20" ht="12" customHeight="1" x14ac:dyDescent="0.2">
      <c r="A83" s="2"/>
      <c r="B83" s="390" t="s">
        <v>711</v>
      </c>
      <c r="C83" s="881">
        <f>C82*C77</f>
        <v>1288.9366272824918</v>
      </c>
      <c r="D83" s="881">
        <f>D82*D77</f>
        <v>1327.6047261009664</v>
      </c>
      <c r="E83" s="1465">
        <f>E82*E77</f>
        <v>1367.4328678839954</v>
      </c>
      <c r="F83" s="1473"/>
      <c r="G83" s="1044"/>
      <c r="H83" s="1044"/>
      <c r="I83" s="1606"/>
      <c r="J83" s="1616"/>
      <c r="K83" s="746"/>
      <c r="L83" s="1284"/>
      <c r="M83" s="1284"/>
      <c r="N83" s="1284"/>
      <c r="O83" s="1284"/>
      <c r="P83" s="1284"/>
      <c r="Q83" s="1284"/>
      <c r="R83" s="1284"/>
      <c r="S83" s="1284"/>
      <c r="T83" s="1285"/>
    </row>
    <row r="84" spans="1:20" s="52" customFormat="1" ht="4.5" customHeight="1" x14ac:dyDescent="0.2">
      <c r="A84" s="433"/>
      <c r="B84" s="1476"/>
      <c r="C84" s="1477"/>
      <c r="D84" s="1477"/>
      <c r="E84" s="1477"/>
      <c r="F84" s="1611"/>
      <c r="G84" s="1457"/>
      <c r="H84" s="1457"/>
      <c r="I84" s="1608"/>
      <c r="J84" s="1617"/>
      <c r="K84" s="1322"/>
      <c r="L84" s="1323"/>
      <c r="M84" s="1323"/>
      <c r="N84" s="1323"/>
      <c r="O84" s="1323"/>
      <c r="P84" s="1323"/>
      <c r="Q84" s="1323"/>
      <c r="R84" s="1323"/>
      <c r="S84" s="1323"/>
      <c r="T84" s="1324"/>
    </row>
    <row r="85" spans="1:20" ht="12" customHeight="1" x14ac:dyDescent="0.2">
      <c r="B85" s="393" t="s">
        <v>867</v>
      </c>
      <c r="C85" s="361">
        <v>0.14000000000000001</v>
      </c>
      <c r="D85" s="361">
        <f>C85</f>
        <v>0.14000000000000001</v>
      </c>
      <c r="E85" s="1454">
        <f>D85</f>
        <v>0.14000000000000001</v>
      </c>
      <c r="F85" s="1474"/>
      <c r="G85" s="364">
        <f>G$25</f>
        <v>2024</v>
      </c>
      <c r="H85" s="364">
        <f>H$25</f>
        <v>2025</v>
      </c>
      <c r="I85" s="1605"/>
      <c r="J85" s="1616"/>
      <c r="K85" s="746"/>
      <c r="L85" s="1284"/>
      <c r="M85" s="1284"/>
      <c r="N85" s="1284"/>
      <c r="O85" s="1284"/>
      <c r="P85" s="1284"/>
      <c r="Q85" s="1284"/>
      <c r="R85" s="1284"/>
      <c r="S85" s="1284"/>
      <c r="T85" s="1285"/>
    </row>
    <row r="86" spans="1:20" ht="12" customHeight="1" x14ac:dyDescent="0.2">
      <c r="A86" s="168"/>
      <c r="B86" s="390" t="s">
        <v>358</v>
      </c>
      <c r="C86" s="877">
        <v>2.5</v>
      </c>
      <c r="D86" s="877">
        <f>C86*(1+G86)</f>
        <v>2.5750000000000002</v>
      </c>
      <c r="E86" s="1463">
        <f>D86*(1+H86)</f>
        <v>2.6522500000000004</v>
      </c>
      <c r="F86" s="1472" t="s">
        <v>652</v>
      </c>
      <c r="G86" s="1454">
        <v>0.03</v>
      </c>
      <c r="H86" s="1455">
        <f>G86</f>
        <v>0.03</v>
      </c>
      <c r="I86" s="1605"/>
      <c r="J86" s="1616"/>
      <c r="K86" s="746"/>
      <c r="L86" s="1284"/>
      <c r="M86" s="1284"/>
      <c r="N86" s="1284"/>
      <c r="O86" s="1284"/>
      <c r="P86" s="1284"/>
      <c r="Q86" s="1284"/>
      <c r="R86" s="1284"/>
      <c r="S86" s="1284"/>
      <c r="T86" s="1285"/>
    </row>
    <row r="87" spans="1:20" ht="12" customHeight="1" x14ac:dyDescent="0.2">
      <c r="B87" s="390" t="s">
        <v>359</v>
      </c>
      <c r="C87" s="880">
        <v>2500</v>
      </c>
      <c r="D87" s="880">
        <f>C87*12/C$13+G87*C87*12/C$13</f>
        <v>2500</v>
      </c>
      <c r="E87" s="1468">
        <f>D87*(1+H87)</f>
        <v>2500</v>
      </c>
      <c r="F87" s="1472" t="s">
        <v>650</v>
      </c>
      <c r="G87" s="1454">
        <v>0</v>
      </c>
      <c r="H87" s="1455">
        <f>G87</f>
        <v>0</v>
      </c>
      <c r="I87" s="1605"/>
      <c r="J87" s="1616"/>
      <c r="K87" s="746"/>
      <c r="L87" s="1284"/>
      <c r="M87" s="1284"/>
      <c r="N87" s="1284"/>
      <c r="O87" s="1284"/>
      <c r="P87" s="1284"/>
      <c r="Q87" s="1284"/>
      <c r="R87" s="1284"/>
      <c r="S87" s="1284"/>
      <c r="T87" s="1285"/>
    </row>
    <row r="88" spans="1:20" ht="12" customHeight="1" x14ac:dyDescent="0.2">
      <c r="A88" s="168"/>
      <c r="B88" s="390" t="s">
        <v>360</v>
      </c>
      <c r="C88" s="881">
        <f>IF(C86=0,0,C87*C86/(1+C85))</f>
        <v>5482.4561403508769</v>
      </c>
      <c r="D88" s="881">
        <f>IF(D86=0,0,D87*D86/(1+D85))</f>
        <v>5646.9298245614027</v>
      </c>
      <c r="E88" s="1465">
        <f>IF(E86=0,0,E87*E86/(1+E85))</f>
        <v>5816.3377192982462</v>
      </c>
      <c r="F88" s="1473"/>
      <c r="G88" s="1044"/>
      <c r="H88" s="1044"/>
      <c r="I88" s="1606"/>
      <c r="J88" s="1616"/>
      <c r="K88" s="746"/>
      <c r="L88" s="1284"/>
      <c r="M88" s="1284"/>
      <c r="N88" s="1284"/>
      <c r="O88" s="1284"/>
      <c r="P88" s="1284"/>
      <c r="Q88" s="1284"/>
      <c r="R88" s="1284"/>
      <c r="S88" s="1284"/>
      <c r="T88" s="1285"/>
    </row>
    <row r="89" spans="1:20" ht="12" customHeight="1" x14ac:dyDescent="0.2">
      <c r="A89" s="2"/>
      <c r="B89" s="390" t="s">
        <v>361</v>
      </c>
      <c r="C89" s="877">
        <v>1.75</v>
      </c>
      <c r="D89" s="877">
        <f>C89*(1+G89)</f>
        <v>1.8025</v>
      </c>
      <c r="E89" s="1463">
        <f>D89*(1+H89)</f>
        <v>1.8565750000000001</v>
      </c>
      <c r="F89" s="1472" t="s">
        <v>651</v>
      </c>
      <c r="G89" s="1454">
        <v>0.03</v>
      </c>
      <c r="H89" s="1455">
        <f>G89</f>
        <v>0.03</v>
      </c>
      <c r="I89" s="1605"/>
      <c r="J89" s="1616"/>
      <c r="K89" s="746"/>
      <c r="L89" s="1284"/>
      <c r="M89" s="1284"/>
      <c r="N89" s="1284"/>
      <c r="O89" s="1284"/>
      <c r="P89" s="1284"/>
      <c r="Q89" s="1284"/>
      <c r="R89" s="1284"/>
      <c r="S89" s="1284"/>
      <c r="T89" s="1285"/>
    </row>
    <row r="90" spans="1:20" ht="12" customHeight="1" x14ac:dyDescent="0.2">
      <c r="A90" s="168"/>
      <c r="B90" s="390" t="s">
        <v>362</v>
      </c>
      <c r="C90" s="362">
        <v>0</v>
      </c>
      <c r="D90" s="362">
        <f>C90</f>
        <v>0</v>
      </c>
      <c r="E90" s="1454">
        <f>D90</f>
        <v>0</v>
      </c>
      <c r="F90" s="1473"/>
      <c r="G90" s="1044"/>
      <c r="H90" s="1044"/>
      <c r="I90" s="1606"/>
      <c r="J90" s="1616"/>
      <c r="K90" s="746"/>
      <c r="L90" s="1284"/>
      <c r="M90" s="1284"/>
      <c r="N90" s="1284"/>
      <c r="O90" s="1284"/>
      <c r="P90" s="1284"/>
      <c r="Q90" s="1284"/>
      <c r="R90" s="1284"/>
      <c r="S90" s="1284"/>
      <c r="T90" s="1285"/>
    </row>
    <row r="91" spans="1:20" ht="12" customHeight="1" x14ac:dyDescent="0.2">
      <c r="B91" s="390" t="s">
        <v>363</v>
      </c>
      <c r="C91" s="882">
        <f>IF(C86=0,0,(C86-(C89+(C89*C90)))/C86)</f>
        <v>0.3</v>
      </c>
      <c r="D91" s="882">
        <f>IF(D86=0,0,(D86-(D89+(D89*D90)))/D86)</f>
        <v>0.30000000000000004</v>
      </c>
      <c r="E91" s="1466">
        <f>IF(E86=0,0,(E86-(E89+(E89*E90)))/E86)</f>
        <v>0.3000000000000001</v>
      </c>
      <c r="F91" s="1473"/>
      <c r="G91" s="1044"/>
      <c r="H91" s="1044"/>
      <c r="I91" s="1606"/>
      <c r="J91" s="1616"/>
      <c r="K91" s="746"/>
      <c r="L91" s="1284"/>
      <c r="M91" s="1284"/>
      <c r="N91" s="1284"/>
      <c r="O91" s="1284"/>
      <c r="P91" s="1284"/>
      <c r="Q91" s="1284"/>
      <c r="R91" s="1284"/>
      <c r="S91" s="1284"/>
      <c r="T91" s="1285"/>
    </row>
    <row r="92" spans="1:20" ht="12" customHeight="1" x14ac:dyDescent="0.2">
      <c r="A92" s="168"/>
      <c r="B92" s="390" t="s">
        <v>710</v>
      </c>
      <c r="C92" s="883">
        <f>IF(C89=0,0,(C89/(1-C90))/(1+C85))</f>
        <v>1.5350877192982455</v>
      </c>
      <c r="D92" s="883">
        <f>IF(D89=0,0,(D89/(1-D90))/(1+D85))</f>
        <v>1.5811403508771928</v>
      </c>
      <c r="E92" s="1467">
        <f>IF(E89=0,0,(E89/(1-E90))/(1+E85))</f>
        <v>1.6285745614035088</v>
      </c>
      <c r="F92" s="1473" t="s">
        <v>0</v>
      </c>
      <c r="G92" s="1044"/>
      <c r="H92" s="1044"/>
      <c r="I92" s="1606"/>
      <c r="J92" s="1616"/>
      <c r="K92" s="746"/>
      <c r="L92" s="1284"/>
      <c r="M92" s="1284"/>
      <c r="N92" s="1284"/>
      <c r="O92" s="1284"/>
      <c r="P92" s="1284"/>
      <c r="Q92" s="1284"/>
      <c r="R92" s="1284"/>
      <c r="S92" s="1284"/>
      <c r="T92" s="1285"/>
    </row>
    <row r="93" spans="1:20" ht="12" customHeight="1" x14ac:dyDescent="0.2">
      <c r="B93" s="390" t="s">
        <v>711</v>
      </c>
      <c r="C93" s="881">
        <f>C92*C87</f>
        <v>3837.7192982456136</v>
      </c>
      <c r="D93" s="881">
        <f>D92*D87</f>
        <v>3952.8508771929819</v>
      </c>
      <c r="E93" s="1465">
        <f>E92*E87</f>
        <v>4071.4364035087719</v>
      </c>
      <c r="F93" s="1473"/>
      <c r="G93" s="1044"/>
      <c r="H93" s="1044"/>
      <c r="I93" s="1606"/>
      <c r="J93" s="1616"/>
      <c r="K93" s="746"/>
      <c r="L93" s="1284"/>
      <c r="M93" s="1284"/>
      <c r="N93" s="1284"/>
      <c r="O93" s="1284"/>
      <c r="P93" s="1284"/>
      <c r="Q93" s="1284"/>
      <c r="R93" s="1284"/>
      <c r="S93" s="1284"/>
      <c r="T93" s="1285"/>
    </row>
    <row r="94" spans="1:20" s="52" customFormat="1" ht="4.5" customHeight="1" x14ac:dyDescent="0.2">
      <c r="A94" s="433"/>
      <c r="B94" s="1476"/>
      <c r="C94" s="1477"/>
      <c r="D94" s="1477"/>
      <c r="E94" s="1477"/>
      <c r="F94" s="1607"/>
      <c r="G94" s="1456"/>
      <c r="H94" s="1456"/>
      <c r="I94" s="1608"/>
      <c r="J94" s="1617"/>
      <c r="K94" s="1322"/>
      <c r="L94" s="1323"/>
      <c r="M94" s="1323"/>
      <c r="N94" s="1323"/>
      <c r="O94" s="1323"/>
      <c r="P94" s="1323"/>
      <c r="Q94" s="1323"/>
      <c r="R94" s="1323"/>
      <c r="S94" s="1323"/>
      <c r="T94" s="1324"/>
    </row>
    <row r="95" spans="1:20" ht="12" customHeight="1" x14ac:dyDescent="0.2">
      <c r="A95" s="2"/>
      <c r="B95" s="393">
        <v>0</v>
      </c>
      <c r="C95" s="361">
        <v>0.24</v>
      </c>
      <c r="D95" s="361">
        <f>C95</f>
        <v>0.24</v>
      </c>
      <c r="E95" s="1454">
        <f>D95</f>
        <v>0.24</v>
      </c>
      <c r="F95" s="1474"/>
      <c r="G95" s="364">
        <f>G$25</f>
        <v>2024</v>
      </c>
      <c r="H95" s="364">
        <f>H$25</f>
        <v>2025</v>
      </c>
      <c r="I95" s="1605"/>
      <c r="J95" s="1616"/>
      <c r="K95" s="746"/>
      <c r="L95" s="1284"/>
      <c r="M95" s="1284"/>
      <c r="N95" s="1284"/>
      <c r="O95" s="1284"/>
      <c r="P95" s="1284"/>
      <c r="Q95" s="1284"/>
      <c r="R95" s="1284"/>
      <c r="S95" s="1284"/>
      <c r="T95" s="1285"/>
    </row>
    <row r="96" spans="1:20" ht="12" customHeight="1" x14ac:dyDescent="0.2">
      <c r="B96" s="390" t="s">
        <v>358</v>
      </c>
      <c r="C96" s="877">
        <v>0</v>
      </c>
      <c r="D96" s="877">
        <f>C96*(1+G96)</f>
        <v>0</v>
      </c>
      <c r="E96" s="1463">
        <f>D96*(1+H96)</f>
        <v>0</v>
      </c>
      <c r="F96" s="1472" t="s">
        <v>652</v>
      </c>
      <c r="G96" s="1454">
        <v>0.03</v>
      </c>
      <c r="H96" s="1455">
        <f>G96</f>
        <v>0.03</v>
      </c>
      <c r="I96" s="1605"/>
      <c r="J96" s="1616"/>
      <c r="K96" s="746"/>
      <c r="L96" s="1284"/>
      <c r="M96" s="1284"/>
      <c r="N96" s="1284"/>
      <c r="O96" s="1284"/>
      <c r="P96" s="1284"/>
      <c r="Q96" s="1284"/>
      <c r="R96" s="1284"/>
      <c r="S96" s="1284"/>
      <c r="T96" s="1285"/>
    </row>
    <row r="97" spans="2:20" ht="12" customHeight="1" x14ac:dyDescent="0.2">
      <c r="B97" s="390" t="s">
        <v>359</v>
      </c>
      <c r="C97" s="880">
        <v>0</v>
      </c>
      <c r="D97" s="880">
        <f>C97*12/C$13+G97*C97*12/C$13</f>
        <v>0</v>
      </c>
      <c r="E97" s="1468">
        <f>D97*(1+H97)</f>
        <v>0</v>
      </c>
      <c r="F97" s="1472" t="s">
        <v>650</v>
      </c>
      <c r="G97" s="1454">
        <v>0</v>
      </c>
      <c r="H97" s="1455">
        <f>G97</f>
        <v>0</v>
      </c>
      <c r="I97" s="1605"/>
      <c r="J97" s="1616"/>
      <c r="K97" s="746"/>
      <c r="L97" s="1284"/>
      <c r="M97" s="1284"/>
      <c r="N97" s="1284"/>
      <c r="O97" s="1284"/>
      <c r="P97" s="1284"/>
      <c r="Q97" s="1284"/>
      <c r="R97" s="1284"/>
      <c r="S97" s="1284"/>
      <c r="T97" s="1285"/>
    </row>
    <row r="98" spans="2:20" ht="12" customHeight="1" x14ac:dyDescent="0.2">
      <c r="B98" s="390" t="s">
        <v>360</v>
      </c>
      <c r="C98" s="881">
        <f>IF(C96=0,0,C97*C96/(1+C95))</f>
        <v>0</v>
      </c>
      <c r="D98" s="881">
        <f>IF(D96=0,0,D97*D96/(1+D95))</f>
        <v>0</v>
      </c>
      <c r="E98" s="1465">
        <f>IF(E96=0,0,E97*E96/(1+E95))</f>
        <v>0</v>
      </c>
      <c r="F98" s="1473"/>
      <c r="G98" s="1044"/>
      <c r="H98" s="1044"/>
      <c r="I98" s="1606"/>
      <c r="J98" s="1616"/>
      <c r="K98" s="746"/>
      <c r="L98" s="1284"/>
      <c r="M98" s="1284"/>
      <c r="N98" s="1284"/>
      <c r="O98" s="1284"/>
      <c r="P98" s="1284"/>
      <c r="Q98" s="1284"/>
      <c r="R98" s="1284"/>
      <c r="S98" s="1284"/>
      <c r="T98" s="1285"/>
    </row>
    <row r="99" spans="2:20" ht="12" customHeight="1" x14ac:dyDescent="0.2">
      <c r="B99" s="390" t="s">
        <v>361</v>
      </c>
      <c r="C99" s="877">
        <v>0</v>
      </c>
      <c r="D99" s="877">
        <f>C99*(1+G99)</f>
        <v>0</v>
      </c>
      <c r="E99" s="1463">
        <f>D99*(1+H99)</f>
        <v>0</v>
      </c>
      <c r="F99" s="1472" t="s">
        <v>651</v>
      </c>
      <c r="G99" s="1454">
        <v>0.03</v>
      </c>
      <c r="H99" s="1455">
        <f>G99</f>
        <v>0.03</v>
      </c>
      <c r="I99" s="1605"/>
      <c r="J99" s="1616"/>
      <c r="K99" s="746"/>
      <c r="L99" s="1284"/>
      <c r="M99" s="1284"/>
      <c r="N99" s="1284"/>
      <c r="O99" s="1284"/>
      <c r="P99" s="1284"/>
      <c r="Q99" s="1284"/>
      <c r="R99" s="1284"/>
      <c r="S99" s="1284"/>
      <c r="T99" s="1285"/>
    </row>
    <row r="100" spans="2:20" ht="12" customHeight="1" x14ac:dyDescent="0.2">
      <c r="B100" s="390" t="s">
        <v>362</v>
      </c>
      <c r="C100" s="362">
        <v>0</v>
      </c>
      <c r="D100" s="362">
        <f>C100</f>
        <v>0</v>
      </c>
      <c r="E100" s="1454">
        <f>D100</f>
        <v>0</v>
      </c>
      <c r="F100" s="1473"/>
      <c r="G100" s="1044"/>
      <c r="H100" s="1044"/>
      <c r="I100" s="1606"/>
      <c r="J100" s="1616"/>
      <c r="K100" s="746"/>
      <c r="L100" s="1284"/>
      <c r="M100" s="1284"/>
      <c r="N100" s="1284"/>
      <c r="O100" s="1284"/>
      <c r="P100" s="1284"/>
      <c r="Q100" s="1284"/>
      <c r="R100" s="1284"/>
      <c r="S100" s="1284"/>
      <c r="T100" s="1285"/>
    </row>
    <row r="101" spans="2:20" ht="12" customHeight="1" x14ac:dyDescent="0.2">
      <c r="B101" s="390" t="s">
        <v>363</v>
      </c>
      <c r="C101" s="882">
        <f>IF(C96=0,0,(C96-(C99+(C99*C100)))/C96)</f>
        <v>0</v>
      </c>
      <c r="D101" s="882">
        <f>IF(D96=0,0,(D96-(D99+(D99*D100)))/D96)</f>
        <v>0</v>
      </c>
      <c r="E101" s="1466">
        <f>IF(E96=0,0,(E96-(E99+(E99*E100)))/E96)</f>
        <v>0</v>
      </c>
      <c r="F101" s="1473"/>
      <c r="G101" s="1044"/>
      <c r="H101" s="1044"/>
      <c r="I101" s="1606"/>
      <c r="J101" s="1616"/>
      <c r="K101" s="746"/>
      <c r="L101" s="1284"/>
      <c r="M101" s="1284"/>
      <c r="N101" s="1284"/>
      <c r="O101" s="1284"/>
      <c r="P101" s="1284"/>
      <c r="Q101" s="1284"/>
      <c r="R101" s="1284"/>
      <c r="S101" s="1284"/>
      <c r="T101" s="1285"/>
    </row>
    <row r="102" spans="2:20" ht="12" customHeight="1" x14ac:dyDescent="0.2">
      <c r="B102" s="390" t="s">
        <v>710</v>
      </c>
      <c r="C102" s="883">
        <f>IF(C99=0,0,(C99/(1-C100))/(1+C95))</f>
        <v>0</v>
      </c>
      <c r="D102" s="883">
        <f>IF(D99=0,0,(D99/(1-D100))/(1+D95))</f>
        <v>0</v>
      </c>
      <c r="E102" s="1467">
        <f>IF(E99=0,0,(E99/(1-E100))/(1+E95))</f>
        <v>0</v>
      </c>
      <c r="F102" s="1473"/>
      <c r="G102" s="1044"/>
      <c r="H102" s="1044"/>
      <c r="I102" s="1606"/>
      <c r="J102" s="1616"/>
      <c r="K102" s="746"/>
      <c r="L102" s="1284"/>
      <c r="M102" s="1284"/>
      <c r="N102" s="1284"/>
      <c r="O102" s="1284"/>
      <c r="P102" s="1284"/>
      <c r="Q102" s="1284"/>
      <c r="R102" s="1284"/>
      <c r="S102" s="1284"/>
      <c r="T102" s="1285"/>
    </row>
    <row r="103" spans="2:20" ht="12" customHeight="1" x14ac:dyDescent="0.2">
      <c r="B103" s="390" t="s">
        <v>711</v>
      </c>
      <c r="C103" s="881">
        <f>C102*C97</f>
        <v>0</v>
      </c>
      <c r="D103" s="881">
        <f>D102*D97</f>
        <v>0</v>
      </c>
      <c r="E103" s="1465">
        <f>E102*E97</f>
        <v>0</v>
      </c>
      <c r="F103" s="1473"/>
      <c r="G103" s="1044"/>
      <c r="H103" s="1044"/>
      <c r="I103" s="1606"/>
      <c r="J103" s="1616"/>
      <c r="K103" s="746"/>
      <c r="L103" s="1284"/>
      <c r="M103" s="1284"/>
      <c r="N103" s="1284"/>
      <c r="O103" s="1284"/>
      <c r="P103" s="1284"/>
      <c r="Q103" s="1284"/>
      <c r="R103" s="1284"/>
      <c r="S103" s="1284"/>
      <c r="T103" s="1285"/>
    </row>
    <row r="104" spans="2:20" s="52" customFormat="1" ht="4.5" customHeight="1" x14ac:dyDescent="0.2">
      <c r="B104" s="1476"/>
      <c r="C104" s="1477"/>
      <c r="D104" s="1477"/>
      <c r="E104" s="1477"/>
      <c r="F104" s="1607"/>
      <c r="G104" s="1456"/>
      <c r="H104" s="1456"/>
      <c r="I104" s="1608"/>
      <c r="J104" s="1617"/>
      <c r="K104" s="1322"/>
      <c r="L104" s="1323"/>
      <c r="M104" s="1323"/>
      <c r="N104" s="1323"/>
      <c r="O104" s="1323"/>
      <c r="P104" s="1323"/>
      <c r="Q104" s="1323"/>
      <c r="R104" s="1323"/>
      <c r="S104" s="1323"/>
      <c r="T104" s="1324"/>
    </row>
    <row r="105" spans="2:20" ht="12" customHeight="1" x14ac:dyDescent="0.2">
      <c r="B105" s="393">
        <v>0</v>
      </c>
      <c r="C105" s="361">
        <v>0.24</v>
      </c>
      <c r="D105" s="361">
        <f>C105</f>
        <v>0.24</v>
      </c>
      <c r="E105" s="1454">
        <f>D105</f>
        <v>0.24</v>
      </c>
      <c r="F105" s="1474"/>
      <c r="G105" s="364">
        <f>G$25</f>
        <v>2024</v>
      </c>
      <c r="H105" s="364">
        <f>H$25</f>
        <v>2025</v>
      </c>
      <c r="I105" s="1605"/>
      <c r="J105" s="1616"/>
      <c r="K105" s="746"/>
      <c r="L105" s="1284"/>
      <c r="M105" s="1284"/>
      <c r="N105" s="1284"/>
      <c r="O105" s="1284"/>
      <c r="P105" s="1284"/>
      <c r="Q105" s="1284"/>
      <c r="R105" s="1284"/>
      <c r="S105" s="1284"/>
      <c r="T105" s="1285"/>
    </row>
    <row r="106" spans="2:20" ht="12" customHeight="1" x14ac:dyDescent="0.2">
      <c r="B106" s="390" t="s">
        <v>358</v>
      </c>
      <c r="C106" s="877">
        <v>0</v>
      </c>
      <c r="D106" s="878">
        <f>C106*(1+G106)</f>
        <v>0</v>
      </c>
      <c r="E106" s="1463">
        <f>D106*(1+H106)</f>
        <v>0</v>
      </c>
      <c r="F106" s="1472" t="s">
        <v>652</v>
      </c>
      <c r="G106" s="1454">
        <v>0.03</v>
      </c>
      <c r="H106" s="1455">
        <f>G106</f>
        <v>0.03</v>
      </c>
      <c r="I106" s="1605"/>
      <c r="J106" s="1616"/>
      <c r="K106" s="746"/>
      <c r="L106" s="1284"/>
      <c r="M106" s="1284"/>
      <c r="N106" s="1284"/>
      <c r="O106" s="1284"/>
      <c r="P106" s="1284"/>
      <c r="Q106" s="1284"/>
      <c r="R106" s="1284"/>
      <c r="S106" s="1284"/>
      <c r="T106" s="1285"/>
    </row>
    <row r="107" spans="2:20" ht="12" customHeight="1" x14ac:dyDescent="0.2">
      <c r="B107" s="390" t="s">
        <v>359</v>
      </c>
      <c r="C107" s="880">
        <v>0</v>
      </c>
      <c r="D107" s="879">
        <f>C107*12/C$13+G107*C107*12/C$13</f>
        <v>0</v>
      </c>
      <c r="E107" s="1468">
        <f>D107*(1+H107)</f>
        <v>0</v>
      </c>
      <c r="F107" s="1472" t="s">
        <v>650</v>
      </c>
      <c r="G107" s="1454">
        <v>0</v>
      </c>
      <c r="H107" s="1455">
        <f>G107</f>
        <v>0</v>
      </c>
      <c r="I107" s="1605"/>
      <c r="J107" s="1616"/>
      <c r="K107" s="746"/>
      <c r="L107" s="1284"/>
      <c r="M107" s="1284"/>
      <c r="N107" s="1284"/>
      <c r="O107" s="1284"/>
      <c r="P107" s="1284"/>
      <c r="Q107" s="1284"/>
      <c r="R107" s="1284"/>
      <c r="S107" s="1284"/>
      <c r="T107" s="1285"/>
    </row>
    <row r="108" spans="2:20" ht="12" customHeight="1" x14ac:dyDescent="0.2">
      <c r="B108" s="390" t="s">
        <v>360</v>
      </c>
      <c r="C108" s="881">
        <f>IF(C106=0,0,C107*C106/(1+C105))</f>
        <v>0</v>
      </c>
      <c r="D108" s="881">
        <f>IF(D106=0,0,D107*D106/(1+D105))</f>
        <v>0</v>
      </c>
      <c r="E108" s="1465">
        <f>IF(E106=0,0,E107*E106/(1+E105))</f>
        <v>0</v>
      </c>
      <c r="F108" s="1473"/>
      <c r="G108" s="1044"/>
      <c r="H108" s="1044"/>
      <c r="I108" s="1606"/>
      <c r="J108" s="1616"/>
      <c r="K108" s="746"/>
      <c r="L108" s="1284"/>
      <c r="M108" s="1284"/>
      <c r="N108" s="1284"/>
      <c r="O108" s="1284"/>
      <c r="P108" s="1284"/>
      <c r="Q108" s="1284"/>
      <c r="R108" s="1284"/>
      <c r="S108" s="1284"/>
      <c r="T108" s="1285"/>
    </row>
    <row r="109" spans="2:20" ht="12" customHeight="1" x14ac:dyDescent="0.2">
      <c r="B109" s="390" t="s">
        <v>361</v>
      </c>
      <c r="C109" s="877">
        <v>0</v>
      </c>
      <c r="D109" s="878">
        <f>C109*(1+G109)</f>
        <v>0</v>
      </c>
      <c r="E109" s="1463">
        <f>D109*(1+H109)</f>
        <v>0</v>
      </c>
      <c r="F109" s="1472" t="s">
        <v>651</v>
      </c>
      <c r="G109" s="1454">
        <v>0.03</v>
      </c>
      <c r="H109" s="1455">
        <f>G109</f>
        <v>0.03</v>
      </c>
      <c r="I109" s="1605"/>
      <c r="J109" s="1616"/>
      <c r="K109" s="746"/>
      <c r="L109" s="1284"/>
      <c r="M109" s="1284"/>
      <c r="N109" s="1284"/>
      <c r="O109" s="1284"/>
      <c r="P109" s="1284"/>
      <c r="Q109" s="1284"/>
      <c r="R109" s="1284"/>
      <c r="S109" s="1284"/>
      <c r="T109" s="1285"/>
    </row>
    <row r="110" spans="2:20" ht="12" customHeight="1" x14ac:dyDescent="0.2">
      <c r="B110" s="390" t="s">
        <v>362</v>
      </c>
      <c r="C110" s="362">
        <v>0</v>
      </c>
      <c r="D110" s="361">
        <f>C110</f>
        <v>0</v>
      </c>
      <c r="E110" s="1454">
        <f>D110</f>
        <v>0</v>
      </c>
      <c r="F110" s="1473"/>
      <c r="G110" s="1044"/>
      <c r="H110" s="1044"/>
      <c r="I110" s="1606"/>
      <c r="J110" s="1616"/>
      <c r="K110" s="746"/>
      <c r="L110" s="1284"/>
      <c r="M110" s="1284"/>
      <c r="N110" s="1284"/>
      <c r="O110" s="1284"/>
      <c r="P110" s="1284"/>
      <c r="Q110" s="1284"/>
      <c r="R110" s="1284"/>
      <c r="S110" s="1284"/>
      <c r="T110" s="1285"/>
    </row>
    <row r="111" spans="2:20" ht="12" customHeight="1" x14ac:dyDescent="0.2">
      <c r="B111" s="390" t="s">
        <v>363</v>
      </c>
      <c r="C111" s="882">
        <f>IF(C106=0,0,(C106-(C109+(C109*C110)))/C106)</f>
        <v>0</v>
      </c>
      <c r="D111" s="882">
        <f>IF(D106=0,0,(D106-(D109+(D109*D110)))/D106)</f>
        <v>0</v>
      </c>
      <c r="E111" s="1466">
        <f>IF(E106=0,0,(E106-(E109+(E109*E110)))/E106)</f>
        <v>0</v>
      </c>
      <c r="F111" s="1473"/>
      <c r="G111" s="1044"/>
      <c r="H111" s="1044"/>
      <c r="I111" s="1606"/>
      <c r="J111" s="1616"/>
      <c r="K111" s="746"/>
      <c r="L111" s="1284"/>
      <c r="M111" s="1284"/>
      <c r="N111" s="1284"/>
      <c r="O111" s="1284"/>
      <c r="P111" s="1284"/>
      <c r="Q111" s="1284"/>
      <c r="R111" s="1284"/>
      <c r="S111" s="1284"/>
      <c r="T111" s="1285"/>
    </row>
    <row r="112" spans="2:20" ht="12" customHeight="1" x14ac:dyDescent="0.2">
      <c r="B112" s="390" t="s">
        <v>710</v>
      </c>
      <c r="C112" s="883">
        <f>IF(C109=0,0,(C109/(1-C110))/(1+C105))</f>
        <v>0</v>
      </c>
      <c r="D112" s="883">
        <f>IF(D109=0,0,(D109/(1-D110))/(1+D105))</f>
        <v>0</v>
      </c>
      <c r="E112" s="1467">
        <f>IF(E109=0,0,(E109/(1-E110))/(1+E105))</f>
        <v>0</v>
      </c>
      <c r="F112" s="1473"/>
      <c r="G112" s="1044"/>
      <c r="H112" s="1044"/>
      <c r="I112" s="1606"/>
      <c r="J112" s="1616"/>
      <c r="K112" s="746"/>
      <c r="L112" s="1284"/>
      <c r="M112" s="1284"/>
      <c r="N112" s="1284"/>
      <c r="O112" s="1284"/>
      <c r="P112" s="1284"/>
      <c r="Q112" s="1284"/>
      <c r="R112" s="1284"/>
      <c r="S112" s="1284"/>
      <c r="T112" s="1285"/>
    </row>
    <row r="113" spans="2:20" ht="12" customHeight="1" x14ac:dyDescent="0.2">
      <c r="B113" s="390" t="s">
        <v>711</v>
      </c>
      <c r="C113" s="881">
        <f>C112*C107</f>
        <v>0</v>
      </c>
      <c r="D113" s="881">
        <f>D112*D107</f>
        <v>0</v>
      </c>
      <c r="E113" s="1465">
        <f>E112*E107</f>
        <v>0</v>
      </c>
      <c r="F113" s="1473" t="s">
        <v>0</v>
      </c>
      <c r="G113" s="1044"/>
      <c r="H113" s="1044"/>
      <c r="I113" s="1606"/>
      <c r="J113" s="1616"/>
      <c r="K113" s="746"/>
      <c r="L113" s="1284"/>
      <c r="M113" s="1284"/>
      <c r="N113" s="1284"/>
      <c r="O113" s="1284"/>
      <c r="P113" s="1284"/>
      <c r="Q113" s="1284"/>
      <c r="R113" s="1284"/>
      <c r="S113" s="1284"/>
      <c r="T113" s="1285"/>
    </row>
    <row r="114" spans="2:20" s="52" customFormat="1" ht="4.5" customHeight="1" x14ac:dyDescent="0.2">
      <c r="B114" s="1476"/>
      <c r="C114" s="1477"/>
      <c r="D114" s="1477"/>
      <c r="E114" s="1477"/>
      <c r="F114" s="1607"/>
      <c r="G114" s="1456"/>
      <c r="H114" s="1456"/>
      <c r="I114" s="1608"/>
      <c r="J114" s="1617"/>
      <c r="K114" s="1322"/>
      <c r="L114" s="1323"/>
      <c r="M114" s="1323"/>
      <c r="N114" s="1323"/>
      <c r="O114" s="1323"/>
      <c r="P114" s="1323"/>
      <c r="Q114" s="1323"/>
      <c r="R114" s="1323"/>
      <c r="S114" s="1323"/>
      <c r="T114" s="1324"/>
    </row>
    <row r="115" spans="2:20" ht="12" customHeight="1" x14ac:dyDescent="0.2">
      <c r="B115" s="393">
        <v>0</v>
      </c>
      <c r="C115" s="361">
        <v>0.24</v>
      </c>
      <c r="D115" s="361">
        <f>C115</f>
        <v>0.24</v>
      </c>
      <c r="E115" s="1454">
        <f>D115</f>
        <v>0.24</v>
      </c>
      <c r="F115" s="1474"/>
      <c r="G115" s="364">
        <f>G$25</f>
        <v>2024</v>
      </c>
      <c r="H115" s="364">
        <f>H$25</f>
        <v>2025</v>
      </c>
      <c r="I115" s="1605"/>
      <c r="J115" s="1616"/>
      <c r="K115" s="746"/>
      <c r="L115" s="1284"/>
      <c r="M115" s="1284"/>
      <c r="N115" s="1284"/>
      <c r="O115" s="1284"/>
      <c r="P115" s="1284"/>
      <c r="Q115" s="1284"/>
      <c r="R115" s="1284"/>
      <c r="S115" s="1284"/>
      <c r="T115" s="1285"/>
    </row>
    <row r="116" spans="2:20" ht="12" customHeight="1" x14ac:dyDescent="0.2">
      <c r="B116" s="390" t="s">
        <v>358</v>
      </c>
      <c r="C116" s="877">
        <v>0</v>
      </c>
      <c r="D116" s="878">
        <f>C116*(1+G116)</f>
        <v>0</v>
      </c>
      <c r="E116" s="1463">
        <f>D116*(1+H116)</f>
        <v>0</v>
      </c>
      <c r="F116" s="1472" t="s">
        <v>652</v>
      </c>
      <c r="G116" s="1454">
        <v>0.03</v>
      </c>
      <c r="H116" s="1455">
        <f>G116</f>
        <v>0.03</v>
      </c>
      <c r="I116" s="1605"/>
      <c r="J116" s="1616"/>
      <c r="K116" s="746"/>
      <c r="L116" s="1284"/>
      <c r="M116" s="1284"/>
      <c r="N116" s="1284"/>
      <c r="O116" s="1284"/>
      <c r="P116" s="1284"/>
      <c r="Q116" s="1284"/>
      <c r="R116" s="1284"/>
      <c r="S116" s="1284"/>
      <c r="T116" s="1285"/>
    </row>
    <row r="117" spans="2:20" ht="12" customHeight="1" x14ac:dyDescent="0.2">
      <c r="B117" s="390" t="s">
        <v>359</v>
      </c>
      <c r="C117" s="880">
        <v>0</v>
      </c>
      <c r="D117" s="879">
        <f>C117*12/C$13+G117*C117*12/C$13</f>
        <v>0</v>
      </c>
      <c r="E117" s="1468">
        <f>D117*(1+H117)</f>
        <v>0</v>
      </c>
      <c r="F117" s="1472" t="s">
        <v>650</v>
      </c>
      <c r="G117" s="1454">
        <v>0</v>
      </c>
      <c r="H117" s="1455">
        <f>G117</f>
        <v>0</v>
      </c>
      <c r="I117" s="1605"/>
      <c r="J117" s="1616"/>
      <c r="K117" s="746"/>
      <c r="L117" s="1284"/>
      <c r="M117" s="1284"/>
      <c r="N117" s="1284"/>
      <c r="O117" s="1284"/>
      <c r="P117" s="1284"/>
      <c r="Q117" s="1284"/>
      <c r="R117" s="1284"/>
      <c r="S117" s="1284"/>
      <c r="T117" s="1285"/>
    </row>
    <row r="118" spans="2:20" ht="12" customHeight="1" x14ac:dyDescent="0.2">
      <c r="B118" s="390" t="s">
        <v>360</v>
      </c>
      <c r="C118" s="881">
        <f>IF(C116=0,0,C117*C116/(1+C115))</f>
        <v>0</v>
      </c>
      <c r="D118" s="881">
        <f>IF(D116=0,0,D117*D116/(1+D115))</f>
        <v>0</v>
      </c>
      <c r="E118" s="1465">
        <f>IF(E116=0,0,E117*E116/(1+E115))</f>
        <v>0</v>
      </c>
      <c r="F118" s="1473"/>
      <c r="G118" s="1044"/>
      <c r="H118" s="1044"/>
      <c r="I118" s="1606"/>
      <c r="J118" s="1616"/>
      <c r="K118" s="746"/>
      <c r="L118" s="1284"/>
      <c r="M118" s="1284"/>
      <c r="N118" s="1284"/>
      <c r="O118" s="1284"/>
      <c r="P118" s="1284"/>
      <c r="Q118" s="1284"/>
      <c r="R118" s="1284"/>
      <c r="S118" s="1284"/>
      <c r="T118" s="1285"/>
    </row>
    <row r="119" spans="2:20" ht="12" customHeight="1" x14ac:dyDescent="0.2">
      <c r="B119" s="390" t="s">
        <v>361</v>
      </c>
      <c r="C119" s="877">
        <v>0</v>
      </c>
      <c r="D119" s="878">
        <f>C119*(1+G119)</f>
        <v>0</v>
      </c>
      <c r="E119" s="1463">
        <f>D119*(1+H119)</f>
        <v>0</v>
      </c>
      <c r="F119" s="1472" t="s">
        <v>651</v>
      </c>
      <c r="G119" s="1454">
        <v>0.03</v>
      </c>
      <c r="H119" s="1455">
        <f>G119</f>
        <v>0.03</v>
      </c>
      <c r="I119" s="1605"/>
      <c r="J119" s="1616"/>
      <c r="K119" s="746"/>
      <c r="L119" s="1284"/>
      <c r="M119" s="1284"/>
      <c r="N119" s="1284"/>
      <c r="O119" s="1284"/>
      <c r="P119" s="1284"/>
      <c r="Q119" s="1284"/>
      <c r="R119" s="1284"/>
      <c r="S119" s="1284"/>
      <c r="T119" s="1285"/>
    </row>
    <row r="120" spans="2:20" ht="12" customHeight="1" x14ac:dyDescent="0.2">
      <c r="B120" s="390" t="s">
        <v>362</v>
      </c>
      <c r="C120" s="362">
        <v>0</v>
      </c>
      <c r="D120" s="361">
        <f>C120</f>
        <v>0</v>
      </c>
      <c r="E120" s="1454">
        <f>D120</f>
        <v>0</v>
      </c>
      <c r="F120" s="1473"/>
      <c r="G120" s="1044"/>
      <c r="H120" s="1044"/>
      <c r="I120" s="1606"/>
      <c r="J120" s="1616"/>
      <c r="K120" s="746"/>
      <c r="L120" s="1284"/>
      <c r="M120" s="1284"/>
      <c r="N120" s="1284"/>
      <c r="O120" s="1284"/>
      <c r="P120" s="1284"/>
      <c r="Q120" s="1284"/>
      <c r="R120" s="1284"/>
      <c r="S120" s="1284"/>
      <c r="T120" s="1285"/>
    </row>
    <row r="121" spans="2:20" ht="12" customHeight="1" x14ac:dyDescent="0.2">
      <c r="B121" s="390" t="s">
        <v>363</v>
      </c>
      <c r="C121" s="882">
        <f>IF(C116=0,0,(C116-(C119+(C119*C120)))/C116)</f>
        <v>0</v>
      </c>
      <c r="D121" s="882">
        <f>IF(D116=0,0,(D116-(D119+(D119*D120)))/D116)</f>
        <v>0</v>
      </c>
      <c r="E121" s="1466">
        <f>IF(E116=0,0,(E116-(E119+(E119*E120)))/E116)</f>
        <v>0</v>
      </c>
      <c r="F121" s="1473"/>
      <c r="G121" s="1044"/>
      <c r="H121" s="1044"/>
      <c r="I121" s="1606"/>
      <c r="J121" s="1616"/>
      <c r="K121" s="746"/>
      <c r="L121" s="1284"/>
      <c r="M121" s="1284"/>
      <c r="N121" s="1284"/>
      <c r="O121" s="1284"/>
      <c r="P121" s="1284"/>
      <c r="Q121" s="1284"/>
      <c r="R121" s="1284"/>
      <c r="S121" s="1284"/>
      <c r="T121" s="1285"/>
    </row>
    <row r="122" spans="2:20" ht="12" customHeight="1" x14ac:dyDescent="0.2">
      <c r="B122" s="390" t="s">
        <v>710</v>
      </c>
      <c r="C122" s="883">
        <f>IF(C119=0,0,(C119/(1-C120))/(1+C115))</f>
        <v>0</v>
      </c>
      <c r="D122" s="883">
        <f>IF(D119=0,0,(D119/(1-D120))/(1+D115))</f>
        <v>0</v>
      </c>
      <c r="E122" s="1467">
        <f>IF(E119=0,0,(E119/(1-E120))/(1+E115))</f>
        <v>0</v>
      </c>
      <c r="F122" s="1473"/>
      <c r="G122" s="1044"/>
      <c r="H122" s="1044"/>
      <c r="I122" s="1606"/>
      <c r="J122" s="1616"/>
      <c r="K122" s="746"/>
      <c r="L122" s="1284"/>
      <c r="M122" s="1284"/>
      <c r="N122" s="1284"/>
      <c r="O122" s="1284"/>
      <c r="P122" s="1284"/>
      <c r="Q122" s="1284"/>
      <c r="R122" s="1284"/>
      <c r="S122" s="1284"/>
      <c r="T122" s="1285"/>
    </row>
    <row r="123" spans="2:20" ht="12" customHeight="1" x14ac:dyDescent="0.2">
      <c r="B123" s="390" t="s">
        <v>711</v>
      </c>
      <c r="C123" s="881">
        <f>C122*C117</f>
        <v>0</v>
      </c>
      <c r="D123" s="881">
        <f>D122*D117</f>
        <v>0</v>
      </c>
      <c r="E123" s="1465">
        <f>E122*E117</f>
        <v>0</v>
      </c>
      <c r="F123" s="1473" t="s">
        <v>0</v>
      </c>
      <c r="G123" s="1044"/>
      <c r="H123" s="1044"/>
      <c r="I123" s="1606"/>
      <c r="J123" s="1616"/>
      <c r="K123" s="746"/>
      <c r="L123" s="1284"/>
      <c r="M123" s="1284"/>
      <c r="N123" s="1284"/>
      <c r="O123" s="1284"/>
      <c r="P123" s="1284"/>
      <c r="Q123" s="1284"/>
      <c r="R123" s="1284"/>
      <c r="S123" s="1284"/>
      <c r="T123" s="1285"/>
    </row>
    <row r="124" spans="2:20" s="52" customFormat="1" ht="4.5" customHeight="1" x14ac:dyDescent="0.2">
      <c r="B124" s="1478"/>
      <c r="C124" s="1479"/>
      <c r="D124" s="1479"/>
      <c r="E124" s="1479"/>
      <c r="F124" s="1607"/>
      <c r="G124" s="1456"/>
      <c r="H124" s="1456"/>
      <c r="I124" s="1608"/>
      <c r="J124" s="1617"/>
      <c r="K124" s="1322"/>
      <c r="L124" s="1323"/>
      <c r="M124" s="1323"/>
      <c r="N124" s="1323"/>
      <c r="O124" s="1323"/>
      <c r="P124" s="1323"/>
      <c r="Q124" s="1323"/>
      <c r="R124" s="1323"/>
      <c r="S124" s="1323"/>
      <c r="T124" s="1324"/>
    </row>
    <row r="125" spans="2:20" ht="12" customHeight="1" x14ac:dyDescent="0.2">
      <c r="B125" s="393" t="s">
        <v>712</v>
      </c>
      <c r="C125" s="361">
        <v>0.24</v>
      </c>
      <c r="D125" s="361">
        <f>C125</f>
        <v>0.24</v>
      </c>
      <c r="E125" s="1454">
        <f>D125</f>
        <v>0.24</v>
      </c>
      <c r="F125" s="1474"/>
      <c r="G125" s="364">
        <f>G$25</f>
        <v>2024</v>
      </c>
      <c r="H125" s="364">
        <f>H$25</f>
        <v>2025</v>
      </c>
      <c r="I125" s="1605"/>
      <c r="J125" s="1616"/>
      <c r="K125" s="746"/>
      <c r="L125" s="1284"/>
      <c r="M125" s="1284"/>
      <c r="N125" s="1284"/>
      <c r="O125" s="1284"/>
      <c r="P125" s="1284"/>
      <c r="Q125" s="1284"/>
      <c r="R125" s="1284"/>
      <c r="S125" s="1284"/>
      <c r="T125" s="1285"/>
    </row>
    <row r="126" spans="2:20" ht="12" customHeight="1" x14ac:dyDescent="0.2">
      <c r="B126" s="390" t="s">
        <v>358</v>
      </c>
      <c r="C126" s="1592">
        <v>0</v>
      </c>
      <c r="D126" s="885">
        <f>C126*(1+G126)</f>
        <v>0</v>
      </c>
      <c r="E126" s="1469">
        <f>D126*(1+H126)</f>
        <v>0</v>
      </c>
      <c r="F126" s="1472" t="s">
        <v>652</v>
      </c>
      <c r="G126" s="1454">
        <v>0.03</v>
      </c>
      <c r="H126" s="1455">
        <f>G126</f>
        <v>0.03</v>
      </c>
      <c r="I126" s="1605"/>
      <c r="J126" s="1616"/>
      <c r="K126" s="746"/>
      <c r="L126" s="1284"/>
      <c r="M126" s="1284"/>
      <c r="N126" s="1284"/>
      <c r="O126" s="1284"/>
      <c r="P126" s="1284"/>
      <c r="Q126" s="1284"/>
      <c r="R126" s="1284"/>
      <c r="S126" s="1284"/>
      <c r="T126" s="1285"/>
    </row>
    <row r="127" spans="2:20" ht="12" customHeight="1" x14ac:dyDescent="0.2">
      <c r="B127" s="390" t="s">
        <v>359</v>
      </c>
      <c r="C127" s="1593">
        <v>0</v>
      </c>
      <c r="D127" s="879">
        <f>C127*12/C$13+G127*C127*12/C$13</f>
        <v>0</v>
      </c>
      <c r="E127" s="1468">
        <f>D127*(1+H127)</f>
        <v>0</v>
      </c>
      <c r="F127" s="1472" t="s">
        <v>650</v>
      </c>
      <c r="G127" s="1454">
        <v>0</v>
      </c>
      <c r="H127" s="1455">
        <f>G127</f>
        <v>0</v>
      </c>
      <c r="I127" s="1605"/>
      <c r="J127" s="1616"/>
      <c r="K127" s="746"/>
      <c r="L127" s="1284"/>
      <c r="M127" s="1284"/>
      <c r="N127" s="1284"/>
      <c r="O127" s="1284"/>
      <c r="P127" s="1284"/>
      <c r="Q127" s="1284"/>
      <c r="R127" s="1284"/>
      <c r="S127" s="1284"/>
      <c r="T127" s="1285"/>
    </row>
    <row r="128" spans="2:20" ht="12" customHeight="1" x14ac:dyDescent="0.2">
      <c r="B128" s="390" t="s">
        <v>813</v>
      </c>
      <c r="C128" s="1593">
        <v>0</v>
      </c>
      <c r="D128" s="880">
        <f>C128*(1+G128)</f>
        <v>0</v>
      </c>
      <c r="E128" s="1468">
        <f>D128*(1+H128)</f>
        <v>0</v>
      </c>
      <c r="F128" s="1472" t="s">
        <v>652</v>
      </c>
      <c r="G128" s="1454">
        <v>0.03</v>
      </c>
      <c r="H128" s="1455">
        <f>G128</f>
        <v>0.03</v>
      </c>
      <c r="I128" s="1606"/>
      <c r="J128" s="1616"/>
      <c r="K128" s="746"/>
      <c r="L128" s="1284"/>
      <c r="M128" s="1284"/>
      <c r="N128" s="1284"/>
      <c r="O128" s="1284"/>
      <c r="P128" s="1284"/>
      <c r="Q128" s="1284"/>
      <c r="R128" s="1284"/>
      <c r="S128" s="1284"/>
      <c r="T128" s="1285"/>
    </row>
    <row r="129" spans="2:20" ht="12" customHeight="1" x14ac:dyDescent="0.2">
      <c r="B129" s="390" t="s">
        <v>362</v>
      </c>
      <c r="C129" s="994">
        <v>0</v>
      </c>
      <c r="D129" s="995">
        <f>C129</f>
        <v>0</v>
      </c>
      <c r="E129" s="1470">
        <f>D129</f>
        <v>0</v>
      </c>
      <c r="F129" s="1473"/>
      <c r="G129" s="1044"/>
      <c r="H129" s="1044"/>
      <c r="I129" s="1605"/>
      <c r="J129" s="1616"/>
      <c r="K129" s="746"/>
      <c r="L129" s="1284"/>
      <c r="M129" s="1284"/>
      <c r="N129" s="1284"/>
      <c r="O129" s="1284"/>
      <c r="P129" s="1284"/>
      <c r="Q129" s="1284"/>
      <c r="R129" s="1284"/>
      <c r="S129" s="1284"/>
      <c r="T129" s="1285"/>
    </row>
    <row r="130" spans="2:20" ht="12" customHeight="1" x14ac:dyDescent="0.2">
      <c r="B130" s="390" t="s">
        <v>709</v>
      </c>
      <c r="C130" s="985">
        <f>IF(C126=0,0,C127*C126-'AT2 Myynnin alv'!B19)</f>
        <v>0</v>
      </c>
      <c r="D130" s="985">
        <f>IF(D126=0,0,D127*D126-'AT2 Myynnin alv'!C19)</f>
        <v>0</v>
      </c>
      <c r="E130" s="1471">
        <f>IF(E126=0,0,E127*E126-'AT2 Myynnin alv'!D19)</f>
        <v>0</v>
      </c>
      <c r="F130" s="1473"/>
      <c r="G130" s="1044"/>
      <c r="H130" s="1044"/>
      <c r="I130" s="1606"/>
      <c r="J130" s="1616"/>
      <c r="K130" s="746"/>
      <c r="L130" s="1284"/>
      <c r="M130" s="1284"/>
      <c r="N130" s="1284"/>
      <c r="O130" s="1284"/>
      <c r="P130" s="1284"/>
      <c r="Q130" s="1284"/>
      <c r="R130" s="1284"/>
      <c r="S130" s="1284"/>
      <c r="T130" s="1285"/>
    </row>
    <row r="131" spans="2:20" ht="12" customHeight="1" x14ac:dyDescent="0.2">
      <c r="B131" s="390" t="s">
        <v>363</v>
      </c>
      <c r="C131" s="882">
        <f>IF(C126=0,0,(C130-C133)/C130)</f>
        <v>0</v>
      </c>
      <c r="D131" s="882">
        <f t="shared" ref="D131:E131" si="6">IF(D126=0,0,(D130-D133)/D130)</f>
        <v>0</v>
      </c>
      <c r="E131" s="1466">
        <f t="shared" si="6"/>
        <v>0</v>
      </c>
      <c r="F131" s="1473"/>
      <c r="G131" s="1044"/>
      <c r="H131" s="1044"/>
      <c r="I131" s="1606"/>
      <c r="J131" s="1616"/>
      <c r="K131" s="746"/>
      <c r="L131" s="1284"/>
      <c r="M131" s="1284"/>
      <c r="N131" s="1284"/>
      <c r="O131" s="1284"/>
      <c r="P131" s="1284"/>
      <c r="Q131" s="1284"/>
      <c r="R131" s="1284"/>
      <c r="S131" s="1284"/>
      <c r="T131" s="1285"/>
    </row>
    <row r="132" spans="2:20" ht="12" customHeight="1" x14ac:dyDescent="0.2">
      <c r="B132" s="390" t="s">
        <v>710</v>
      </c>
      <c r="C132" s="883">
        <f>IF(C128=0,0,(C128/(1-C129)))</f>
        <v>0</v>
      </c>
      <c r="D132" s="883">
        <f t="shared" ref="D132:E132" si="7">IF(D128=0,0,(D128/(1-D129)))</f>
        <v>0</v>
      </c>
      <c r="E132" s="1467">
        <f t="shared" si="7"/>
        <v>0</v>
      </c>
      <c r="F132" s="1473"/>
      <c r="G132" s="1044"/>
      <c r="H132" s="1044"/>
      <c r="I132" s="1606"/>
      <c r="J132" s="1616"/>
      <c r="K132" s="746"/>
      <c r="L132" s="1284"/>
      <c r="M132" s="1284"/>
      <c r="N132" s="1284"/>
      <c r="O132" s="1284"/>
      <c r="P132" s="1284"/>
      <c r="Q132" s="1284"/>
      <c r="R132" s="1284"/>
      <c r="S132" s="1284"/>
      <c r="T132" s="1285"/>
    </row>
    <row r="133" spans="2:20" ht="12" customHeight="1" x14ac:dyDescent="0.2">
      <c r="B133" s="390" t="s">
        <v>711</v>
      </c>
      <c r="C133" s="881">
        <f>C132*C127</f>
        <v>0</v>
      </c>
      <c r="D133" s="881">
        <f>D132*D127</f>
        <v>0</v>
      </c>
      <c r="E133" s="1465">
        <f>E132*E127</f>
        <v>0</v>
      </c>
      <c r="F133" s="1612" t="s">
        <v>0</v>
      </c>
      <c r="G133" s="1613"/>
      <c r="H133" s="1613"/>
      <c r="I133" s="1614"/>
      <c r="J133" s="1616"/>
      <c r="K133" s="1325"/>
      <c r="L133" s="1272"/>
      <c r="M133" s="1272"/>
      <c r="N133" s="1272"/>
      <c r="O133" s="1272"/>
      <c r="P133" s="1272"/>
      <c r="Q133" s="1272"/>
      <c r="R133" s="1272"/>
      <c r="S133" s="1272"/>
      <c r="T133" s="1293"/>
    </row>
    <row r="134" spans="2:20" ht="4.5" customHeight="1" x14ac:dyDescent="0.2">
      <c r="B134" s="168"/>
      <c r="C134" s="428"/>
      <c r="D134" s="428"/>
      <c r="E134" s="428"/>
      <c r="F134" s="363"/>
      <c r="G134" s="363"/>
      <c r="H134" s="363"/>
      <c r="I134" s="387"/>
    </row>
    <row r="135" spans="2:20" ht="12.75" customHeight="1" x14ac:dyDescent="0.2">
      <c r="B135" s="1459" t="s">
        <v>662</v>
      </c>
      <c r="C135" s="1460">
        <f>C76*C77+C86*C87+C96*C97+C106*C107+C116*C117+C126*C127+C65</f>
        <v>308818</v>
      </c>
      <c r="D135" s="1460">
        <f>D76*D77+D86*D87+D96*D97+D106*D107+D116*D117+D126*D127+D65</f>
        <v>348894.99</v>
      </c>
      <c r="E135" s="1460">
        <f>E76*E77+E86*E87+E96*E97+E106*E107+E116*E117+E126*E127+E65</f>
        <v>386284.56422500004</v>
      </c>
      <c r="F135" s="363"/>
      <c r="G135" s="363"/>
      <c r="H135" s="363"/>
      <c r="I135" s="387"/>
    </row>
    <row r="136" spans="2:20" ht="12" customHeight="1" x14ac:dyDescent="0.2">
      <c r="B136" s="1461" t="s">
        <v>663</v>
      </c>
      <c r="C136" s="1460">
        <f>C88+C98+C108+C118+C130+C66+C78</f>
        <v>270892.98245614039</v>
      </c>
      <c r="D136" s="1460">
        <f>D88+D98+D108+D118+D130+D66+D78</f>
        <v>306048.23684210522</v>
      </c>
      <c r="E136" s="1460">
        <f>E88+E98+E108+E118+E130+E66+E78</f>
        <v>338846.10896929819</v>
      </c>
      <c r="F136" s="363"/>
      <c r="G136" s="363"/>
      <c r="H136" s="363"/>
      <c r="I136" s="387"/>
    </row>
    <row r="137" spans="2:20" s="966" customFormat="1" ht="12" customHeight="1" x14ac:dyDescent="0.2">
      <c r="B137" s="1461" t="s">
        <v>750</v>
      </c>
      <c r="C137" s="1460">
        <f>C123+C123*C115+C113+C113*C105+C103+C103*C95+C93+C93*C85+C83+C83*C75+C67</f>
        <v>150211.0544217687</v>
      </c>
      <c r="D137" s="1460">
        <f t="shared" ref="D137:E137" si="8">D123+D123*D115+D113+D113*D105+D103+D103*D95+D93+D93*D85+D83+D83*D75+D67</f>
        <v>168721.9527210884</v>
      </c>
      <c r="E137" s="1460">
        <f t="shared" si="8"/>
        <v>185265.55518605441</v>
      </c>
      <c r="F137" s="363"/>
      <c r="G137" s="363"/>
      <c r="H137" s="363"/>
      <c r="I137" s="387"/>
      <c r="R137" s="1217"/>
    </row>
    <row r="138" spans="2:20" ht="12" customHeight="1" x14ac:dyDescent="0.2">
      <c r="B138" s="1461" t="s">
        <v>751</v>
      </c>
      <c r="C138" s="1460">
        <f>C133+C123+C113+C103+C93+C83+C68</f>
        <v>131764.08282611289</v>
      </c>
      <c r="D138" s="1460">
        <f>D133+D123+D113+D103+D93+D83+D68</f>
        <v>148001.71291323547</v>
      </c>
      <c r="E138" s="1460">
        <f>E133+E123+E113+E103+E93+E83+E68</f>
        <v>162513.64490004772</v>
      </c>
      <c r="F138" s="363"/>
      <c r="G138" s="363"/>
      <c r="H138" s="363"/>
      <c r="I138" s="387"/>
    </row>
    <row r="139" spans="2:20" ht="12" customHeight="1" x14ac:dyDescent="0.2">
      <c r="B139" s="1461" t="s">
        <v>854</v>
      </c>
      <c r="C139" s="1462">
        <f>IF(C136=0,0,(C136-C138)/C136)</f>
        <v>0.51359359097666368</v>
      </c>
      <c r="D139" s="1462">
        <f t="shared" ref="D139:E139" si="9">IF(D136=0,0,(D136-D138)/D136)</f>
        <v>0.51641050299665103</v>
      </c>
      <c r="E139" s="1462">
        <f t="shared" si="9"/>
        <v>0.52039099579929782</v>
      </c>
      <c r="F139" s="363"/>
      <c r="G139" s="363"/>
      <c r="H139" s="363"/>
      <c r="I139" s="387"/>
    </row>
    <row r="140" spans="2:20" ht="4.5" customHeight="1" x14ac:dyDescent="0.2">
      <c r="B140" s="397"/>
      <c r="C140" s="890"/>
      <c r="D140" s="890"/>
      <c r="E140" s="890"/>
      <c r="F140" s="363"/>
      <c r="G140" s="363"/>
      <c r="H140" s="363"/>
      <c r="I140" s="387"/>
    </row>
    <row r="141" spans="2:20" ht="12" customHeight="1" x14ac:dyDescent="0.2">
      <c r="B141" s="1705"/>
      <c r="C141" s="1452" t="str">
        <f t="shared" ref="C141:E142" si="10">C11</f>
        <v>Period 1</v>
      </c>
      <c r="D141" s="1452" t="str">
        <f t="shared" si="10"/>
        <v>Period 2</v>
      </c>
      <c r="E141" s="1452" t="str">
        <f t="shared" si="10"/>
        <v>Period 3</v>
      </c>
      <c r="F141" s="363"/>
      <c r="G141" s="363"/>
      <c r="H141" s="363"/>
      <c r="I141" s="387"/>
    </row>
    <row r="142" spans="2:20" ht="12" customHeight="1" x14ac:dyDescent="0.2">
      <c r="B142" s="1705"/>
      <c r="C142" s="1486">
        <f t="shared" si="10"/>
        <v>2023</v>
      </c>
      <c r="D142" s="1486">
        <f t="shared" si="10"/>
        <v>2024</v>
      </c>
      <c r="E142" s="1486">
        <f t="shared" si="10"/>
        <v>2025</v>
      </c>
      <c r="F142" s="363"/>
      <c r="G142" s="363"/>
      <c r="H142" s="363"/>
      <c r="I142" s="387"/>
    </row>
    <row r="143" spans="2:20" ht="12" customHeight="1" x14ac:dyDescent="0.2">
      <c r="B143" s="1450" t="str">
        <f>B73</f>
        <v>Räkenskapsperiodens längd</v>
      </c>
      <c r="C143" s="1487">
        <f>C73</f>
        <v>12</v>
      </c>
      <c r="D143" s="1487">
        <f>D73</f>
        <v>12</v>
      </c>
      <c r="E143" s="1487">
        <f>E73</f>
        <v>12</v>
      </c>
      <c r="F143" s="363"/>
      <c r="G143" s="363"/>
      <c r="H143" s="363"/>
      <c r="I143" s="387"/>
    </row>
    <row r="144" spans="2:20" ht="6" customHeight="1" x14ac:dyDescent="0.2">
      <c r="B144" s="168"/>
      <c r="C144" s="428"/>
      <c r="D144" s="428"/>
      <c r="E144" s="428"/>
      <c r="F144" s="363"/>
      <c r="G144" s="363"/>
      <c r="H144" s="363"/>
      <c r="I144" s="387"/>
    </row>
    <row r="145" spans="1:20" ht="12" customHeight="1" x14ac:dyDescent="0.2">
      <c r="B145" s="393">
        <v>0</v>
      </c>
      <c r="C145" s="361">
        <v>0.24</v>
      </c>
      <c r="D145" s="361">
        <f>C145</f>
        <v>0.24</v>
      </c>
      <c r="E145" s="1454">
        <f>D145</f>
        <v>0.24</v>
      </c>
      <c r="F145" s="1602"/>
      <c r="G145" s="1603">
        <f>G$15</f>
        <v>2024</v>
      </c>
      <c r="H145" s="1603">
        <f>H$15</f>
        <v>2025</v>
      </c>
      <c r="I145" s="1604"/>
      <c r="K145" s="1302" t="s">
        <v>351</v>
      </c>
      <c r="L145" s="1318"/>
      <c r="M145" s="1318"/>
      <c r="N145" s="1318"/>
      <c r="O145" s="1318"/>
      <c r="P145" s="1318"/>
      <c r="Q145" s="1318"/>
      <c r="R145" s="1318"/>
      <c r="S145" s="1318"/>
      <c r="T145" s="1319"/>
    </row>
    <row r="146" spans="1:20" ht="12" customHeight="1" x14ac:dyDescent="0.2">
      <c r="B146" s="390" t="s">
        <v>358</v>
      </c>
      <c r="C146" s="877">
        <v>0</v>
      </c>
      <c r="D146" s="877">
        <f>C146*(1+G146)</f>
        <v>0</v>
      </c>
      <c r="E146" s="1463">
        <f>D146*(1+H146)</f>
        <v>0</v>
      </c>
      <c r="F146" s="1472" t="s">
        <v>652</v>
      </c>
      <c r="G146" s="1455">
        <v>0.03</v>
      </c>
      <c r="H146" s="1458">
        <f>G146</f>
        <v>0.03</v>
      </c>
      <c r="I146" s="1605"/>
      <c r="K146" s="746"/>
      <c r="L146" s="1284"/>
      <c r="M146" s="1284"/>
      <c r="N146" s="1284"/>
      <c r="O146" s="1284"/>
      <c r="P146" s="1284"/>
      <c r="Q146" s="1284"/>
      <c r="R146" s="1284"/>
      <c r="S146" s="1284"/>
      <c r="T146" s="1285"/>
    </row>
    <row r="147" spans="1:20" ht="12" customHeight="1" x14ac:dyDescent="0.2">
      <c r="B147" s="390" t="s">
        <v>359</v>
      </c>
      <c r="C147" s="880">
        <v>0</v>
      </c>
      <c r="D147" s="880">
        <f>C147*12/C$13+G147*C147*12/C$13</f>
        <v>0</v>
      </c>
      <c r="E147" s="1468">
        <f>D147*(1+H147)</f>
        <v>0</v>
      </c>
      <c r="F147" s="1472" t="s">
        <v>650</v>
      </c>
      <c r="G147" s="1455">
        <v>0</v>
      </c>
      <c r="H147" s="1458">
        <f>G147</f>
        <v>0</v>
      </c>
      <c r="I147" s="1605"/>
      <c r="K147" s="746"/>
      <c r="L147" s="1284"/>
      <c r="M147" s="1284"/>
      <c r="N147" s="1284"/>
      <c r="O147" s="1284"/>
      <c r="P147" s="1284"/>
      <c r="Q147" s="1284"/>
      <c r="R147" s="1284"/>
      <c r="S147" s="1284"/>
      <c r="T147" s="1285"/>
    </row>
    <row r="148" spans="1:20" ht="12" customHeight="1" x14ac:dyDescent="0.2">
      <c r="B148" s="390" t="s">
        <v>360</v>
      </c>
      <c r="C148" s="881">
        <f>IF(C146=0,0,C147*C146/(1+C145))</f>
        <v>0</v>
      </c>
      <c r="D148" s="881">
        <f>IF(D146=0,0,D147*D146/(1+D145))</f>
        <v>0</v>
      </c>
      <c r="E148" s="1465">
        <f>IF(E146=0,0,E147*E146/(1+E145))</f>
        <v>0</v>
      </c>
      <c r="F148" s="1473"/>
      <c r="G148" s="1044"/>
      <c r="H148" s="1044"/>
      <c r="I148" s="1606"/>
      <c r="K148" s="746"/>
      <c r="L148" s="1284"/>
      <c r="M148" s="1284"/>
      <c r="N148" s="1284"/>
      <c r="O148" s="1284"/>
      <c r="P148" s="1284"/>
      <c r="Q148" s="1284"/>
      <c r="R148" s="1284"/>
      <c r="S148" s="1284"/>
      <c r="T148" s="1285"/>
    </row>
    <row r="149" spans="1:20" ht="12" customHeight="1" x14ac:dyDescent="0.2">
      <c r="B149" s="390" t="s">
        <v>361</v>
      </c>
      <c r="C149" s="877">
        <v>0</v>
      </c>
      <c r="D149" s="877">
        <f>C149*(1+G149)</f>
        <v>0</v>
      </c>
      <c r="E149" s="1463">
        <f>D149*(1+H149)</f>
        <v>0</v>
      </c>
      <c r="F149" s="1472" t="s">
        <v>651</v>
      </c>
      <c r="G149" s="1455">
        <v>0.03</v>
      </c>
      <c r="H149" s="1458">
        <f>G149</f>
        <v>0.03</v>
      </c>
      <c r="I149" s="1605"/>
      <c r="K149" s="746"/>
      <c r="L149" s="1284"/>
      <c r="M149" s="1284"/>
      <c r="N149" s="1284"/>
      <c r="O149" s="1284"/>
      <c r="P149" s="1284"/>
      <c r="Q149" s="1284"/>
      <c r="R149" s="1284"/>
      <c r="S149" s="1284"/>
      <c r="T149" s="1285"/>
    </row>
    <row r="150" spans="1:20" ht="12" customHeight="1" x14ac:dyDescent="0.2">
      <c r="B150" s="390" t="s">
        <v>362</v>
      </c>
      <c r="C150" s="362">
        <v>0</v>
      </c>
      <c r="D150" s="362">
        <f>C150</f>
        <v>0</v>
      </c>
      <c r="E150" s="1454">
        <f>D150</f>
        <v>0</v>
      </c>
      <c r="F150" s="1473"/>
      <c r="G150" s="1044"/>
      <c r="H150" s="1044"/>
      <c r="I150" s="1606"/>
      <c r="K150" s="746"/>
      <c r="L150" s="1284"/>
      <c r="M150" s="1284"/>
      <c r="N150" s="1284"/>
      <c r="O150" s="1284"/>
      <c r="P150" s="1284"/>
      <c r="Q150" s="1284"/>
      <c r="R150" s="1284"/>
      <c r="S150" s="1284"/>
      <c r="T150" s="1285"/>
    </row>
    <row r="151" spans="1:20" ht="12" customHeight="1" x14ac:dyDescent="0.2">
      <c r="B151" s="390" t="s">
        <v>363</v>
      </c>
      <c r="C151" s="882">
        <f>IF(C146=0,0,(C146-(C149+(C149*C150)))/C146)</f>
        <v>0</v>
      </c>
      <c r="D151" s="882">
        <f>IF(D146=0,0,(D146-(D149+(D149*D150)))/D146)</f>
        <v>0</v>
      </c>
      <c r="E151" s="1466">
        <f>IF(E146=0,0,(E146-(E149+(E149*E150)))/E146)</f>
        <v>0</v>
      </c>
      <c r="F151" s="1473"/>
      <c r="G151" s="1044"/>
      <c r="H151" s="1044"/>
      <c r="I151" s="1606"/>
      <c r="K151" s="746"/>
      <c r="L151" s="1284"/>
      <c r="M151" s="1284"/>
      <c r="N151" s="1284"/>
      <c r="O151" s="1284"/>
      <c r="P151" s="1284"/>
      <c r="Q151" s="1284"/>
      <c r="R151" s="1284"/>
      <c r="S151" s="1284"/>
      <c r="T151" s="1285"/>
    </row>
    <row r="152" spans="1:20" ht="12" customHeight="1" x14ac:dyDescent="0.2">
      <c r="B152" s="390" t="s">
        <v>710</v>
      </c>
      <c r="C152" s="883">
        <f>IF(C149=0,0,(C149/(1-C150))/(1+C145))</f>
        <v>0</v>
      </c>
      <c r="D152" s="883">
        <f>IF(D149=0,0,(D149/(1-D150))/(1+D145))</f>
        <v>0</v>
      </c>
      <c r="E152" s="1467">
        <f>IF(E149=0,0,(E149/(1-E150))/(1+E145))</f>
        <v>0</v>
      </c>
      <c r="F152" s="1473"/>
      <c r="G152" s="1044"/>
      <c r="H152" s="1044"/>
      <c r="I152" s="1606"/>
      <c r="K152" s="746"/>
      <c r="L152" s="1284"/>
      <c r="M152" s="1284"/>
      <c r="N152" s="1284"/>
      <c r="O152" s="1284"/>
      <c r="P152" s="1284"/>
      <c r="Q152" s="1284"/>
      <c r="R152" s="1284"/>
      <c r="S152" s="1284"/>
      <c r="T152" s="1285"/>
    </row>
    <row r="153" spans="1:20" ht="12" customHeight="1" x14ac:dyDescent="0.2">
      <c r="B153" s="390" t="s">
        <v>711</v>
      </c>
      <c r="C153" s="881">
        <f>C152*C147</f>
        <v>0</v>
      </c>
      <c r="D153" s="881">
        <f>D152*D147</f>
        <v>0</v>
      </c>
      <c r="E153" s="1465">
        <f>E152*E147</f>
        <v>0</v>
      </c>
      <c r="F153" s="1473"/>
      <c r="G153" s="1044"/>
      <c r="H153" s="1044"/>
      <c r="I153" s="1606"/>
      <c r="K153" s="746"/>
      <c r="L153" s="1284"/>
      <c r="M153" s="1284"/>
      <c r="N153" s="1284"/>
      <c r="O153" s="1284"/>
      <c r="P153" s="1284"/>
      <c r="Q153" s="1284"/>
      <c r="R153" s="1284"/>
      <c r="S153" s="1284"/>
      <c r="T153" s="1285"/>
    </row>
    <row r="154" spans="1:20" s="52" customFormat="1" ht="4.5" customHeight="1" x14ac:dyDescent="0.2">
      <c r="B154" s="1476"/>
      <c r="C154" s="1477"/>
      <c r="D154" s="1477"/>
      <c r="E154" s="1477"/>
      <c r="F154" s="1607"/>
      <c r="G154" s="1456"/>
      <c r="H154" s="1456"/>
      <c r="I154" s="1608"/>
      <c r="K154" s="1322"/>
      <c r="L154" s="1323"/>
      <c r="M154" s="1323"/>
      <c r="N154" s="1323"/>
      <c r="O154" s="1323"/>
      <c r="P154" s="1323"/>
      <c r="Q154" s="1323"/>
      <c r="R154" s="1323"/>
      <c r="S154" s="1323"/>
      <c r="T154" s="1324"/>
    </row>
    <row r="155" spans="1:20" ht="12" customHeight="1" x14ac:dyDescent="0.2">
      <c r="A155" s="168"/>
      <c r="B155" s="393">
        <v>0</v>
      </c>
      <c r="C155" s="361">
        <v>0.24</v>
      </c>
      <c r="D155" s="361">
        <f>C155</f>
        <v>0.24</v>
      </c>
      <c r="E155" s="1454">
        <f>D155</f>
        <v>0.24</v>
      </c>
      <c r="F155" s="1474"/>
      <c r="G155" s="364">
        <f>G$25</f>
        <v>2024</v>
      </c>
      <c r="H155" s="364">
        <f>H$25</f>
        <v>2025</v>
      </c>
      <c r="I155" s="1605"/>
      <c r="K155" s="746"/>
      <c r="L155" s="1284"/>
      <c r="M155" s="1284"/>
      <c r="N155" s="1284"/>
      <c r="O155" s="1284"/>
      <c r="P155" s="1284"/>
      <c r="Q155" s="1284"/>
      <c r="R155" s="1284"/>
      <c r="S155" s="1284"/>
      <c r="T155" s="1285"/>
    </row>
    <row r="156" spans="1:20" ht="12" customHeight="1" x14ac:dyDescent="0.2">
      <c r="B156" s="390" t="s">
        <v>358</v>
      </c>
      <c r="C156" s="877">
        <v>0</v>
      </c>
      <c r="D156" s="877">
        <f>C156*(1+G156)</f>
        <v>0</v>
      </c>
      <c r="E156" s="1463">
        <f>D156*(1+H156)</f>
        <v>0</v>
      </c>
      <c r="F156" s="1472" t="s">
        <v>652</v>
      </c>
      <c r="G156" s="1454">
        <v>0.03</v>
      </c>
      <c r="H156" s="1455">
        <f>G156</f>
        <v>0.03</v>
      </c>
      <c r="I156" s="1605"/>
      <c r="K156" s="746"/>
      <c r="L156" s="1284"/>
      <c r="M156" s="1284"/>
      <c r="N156" s="1284"/>
      <c r="O156" s="1284"/>
      <c r="P156" s="1284"/>
      <c r="Q156" s="1284"/>
      <c r="R156" s="1284"/>
      <c r="S156" s="1284"/>
      <c r="T156" s="1285"/>
    </row>
    <row r="157" spans="1:20" ht="12" customHeight="1" x14ac:dyDescent="0.2">
      <c r="A157" s="168"/>
      <c r="B157" s="390" t="s">
        <v>359</v>
      </c>
      <c r="C157" s="880">
        <v>0</v>
      </c>
      <c r="D157" s="880">
        <f>C157*12/C$13+G157*C157*12/C$13</f>
        <v>0</v>
      </c>
      <c r="E157" s="1468">
        <f>D157*(1+H157)</f>
        <v>0</v>
      </c>
      <c r="F157" s="1472" t="s">
        <v>650</v>
      </c>
      <c r="G157" s="1454">
        <v>0</v>
      </c>
      <c r="H157" s="1455">
        <f>G157</f>
        <v>0</v>
      </c>
      <c r="I157" s="1605"/>
      <c r="K157" s="746"/>
      <c r="L157" s="1284"/>
      <c r="M157" s="1284"/>
      <c r="N157" s="1284"/>
      <c r="O157" s="1284"/>
      <c r="P157" s="1284"/>
      <c r="Q157" s="1284"/>
      <c r="R157" s="1284"/>
      <c r="S157" s="1284"/>
      <c r="T157" s="1285"/>
    </row>
    <row r="158" spans="1:20" ht="12" customHeight="1" x14ac:dyDescent="0.2">
      <c r="A158" s="2"/>
      <c r="B158" s="390" t="s">
        <v>360</v>
      </c>
      <c r="C158" s="881">
        <f>IF(C156=0,0,C157*C156/(1+C155))</f>
        <v>0</v>
      </c>
      <c r="D158" s="881">
        <f>IF(D156=0,0,D157*D156/(1+D155))</f>
        <v>0</v>
      </c>
      <c r="E158" s="1465">
        <f>IF(E156=0,0,E157*E156/(1+E155))</f>
        <v>0</v>
      </c>
      <c r="F158" s="1473"/>
      <c r="G158" s="1044"/>
      <c r="H158" s="1044"/>
      <c r="I158" s="1606"/>
      <c r="K158" s="746"/>
      <c r="L158" s="1284"/>
      <c r="M158" s="1284"/>
      <c r="N158" s="1284"/>
      <c r="O158" s="1284"/>
      <c r="P158" s="1284"/>
      <c r="Q158" s="1284"/>
      <c r="R158" s="1284"/>
      <c r="S158" s="1284"/>
      <c r="T158" s="1285"/>
    </row>
    <row r="159" spans="1:20" ht="12" customHeight="1" x14ac:dyDescent="0.2">
      <c r="A159" s="168"/>
      <c r="B159" s="390" t="s">
        <v>361</v>
      </c>
      <c r="C159" s="877">
        <v>0</v>
      </c>
      <c r="D159" s="877">
        <f>C159*(1+G159)</f>
        <v>0</v>
      </c>
      <c r="E159" s="1463">
        <f>D159*(1+H159)</f>
        <v>0</v>
      </c>
      <c r="F159" s="1472" t="s">
        <v>651</v>
      </c>
      <c r="G159" s="1454">
        <v>0.03</v>
      </c>
      <c r="H159" s="1455">
        <f>G159</f>
        <v>0.03</v>
      </c>
      <c r="I159" s="1605"/>
      <c r="K159" s="746"/>
      <c r="L159" s="1284"/>
      <c r="M159" s="1284"/>
      <c r="N159" s="1284"/>
      <c r="O159" s="1284"/>
      <c r="P159" s="1284"/>
      <c r="Q159" s="1284"/>
      <c r="R159" s="1284"/>
      <c r="S159" s="1284"/>
      <c r="T159" s="1285"/>
    </row>
    <row r="160" spans="1:20" ht="12" customHeight="1" x14ac:dyDescent="0.2">
      <c r="B160" s="390" t="s">
        <v>362</v>
      </c>
      <c r="C160" s="362">
        <v>0</v>
      </c>
      <c r="D160" s="362">
        <f>C160</f>
        <v>0</v>
      </c>
      <c r="E160" s="1454">
        <f>D160</f>
        <v>0</v>
      </c>
      <c r="F160" s="1473"/>
      <c r="G160" s="1044"/>
      <c r="H160" s="1044"/>
      <c r="I160" s="1606"/>
      <c r="K160" s="746"/>
      <c r="L160" s="1284"/>
      <c r="M160" s="1284"/>
      <c r="N160" s="1284"/>
      <c r="O160" s="1284"/>
      <c r="P160" s="1284"/>
      <c r="Q160" s="1284"/>
      <c r="R160" s="1284"/>
      <c r="S160" s="1284"/>
      <c r="T160" s="1285"/>
    </row>
    <row r="161" spans="1:20" ht="12" customHeight="1" x14ac:dyDescent="0.2">
      <c r="A161" s="168"/>
      <c r="B161" s="390" t="s">
        <v>363</v>
      </c>
      <c r="C161" s="882">
        <f>IF(C156=0,0,(C156-(C159+(C159*C160)))/C156)</f>
        <v>0</v>
      </c>
      <c r="D161" s="882">
        <f>IF(D156=0,0,(D156-(D159+(D159*D160)))/D156)</f>
        <v>0</v>
      </c>
      <c r="E161" s="1466">
        <f>IF(E156=0,0,(E156-(E159+(E159*E160)))/E156)</f>
        <v>0</v>
      </c>
      <c r="F161" s="1473"/>
      <c r="G161" s="1044"/>
      <c r="H161" s="1044"/>
      <c r="I161" s="1606"/>
      <c r="K161" s="746"/>
      <c r="L161" s="1284"/>
      <c r="M161" s="1284"/>
      <c r="N161" s="1284"/>
      <c r="O161" s="1284"/>
      <c r="P161" s="1284"/>
      <c r="Q161" s="1284"/>
      <c r="R161" s="1284"/>
      <c r="S161" s="1284"/>
      <c r="T161" s="1285"/>
    </row>
    <row r="162" spans="1:20" ht="12" customHeight="1" x14ac:dyDescent="0.2">
      <c r="B162" s="390" t="s">
        <v>710</v>
      </c>
      <c r="C162" s="883">
        <f>IF(C159=0,0,(C159/(1-C160))/(1+C155))</f>
        <v>0</v>
      </c>
      <c r="D162" s="883">
        <f>IF(D159=0,0,(D159/(1-D160))/(1+D155))</f>
        <v>0</v>
      </c>
      <c r="E162" s="1467">
        <f>IF(E159=0,0,(E159/(1-E160))/(1+E155))</f>
        <v>0</v>
      </c>
      <c r="F162" s="1473"/>
      <c r="G162" s="1044"/>
      <c r="H162" s="1044"/>
      <c r="I162" s="1606"/>
      <c r="K162" s="746"/>
      <c r="L162" s="1284"/>
      <c r="M162" s="1284"/>
      <c r="N162" s="1284"/>
      <c r="O162" s="1284"/>
      <c r="P162" s="1284"/>
      <c r="Q162" s="1284"/>
      <c r="R162" s="1284"/>
      <c r="S162" s="1284"/>
      <c r="T162" s="1285"/>
    </row>
    <row r="163" spans="1:20" ht="12" customHeight="1" x14ac:dyDescent="0.2">
      <c r="A163" s="168"/>
      <c r="B163" s="390" t="s">
        <v>711</v>
      </c>
      <c r="C163" s="881">
        <f>C162*C157</f>
        <v>0</v>
      </c>
      <c r="D163" s="881">
        <f>D162*D157</f>
        <v>0</v>
      </c>
      <c r="E163" s="1465">
        <f>E162*E157</f>
        <v>0</v>
      </c>
      <c r="F163" s="1473"/>
      <c r="G163" s="1044"/>
      <c r="H163" s="1044"/>
      <c r="I163" s="1606"/>
      <c r="K163" s="746"/>
      <c r="L163" s="1284"/>
      <c r="M163" s="1284"/>
      <c r="N163" s="1284"/>
      <c r="O163" s="1284"/>
      <c r="P163" s="1284"/>
      <c r="Q163" s="1284"/>
      <c r="R163" s="1284"/>
      <c r="S163" s="1284"/>
      <c r="T163" s="1285"/>
    </row>
    <row r="164" spans="1:20" ht="4.5" customHeight="1" x14ac:dyDescent="0.2">
      <c r="A164" s="2"/>
      <c r="B164" s="1480"/>
      <c r="C164" s="1477"/>
      <c r="D164" s="1477"/>
      <c r="E164" s="1477"/>
      <c r="F164" s="1609"/>
      <c r="G164" s="1045"/>
      <c r="H164" s="1045"/>
      <c r="I164" s="1610"/>
      <c r="K164" s="746"/>
      <c r="L164" s="1284"/>
      <c r="M164" s="1284"/>
      <c r="N164" s="1284"/>
      <c r="O164" s="1284"/>
      <c r="P164" s="1284"/>
      <c r="Q164" s="1284"/>
      <c r="R164" s="1284"/>
      <c r="S164" s="1284"/>
      <c r="T164" s="1285"/>
    </row>
    <row r="165" spans="1:20" ht="12" customHeight="1" x14ac:dyDescent="0.2">
      <c r="B165" s="393">
        <v>0</v>
      </c>
      <c r="C165" s="361">
        <v>0.24</v>
      </c>
      <c r="D165" s="361">
        <f>C165</f>
        <v>0.24</v>
      </c>
      <c r="E165" s="1454">
        <f>D165</f>
        <v>0.24</v>
      </c>
      <c r="F165" s="1474"/>
      <c r="G165" s="364">
        <f>G$25</f>
        <v>2024</v>
      </c>
      <c r="H165" s="364">
        <f>H$25</f>
        <v>2025</v>
      </c>
      <c r="I165" s="1605"/>
      <c r="K165" s="746"/>
      <c r="L165" s="1284"/>
      <c r="M165" s="1284"/>
      <c r="N165" s="1284"/>
      <c r="O165" s="1284"/>
      <c r="P165" s="1284"/>
      <c r="Q165" s="1284"/>
      <c r="R165" s="1284"/>
      <c r="S165" s="1284"/>
      <c r="T165" s="1285"/>
    </row>
    <row r="166" spans="1:20" ht="12" customHeight="1" x14ac:dyDescent="0.2">
      <c r="A166" s="168"/>
      <c r="B166" s="390" t="s">
        <v>358</v>
      </c>
      <c r="C166" s="877">
        <v>0</v>
      </c>
      <c r="D166" s="877">
        <f>C166*(1+G166)</f>
        <v>0</v>
      </c>
      <c r="E166" s="1463">
        <f>D166*(1+H166)</f>
        <v>0</v>
      </c>
      <c r="F166" s="1472" t="s">
        <v>652</v>
      </c>
      <c r="G166" s="1454">
        <v>0.03</v>
      </c>
      <c r="H166" s="1455">
        <f>G166</f>
        <v>0.03</v>
      </c>
      <c r="I166" s="1605"/>
      <c r="K166" s="746"/>
      <c r="L166" s="1284"/>
      <c r="M166" s="1284"/>
      <c r="N166" s="1284"/>
      <c r="O166" s="1284"/>
      <c r="P166" s="1284"/>
      <c r="Q166" s="1284"/>
      <c r="R166" s="1284"/>
      <c r="S166" s="1284"/>
      <c r="T166" s="1285"/>
    </row>
    <row r="167" spans="1:20" ht="12" customHeight="1" x14ac:dyDescent="0.2">
      <c r="B167" s="390" t="s">
        <v>359</v>
      </c>
      <c r="C167" s="880">
        <v>0</v>
      </c>
      <c r="D167" s="880">
        <f>C167*12/C$13+G167*C167*12/C$13</f>
        <v>0</v>
      </c>
      <c r="E167" s="1468">
        <f>D167*(1+H167)</f>
        <v>0</v>
      </c>
      <c r="F167" s="1472" t="s">
        <v>650</v>
      </c>
      <c r="G167" s="1454">
        <v>0</v>
      </c>
      <c r="H167" s="1455">
        <f>G167</f>
        <v>0</v>
      </c>
      <c r="I167" s="1605"/>
      <c r="K167" s="746"/>
      <c r="L167" s="1284"/>
      <c r="M167" s="1284"/>
      <c r="N167" s="1284"/>
      <c r="O167" s="1284"/>
      <c r="P167" s="1284"/>
      <c r="Q167" s="1284"/>
      <c r="R167" s="1284"/>
      <c r="S167" s="1284"/>
      <c r="T167" s="1285"/>
    </row>
    <row r="168" spans="1:20" ht="12" customHeight="1" x14ac:dyDescent="0.2">
      <c r="A168" s="168"/>
      <c r="B168" s="390" t="s">
        <v>360</v>
      </c>
      <c r="C168" s="881">
        <f>IF(C166=0,0,C167*C166/(1+C165))</f>
        <v>0</v>
      </c>
      <c r="D168" s="881">
        <f>IF(D166=0,0,D167*D166/(1+D165))</f>
        <v>0</v>
      </c>
      <c r="E168" s="1465">
        <f>IF(E166=0,0,E167*E166/(1+E165))</f>
        <v>0</v>
      </c>
      <c r="F168" s="1473"/>
      <c r="G168" s="1044"/>
      <c r="H168" s="1044"/>
      <c r="I168" s="1606"/>
      <c r="K168" s="746"/>
      <c r="L168" s="1284"/>
      <c r="M168" s="1284"/>
      <c r="N168" s="1284"/>
      <c r="O168" s="1284"/>
      <c r="P168" s="1284"/>
      <c r="Q168" s="1284"/>
      <c r="R168" s="1284"/>
      <c r="S168" s="1284"/>
      <c r="T168" s="1285"/>
    </row>
    <row r="169" spans="1:20" ht="12" customHeight="1" x14ac:dyDescent="0.2">
      <c r="A169" s="2"/>
      <c r="B169" s="390" t="s">
        <v>361</v>
      </c>
      <c r="C169" s="877">
        <v>0</v>
      </c>
      <c r="D169" s="877">
        <f>C169*(1+G169)</f>
        <v>0</v>
      </c>
      <c r="E169" s="1463">
        <f>D169*(1+H169)</f>
        <v>0</v>
      </c>
      <c r="F169" s="1472" t="s">
        <v>651</v>
      </c>
      <c r="G169" s="1454">
        <v>0.03</v>
      </c>
      <c r="H169" s="1455">
        <f>G169</f>
        <v>0.03</v>
      </c>
      <c r="I169" s="1605"/>
      <c r="K169" s="746"/>
      <c r="L169" s="1284"/>
      <c r="M169" s="1284"/>
      <c r="N169" s="1284"/>
      <c r="O169" s="1284"/>
      <c r="P169" s="1284"/>
      <c r="Q169" s="1284"/>
      <c r="R169" s="1284"/>
      <c r="S169" s="1284"/>
      <c r="T169" s="1285"/>
    </row>
    <row r="170" spans="1:20" ht="12" customHeight="1" x14ac:dyDescent="0.2">
      <c r="A170" s="168"/>
      <c r="B170" s="390" t="s">
        <v>362</v>
      </c>
      <c r="C170" s="362">
        <v>0</v>
      </c>
      <c r="D170" s="362">
        <f>C170</f>
        <v>0</v>
      </c>
      <c r="E170" s="1454">
        <f>D170</f>
        <v>0</v>
      </c>
      <c r="F170" s="1473"/>
      <c r="G170" s="1044"/>
      <c r="H170" s="1044"/>
      <c r="I170" s="1606"/>
      <c r="K170" s="746"/>
      <c r="L170" s="1284"/>
      <c r="M170" s="1284"/>
      <c r="N170" s="1284"/>
      <c r="O170" s="1284"/>
      <c r="P170" s="1284"/>
      <c r="Q170" s="1284"/>
      <c r="R170" s="1284"/>
      <c r="S170" s="1284"/>
      <c r="T170" s="1285"/>
    </row>
    <row r="171" spans="1:20" ht="12" customHeight="1" x14ac:dyDescent="0.2">
      <c r="B171" s="390" t="s">
        <v>363</v>
      </c>
      <c r="C171" s="882">
        <f>IF(C166=0,0,(C166-(C169+(C169*C170)))/C166)</f>
        <v>0</v>
      </c>
      <c r="D171" s="882">
        <f>IF(D166=0,0,(D166-(D169+(D169*D170)))/D166)</f>
        <v>0</v>
      </c>
      <c r="E171" s="1466">
        <f>IF(E166=0,0,(E166-(E169+(E169*E170)))/E166)</f>
        <v>0</v>
      </c>
      <c r="F171" s="1473"/>
      <c r="G171" s="1044"/>
      <c r="H171" s="1044"/>
      <c r="I171" s="1606"/>
      <c r="K171" s="746"/>
      <c r="L171" s="1284"/>
      <c r="M171" s="1284"/>
      <c r="N171" s="1284"/>
      <c r="O171" s="1284"/>
      <c r="P171" s="1284"/>
      <c r="Q171" s="1284"/>
      <c r="R171" s="1284"/>
      <c r="S171" s="1284"/>
      <c r="T171" s="1285"/>
    </row>
    <row r="172" spans="1:20" ht="12" customHeight="1" x14ac:dyDescent="0.2">
      <c r="A172" s="168"/>
      <c r="B172" s="390" t="s">
        <v>710</v>
      </c>
      <c r="C172" s="883">
        <f>IF(C169=0,0,(C169/(1-C170))/(1+C165))</f>
        <v>0</v>
      </c>
      <c r="D172" s="883">
        <f>IF(D169=0,0,(D169/(1-D170))/(1+D165))</f>
        <v>0</v>
      </c>
      <c r="E172" s="1467">
        <f>IF(E169=0,0,(E169/(1-E170))/(1+E165))</f>
        <v>0</v>
      </c>
      <c r="F172" s="1473"/>
      <c r="G172" s="1044"/>
      <c r="H172" s="1044"/>
      <c r="I172" s="1606"/>
      <c r="K172" s="746"/>
      <c r="L172" s="1284"/>
      <c r="M172" s="1284"/>
      <c r="N172" s="1284"/>
      <c r="O172" s="1284"/>
      <c r="P172" s="1284"/>
      <c r="Q172" s="1284"/>
      <c r="R172" s="1284"/>
      <c r="S172" s="1284"/>
      <c r="T172" s="1285"/>
    </row>
    <row r="173" spans="1:20" ht="12" customHeight="1" x14ac:dyDescent="0.2">
      <c r="B173" s="390" t="s">
        <v>711</v>
      </c>
      <c r="C173" s="881">
        <f>C172*C167</f>
        <v>0</v>
      </c>
      <c r="D173" s="881">
        <f>D172*D167</f>
        <v>0</v>
      </c>
      <c r="E173" s="1465">
        <f>E172*E167</f>
        <v>0</v>
      </c>
      <c r="F173" s="1473"/>
      <c r="G173" s="1044"/>
      <c r="H173" s="1044"/>
      <c r="I173" s="1606"/>
      <c r="K173" s="746"/>
      <c r="L173" s="1284"/>
      <c r="M173" s="1284"/>
      <c r="N173" s="1284"/>
      <c r="O173" s="1284"/>
      <c r="P173" s="1284"/>
      <c r="Q173" s="1284"/>
      <c r="R173" s="1284"/>
      <c r="S173" s="1284"/>
      <c r="T173" s="1285"/>
    </row>
    <row r="174" spans="1:20" s="52" customFormat="1" ht="4.5" customHeight="1" x14ac:dyDescent="0.2">
      <c r="A174" s="433"/>
      <c r="B174" s="1476"/>
      <c r="C174" s="1477"/>
      <c r="D174" s="1477"/>
      <c r="E174" s="1477"/>
      <c r="F174" s="1611"/>
      <c r="G174" s="1457"/>
      <c r="H174" s="1457"/>
      <c r="I174" s="1608"/>
      <c r="K174" s="1322"/>
      <c r="L174" s="1323"/>
      <c r="M174" s="1323"/>
      <c r="N174" s="1323"/>
      <c r="O174" s="1323"/>
      <c r="P174" s="1323"/>
      <c r="Q174" s="1323"/>
      <c r="R174" s="1323"/>
      <c r="S174" s="1323"/>
      <c r="T174" s="1324"/>
    </row>
    <row r="175" spans="1:20" ht="12" customHeight="1" x14ac:dyDescent="0.2">
      <c r="A175" s="2"/>
      <c r="B175" s="393">
        <v>0</v>
      </c>
      <c r="C175" s="361">
        <v>0.24</v>
      </c>
      <c r="D175" s="361">
        <f>C175</f>
        <v>0.24</v>
      </c>
      <c r="E175" s="1454">
        <f>D175</f>
        <v>0.24</v>
      </c>
      <c r="F175" s="1474"/>
      <c r="G175" s="364">
        <f>G$25</f>
        <v>2024</v>
      </c>
      <c r="H175" s="364">
        <f>H$25</f>
        <v>2025</v>
      </c>
      <c r="I175" s="1605"/>
      <c r="K175" s="746"/>
      <c r="L175" s="1284"/>
      <c r="M175" s="1284"/>
      <c r="N175" s="1284"/>
      <c r="O175" s="1284"/>
      <c r="P175" s="1284"/>
      <c r="Q175" s="1284"/>
      <c r="R175" s="1284"/>
      <c r="S175" s="1284"/>
      <c r="T175" s="1285"/>
    </row>
    <row r="176" spans="1:20" ht="12" customHeight="1" x14ac:dyDescent="0.2">
      <c r="B176" s="390" t="s">
        <v>358</v>
      </c>
      <c r="C176" s="877">
        <v>0</v>
      </c>
      <c r="D176" s="885">
        <f>C176*(1+G176)</f>
        <v>0</v>
      </c>
      <c r="E176" s="1469">
        <f>D176*(1+H176)</f>
        <v>0</v>
      </c>
      <c r="F176" s="1472" t="s">
        <v>652</v>
      </c>
      <c r="G176" s="1454">
        <v>0.03</v>
      </c>
      <c r="H176" s="1455">
        <f>G176</f>
        <v>0.03</v>
      </c>
      <c r="I176" s="1605"/>
      <c r="K176" s="746"/>
      <c r="L176" s="1284"/>
      <c r="M176" s="1284"/>
      <c r="N176" s="1284"/>
      <c r="O176" s="1284"/>
      <c r="P176" s="1284"/>
      <c r="Q176" s="1284"/>
      <c r="R176" s="1284"/>
      <c r="S176" s="1284"/>
      <c r="T176" s="1285"/>
    </row>
    <row r="177" spans="2:20" ht="12" customHeight="1" x14ac:dyDescent="0.2">
      <c r="B177" s="390" t="s">
        <v>359</v>
      </c>
      <c r="C177" s="880">
        <v>0</v>
      </c>
      <c r="D177" s="879">
        <f>C177*12/C$13+G177*C177*12/C$13</f>
        <v>0</v>
      </c>
      <c r="E177" s="1468">
        <f>D177*(1+H177)</f>
        <v>0</v>
      </c>
      <c r="F177" s="1472" t="s">
        <v>650</v>
      </c>
      <c r="G177" s="1454">
        <v>0</v>
      </c>
      <c r="H177" s="1455">
        <f>G177</f>
        <v>0</v>
      </c>
      <c r="I177" s="1605"/>
      <c r="K177" s="746"/>
      <c r="L177" s="1284"/>
      <c r="M177" s="1284"/>
      <c r="N177" s="1284"/>
      <c r="O177" s="1284"/>
      <c r="P177" s="1284"/>
      <c r="Q177" s="1284"/>
      <c r="R177" s="1284"/>
      <c r="S177" s="1284"/>
      <c r="T177" s="1285"/>
    </row>
    <row r="178" spans="2:20" ht="12" customHeight="1" x14ac:dyDescent="0.2">
      <c r="B178" s="390" t="s">
        <v>360</v>
      </c>
      <c r="C178" s="881">
        <f>IF(C176=0,0,C177*C176/(1+C175))</f>
        <v>0</v>
      </c>
      <c r="D178" s="881">
        <f>IF(D176=0,0,D177*D176/(1+D175))</f>
        <v>0</v>
      </c>
      <c r="E178" s="1465">
        <f>IF(E176=0,0,E177*E176/(1+E175))</f>
        <v>0</v>
      </c>
      <c r="F178" s="1473"/>
      <c r="G178" s="1044"/>
      <c r="H178" s="1044"/>
      <c r="I178" s="1606"/>
      <c r="K178" s="746"/>
      <c r="L178" s="1284"/>
      <c r="M178" s="1284"/>
      <c r="N178" s="1284"/>
      <c r="O178" s="1284"/>
      <c r="P178" s="1284"/>
      <c r="Q178" s="1284"/>
      <c r="R178" s="1284"/>
      <c r="S178" s="1284"/>
      <c r="T178" s="1285"/>
    </row>
    <row r="179" spans="2:20" ht="12" customHeight="1" x14ac:dyDescent="0.2">
      <c r="B179" s="390" t="s">
        <v>361</v>
      </c>
      <c r="C179" s="877">
        <v>0</v>
      </c>
      <c r="D179" s="878">
        <f>C179*(1+G179)</f>
        <v>0</v>
      </c>
      <c r="E179" s="1463">
        <f>D179*(1+H179)</f>
        <v>0</v>
      </c>
      <c r="F179" s="1472" t="s">
        <v>651</v>
      </c>
      <c r="G179" s="1454">
        <v>0.03</v>
      </c>
      <c r="H179" s="1455">
        <f>G179</f>
        <v>0.03</v>
      </c>
      <c r="I179" s="1605"/>
      <c r="K179" s="746"/>
      <c r="L179" s="1284"/>
      <c r="M179" s="1284"/>
      <c r="N179" s="1284"/>
      <c r="O179" s="1284"/>
      <c r="P179" s="1284"/>
      <c r="Q179" s="1284"/>
      <c r="R179" s="1284"/>
      <c r="S179" s="1284"/>
      <c r="T179" s="1285"/>
    </row>
    <row r="180" spans="2:20" ht="12" customHeight="1" x14ac:dyDescent="0.2">
      <c r="B180" s="390" t="s">
        <v>362</v>
      </c>
      <c r="C180" s="362">
        <v>0</v>
      </c>
      <c r="D180" s="361">
        <f>C180</f>
        <v>0</v>
      </c>
      <c r="E180" s="1454">
        <f>D180</f>
        <v>0</v>
      </c>
      <c r="F180" s="1473"/>
      <c r="G180" s="1044"/>
      <c r="H180" s="1044"/>
      <c r="I180" s="1606"/>
      <c r="K180" s="746"/>
      <c r="L180" s="1284"/>
      <c r="M180" s="1284"/>
      <c r="N180" s="1284"/>
      <c r="O180" s="1284"/>
      <c r="P180" s="1284"/>
      <c r="Q180" s="1284"/>
      <c r="R180" s="1284"/>
      <c r="S180" s="1284"/>
      <c r="T180" s="1285"/>
    </row>
    <row r="181" spans="2:20" ht="12" customHeight="1" x14ac:dyDescent="0.2">
      <c r="B181" s="390" t="s">
        <v>363</v>
      </c>
      <c r="C181" s="882">
        <f>IF(C176=0,0,(C176-(C179+(C179*C180)))/C176)</f>
        <v>0</v>
      </c>
      <c r="D181" s="882">
        <f>IF(D176=0,0,(D176-(D179+(D179*D180)))/D176)</f>
        <v>0</v>
      </c>
      <c r="E181" s="1466">
        <f>IF(E176=0,0,(E176-(E179+(E179*E180)))/E176)</f>
        <v>0</v>
      </c>
      <c r="F181" s="1473"/>
      <c r="G181" s="1044"/>
      <c r="H181" s="1044"/>
      <c r="I181" s="1606"/>
      <c r="K181" s="746"/>
      <c r="L181" s="1284"/>
      <c r="M181" s="1284"/>
      <c r="N181" s="1284"/>
      <c r="O181" s="1284"/>
      <c r="P181" s="1284"/>
      <c r="Q181" s="1284"/>
      <c r="R181" s="1284"/>
      <c r="S181" s="1284"/>
      <c r="T181" s="1285"/>
    </row>
    <row r="182" spans="2:20" ht="12" customHeight="1" x14ac:dyDescent="0.2">
      <c r="B182" s="390" t="s">
        <v>710</v>
      </c>
      <c r="C182" s="883">
        <f>IF(C179=0,0,(C179/(1-C180))/(1+C175))</f>
        <v>0</v>
      </c>
      <c r="D182" s="883">
        <f>IF(D179=0,0,(D179/(1-D180))/(1+D175))</f>
        <v>0</v>
      </c>
      <c r="E182" s="1467">
        <f>IF(E179=0,0,(E179/(1-E180))/(1+E175))</f>
        <v>0</v>
      </c>
      <c r="F182" s="1473"/>
      <c r="G182" s="1044"/>
      <c r="H182" s="1044"/>
      <c r="I182" s="1606"/>
      <c r="K182" s="746"/>
      <c r="L182" s="1284"/>
      <c r="M182" s="1284"/>
      <c r="N182" s="1284"/>
      <c r="O182" s="1284"/>
      <c r="P182" s="1284"/>
      <c r="Q182" s="1284"/>
      <c r="R182" s="1284"/>
      <c r="S182" s="1284"/>
      <c r="T182" s="1285"/>
    </row>
    <row r="183" spans="2:20" ht="12" customHeight="1" x14ac:dyDescent="0.2">
      <c r="B183" s="390" t="s">
        <v>711</v>
      </c>
      <c r="C183" s="881">
        <f>C182*C177</f>
        <v>0</v>
      </c>
      <c r="D183" s="881">
        <f>D182*D177</f>
        <v>0</v>
      </c>
      <c r="E183" s="1465">
        <f>E182*E177</f>
        <v>0</v>
      </c>
      <c r="F183" s="1473" t="s">
        <v>0</v>
      </c>
      <c r="G183" s="1044"/>
      <c r="H183" s="1044"/>
      <c r="I183" s="1606"/>
      <c r="K183" s="746"/>
      <c r="L183" s="1284"/>
      <c r="M183" s="1284"/>
      <c r="N183" s="1284"/>
      <c r="O183" s="1284"/>
      <c r="P183" s="1284"/>
      <c r="Q183" s="1284"/>
      <c r="R183" s="1284"/>
      <c r="S183" s="1284"/>
      <c r="T183" s="1285"/>
    </row>
    <row r="184" spans="2:20" s="52" customFormat="1" ht="4.5" customHeight="1" x14ac:dyDescent="0.2">
      <c r="B184" s="1476"/>
      <c r="C184" s="1477"/>
      <c r="D184" s="1477"/>
      <c r="E184" s="1477"/>
      <c r="F184" s="1611"/>
      <c r="G184" s="1457"/>
      <c r="H184" s="1457"/>
      <c r="I184" s="1608"/>
      <c r="K184" s="1322"/>
      <c r="L184" s="1323"/>
      <c r="M184" s="1323"/>
      <c r="N184" s="1323"/>
      <c r="O184" s="1323"/>
      <c r="P184" s="1323"/>
      <c r="Q184" s="1323"/>
      <c r="R184" s="1323"/>
      <c r="S184" s="1323"/>
      <c r="T184" s="1324"/>
    </row>
    <row r="185" spans="2:20" ht="12" customHeight="1" x14ac:dyDescent="0.2">
      <c r="B185" s="393">
        <v>0</v>
      </c>
      <c r="C185" s="361">
        <v>0.24</v>
      </c>
      <c r="D185" s="361">
        <f>C185</f>
        <v>0.24</v>
      </c>
      <c r="E185" s="1454">
        <f>D185</f>
        <v>0.24</v>
      </c>
      <c r="F185" s="1474"/>
      <c r="G185" s="364">
        <f>G$25</f>
        <v>2024</v>
      </c>
      <c r="H185" s="364">
        <f>H$25</f>
        <v>2025</v>
      </c>
      <c r="I185" s="1605"/>
      <c r="K185" s="746"/>
      <c r="L185" s="1284"/>
      <c r="M185" s="1284"/>
      <c r="N185" s="1284"/>
      <c r="O185" s="1284"/>
      <c r="P185" s="1284"/>
      <c r="Q185" s="1284"/>
      <c r="R185" s="1284"/>
      <c r="S185" s="1284"/>
      <c r="T185" s="1285"/>
    </row>
    <row r="186" spans="2:20" ht="12" customHeight="1" x14ac:dyDescent="0.2">
      <c r="B186" s="390" t="s">
        <v>358</v>
      </c>
      <c r="C186" s="1592">
        <v>0</v>
      </c>
      <c r="D186" s="885">
        <f>C186*(1+G186)</f>
        <v>0</v>
      </c>
      <c r="E186" s="1469">
        <f>D186*(1+H186)</f>
        <v>0</v>
      </c>
      <c r="F186" s="1472" t="s">
        <v>652</v>
      </c>
      <c r="G186" s="1454">
        <v>0.03</v>
      </c>
      <c r="H186" s="1455">
        <f>G186</f>
        <v>0.03</v>
      </c>
      <c r="I186" s="1605"/>
      <c r="K186" s="746"/>
      <c r="L186" s="1284"/>
      <c r="M186" s="1284"/>
      <c r="N186" s="1284"/>
      <c r="O186" s="1284"/>
      <c r="P186" s="1284"/>
      <c r="Q186" s="1284"/>
      <c r="R186" s="1284"/>
      <c r="S186" s="1284"/>
      <c r="T186" s="1285"/>
    </row>
    <row r="187" spans="2:20" ht="12" customHeight="1" x14ac:dyDescent="0.2">
      <c r="B187" s="390" t="s">
        <v>359</v>
      </c>
      <c r="C187" s="1593">
        <v>0</v>
      </c>
      <c r="D187" s="879">
        <f>C187*(1+G187)</f>
        <v>0</v>
      </c>
      <c r="E187" s="1468">
        <f>D187*(1+H187)</f>
        <v>0</v>
      </c>
      <c r="F187" s="1472" t="s">
        <v>650</v>
      </c>
      <c r="G187" s="1454">
        <v>0</v>
      </c>
      <c r="H187" s="1455">
        <f>G187</f>
        <v>0</v>
      </c>
      <c r="I187" s="1605"/>
      <c r="K187" s="746"/>
      <c r="L187" s="1284"/>
      <c r="M187" s="1284"/>
      <c r="N187" s="1284"/>
      <c r="O187" s="1284"/>
      <c r="P187" s="1284"/>
      <c r="Q187" s="1284"/>
      <c r="R187" s="1284"/>
      <c r="S187" s="1284"/>
      <c r="T187" s="1285"/>
    </row>
    <row r="188" spans="2:20" ht="12" customHeight="1" x14ac:dyDescent="0.2">
      <c r="B188" s="390" t="s">
        <v>360</v>
      </c>
      <c r="C188" s="881">
        <f>IF(C186=0,0,C187*C186/(1+C185))</f>
        <v>0</v>
      </c>
      <c r="D188" s="881">
        <f>IF(D186=0,0,D187*D186/(1+D185))</f>
        <v>0</v>
      </c>
      <c r="E188" s="1465">
        <f>IF(E186=0,0,E187*E186/(1+E185))</f>
        <v>0</v>
      </c>
      <c r="F188" s="1473"/>
      <c r="G188" s="1044"/>
      <c r="H188" s="1044"/>
      <c r="I188" s="1606"/>
      <c r="K188" s="746"/>
      <c r="L188" s="1284"/>
      <c r="M188" s="1284"/>
      <c r="N188" s="1284"/>
      <c r="O188" s="1284"/>
      <c r="P188" s="1284"/>
      <c r="Q188" s="1284"/>
      <c r="R188" s="1284"/>
      <c r="S188" s="1284"/>
      <c r="T188" s="1285"/>
    </row>
    <row r="189" spans="2:20" ht="12" customHeight="1" x14ac:dyDescent="0.2">
      <c r="B189" s="390" t="s">
        <v>361</v>
      </c>
      <c r="C189" s="877">
        <v>0</v>
      </c>
      <c r="D189" s="878">
        <f>C189*(1+G189)</f>
        <v>0</v>
      </c>
      <c r="E189" s="1463">
        <f>D189*(1+H189)</f>
        <v>0</v>
      </c>
      <c r="F189" s="1472" t="s">
        <v>651</v>
      </c>
      <c r="G189" s="1454">
        <v>0.03</v>
      </c>
      <c r="H189" s="1455">
        <f>G189</f>
        <v>0.03</v>
      </c>
      <c r="I189" s="1605"/>
      <c r="K189" s="746"/>
      <c r="L189" s="1284"/>
      <c r="M189" s="1284"/>
      <c r="N189" s="1284"/>
      <c r="O189" s="1284"/>
      <c r="P189" s="1284"/>
      <c r="Q189" s="1284"/>
      <c r="R189" s="1284"/>
      <c r="S189" s="1284"/>
      <c r="T189" s="1285"/>
    </row>
    <row r="190" spans="2:20" ht="12" customHeight="1" x14ac:dyDescent="0.2">
      <c r="B190" s="390" t="s">
        <v>362</v>
      </c>
      <c r="C190" s="362">
        <v>0</v>
      </c>
      <c r="D190" s="361">
        <f>C190</f>
        <v>0</v>
      </c>
      <c r="E190" s="1454">
        <f>D190</f>
        <v>0</v>
      </c>
      <c r="F190" s="1473"/>
      <c r="G190" s="1044"/>
      <c r="H190" s="1044"/>
      <c r="I190" s="1606"/>
      <c r="K190" s="746"/>
      <c r="L190" s="1284"/>
      <c r="M190" s="1284"/>
      <c r="N190" s="1284"/>
      <c r="O190" s="1284"/>
      <c r="P190" s="1284"/>
      <c r="Q190" s="1284"/>
      <c r="R190" s="1284"/>
      <c r="S190" s="1284"/>
      <c r="T190" s="1285"/>
    </row>
    <row r="191" spans="2:20" ht="12" customHeight="1" x14ac:dyDescent="0.2">
      <c r="B191" s="390" t="s">
        <v>363</v>
      </c>
      <c r="C191" s="882">
        <f>IF(C186=0,0,(C186-(C189+(C189*C190)))/C186)</f>
        <v>0</v>
      </c>
      <c r="D191" s="882">
        <f>IF(D186=0,0,(D186-(D189+(D189*D190)))/D186)</f>
        <v>0</v>
      </c>
      <c r="E191" s="1466">
        <f>IF(E186=0,0,(E186-(E189+(E189*E190)))/E186)</f>
        <v>0</v>
      </c>
      <c r="F191" s="1473"/>
      <c r="G191" s="1044"/>
      <c r="H191" s="1044"/>
      <c r="I191" s="1606"/>
      <c r="K191" s="746"/>
      <c r="L191" s="1284"/>
      <c r="M191" s="1284"/>
      <c r="N191" s="1284"/>
      <c r="O191" s="1284"/>
      <c r="P191" s="1284"/>
      <c r="Q191" s="1284"/>
      <c r="R191" s="1284"/>
      <c r="S191" s="1284"/>
      <c r="T191" s="1285"/>
    </row>
    <row r="192" spans="2:20" ht="12" customHeight="1" x14ac:dyDescent="0.2">
      <c r="B192" s="390" t="s">
        <v>710</v>
      </c>
      <c r="C192" s="883">
        <f>IF(C189=0,0,(C189/(1-C190))/(1+C185))</f>
        <v>0</v>
      </c>
      <c r="D192" s="883">
        <f>IF(D189=0,0,(D189/(1-D190))/(1+D185))</f>
        <v>0</v>
      </c>
      <c r="E192" s="1467">
        <f>IF(E189=0,0,(E189/(1-E190))/(1+E185))</f>
        <v>0</v>
      </c>
      <c r="F192" s="1473"/>
      <c r="G192" s="1044"/>
      <c r="H192" s="1044"/>
      <c r="I192" s="1606"/>
      <c r="K192" s="746"/>
      <c r="L192" s="1284"/>
      <c r="M192" s="1284"/>
      <c r="N192" s="1284"/>
      <c r="O192" s="1284"/>
      <c r="P192" s="1284"/>
      <c r="Q192" s="1284"/>
      <c r="R192" s="1284"/>
      <c r="S192" s="1284"/>
      <c r="T192" s="1285"/>
    </row>
    <row r="193" spans="2:20" ht="12" customHeight="1" x14ac:dyDescent="0.2">
      <c r="B193" s="390" t="s">
        <v>711</v>
      </c>
      <c r="C193" s="881">
        <f>C192*C187</f>
        <v>0</v>
      </c>
      <c r="D193" s="881">
        <f>D192*D187</f>
        <v>0</v>
      </c>
      <c r="E193" s="1465">
        <f>E192*E187</f>
        <v>0</v>
      </c>
      <c r="F193" s="1473" t="s">
        <v>0</v>
      </c>
      <c r="G193" s="1044"/>
      <c r="H193" s="1044"/>
      <c r="I193" s="1606"/>
      <c r="K193" s="746"/>
      <c r="L193" s="1284"/>
      <c r="M193" s="1284"/>
      <c r="N193" s="1284"/>
      <c r="O193" s="1284"/>
      <c r="P193" s="1284"/>
      <c r="Q193" s="1284"/>
      <c r="R193" s="1284"/>
      <c r="S193" s="1284"/>
      <c r="T193" s="1285"/>
    </row>
    <row r="194" spans="2:20" s="52" customFormat="1" ht="4.5" customHeight="1" x14ac:dyDescent="0.2">
      <c r="B194" s="1478"/>
      <c r="C194" s="1479"/>
      <c r="D194" s="1479"/>
      <c r="E194" s="1479"/>
      <c r="F194" s="1611"/>
      <c r="G194" s="1457"/>
      <c r="H194" s="1457"/>
      <c r="I194" s="1608"/>
      <c r="K194" s="1322"/>
      <c r="L194" s="1323"/>
      <c r="M194" s="1323"/>
      <c r="N194" s="1323"/>
      <c r="O194" s="1323"/>
      <c r="P194" s="1323"/>
      <c r="Q194" s="1323"/>
      <c r="R194" s="1323"/>
      <c r="S194" s="1323"/>
      <c r="T194" s="1324"/>
    </row>
    <row r="195" spans="2:20" ht="12" customHeight="1" x14ac:dyDescent="0.2">
      <c r="B195" s="393" t="s">
        <v>713</v>
      </c>
      <c r="C195" s="361">
        <v>0.24</v>
      </c>
      <c r="D195" s="361">
        <f>C195</f>
        <v>0.24</v>
      </c>
      <c r="E195" s="1454">
        <f>D195</f>
        <v>0.24</v>
      </c>
      <c r="F195" s="1474"/>
      <c r="G195" s="364">
        <f>G$25</f>
        <v>2024</v>
      </c>
      <c r="H195" s="364">
        <f>H$25</f>
        <v>2025</v>
      </c>
      <c r="I195" s="1605"/>
      <c r="K195" s="746"/>
      <c r="L195" s="1284"/>
      <c r="M195" s="1284"/>
      <c r="N195" s="1284"/>
      <c r="O195" s="1284"/>
      <c r="P195" s="1284"/>
      <c r="Q195" s="1284"/>
      <c r="R195" s="1284"/>
      <c r="S195" s="1284"/>
      <c r="T195" s="1285"/>
    </row>
    <row r="196" spans="2:20" ht="12" customHeight="1" x14ac:dyDescent="0.2">
      <c r="B196" s="390" t="s">
        <v>358</v>
      </c>
      <c r="C196" s="1592">
        <v>0</v>
      </c>
      <c r="D196" s="885">
        <f>C196*(1+G196)</f>
        <v>0</v>
      </c>
      <c r="E196" s="1469">
        <f>D196*(1+H196)</f>
        <v>0</v>
      </c>
      <c r="F196" s="1472" t="s">
        <v>652</v>
      </c>
      <c r="G196" s="1454">
        <v>0.03</v>
      </c>
      <c r="H196" s="1455">
        <f>G196</f>
        <v>0.03</v>
      </c>
      <c r="I196" s="1605"/>
      <c r="K196" s="746"/>
      <c r="L196" s="1284"/>
      <c r="M196" s="1284"/>
      <c r="N196" s="1284"/>
      <c r="O196" s="1284"/>
      <c r="P196" s="1284"/>
      <c r="Q196" s="1284"/>
      <c r="R196" s="1284"/>
      <c r="S196" s="1284"/>
      <c r="T196" s="1285"/>
    </row>
    <row r="197" spans="2:20" ht="12" customHeight="1" x14ac:dyDescent="0.2">
      <c r="B197" s="390" t="s">
        <v>359</v>
      </c>
      <c r="C197" s="1593">
        <v>0</v>
      </c>
      <c r="D197" s="879">
        <f>C197*12/C$13+G197*C197*12/C$13</f>
        <v>0</v>
      </c>
      <c r="E197" s="1468">
        <f>D197*(1+H197)</f>
        <v>0</v>
      </c>
      <c r="F197" s="1472" t="s">
        <v>650</v>
      </c>
      <c r="G197" s="1454">
        <v>0</v>
      </c>
      <c r="H197" s="1455">
        <f>G197</f>
        <v>0</v>
      </c>
      <c r="I197" s="1605"/>
      <c r="K197" s="746"/>
      <c r="L197" s="1284"/>
      <c r="M197" s="1284"/>
      <c r="N197" s="1284"/>
      <c r="O197" s="1284"/>
      <c r="P197" s="1284"/>
      <c r="Q197" s="1284"/>
      <c r="R197" s="1284"/>
      <c r="S197" s="1284"/>
      <c r="T197" s="1285"/>
    </row>
    <row r="198" spans="2:20" ht="12" customHeight="1" x14ac:dyDescent="0.2">
      <c r="B198" s="390" t="s">
        <v>813</v>
      </c>
      <c r="C198" s="1593">
        <v>0</v>
      </c>
      <c r="D198" s="880">
        <f>C198*(1+G198)</f>
        <v>0</v>
      </c>
      <c r="E198" s="1468">
        <f>D198*(1+H198)</f>
        <v>0</v>
      </c>
      <c r="F198" s="1472" t="s">
        <v>652</v>
      </c>
      <c r="G198" s="1454">
        <v>0.03</v>
      </c>
      <c r="H198" s="1455">
        <f>G198</f>
        <v>0.03</v>
      </c>
      <c r="I198" s="1606"/>
      <c r="K198" s="746"/>
      <c r="L198" s="1284"/>
      <c r="M198" s="1284"/>
      <c r="N198" s="1284"/>
      <c r="O198" s="1284"/>
      <c r="P198" s="1284"/>
      <c r="Q198" s="1284"/>
      <c r="R198" s="1284"/>
      <c r="S198" s="1284"/>
      <c r="T198" s="1285"/>
    </row>
    <row r="199" spans="2:20" ht="12" customHeight="1" x14ac:dyDescent="0.2">
      <c r="B199" s="390" t="s">
        <v>362</v>
      </c>
      <c r="C199" s="994">
        <v>0</v>
      </c>
      <c r="D199" s="995">
        <f>C199</f>
        <v>0</v>
      </c>
      <c r="E199" s="1470">
        <f>D199</f>
        <v>0</v>
      </c>
      <c r="F199" s="1473"/>
      <c r="G199" s="1044"/>
      <c r="H199" s="1044"/>
      <c r="I199" s="1605"/>
      <c r="K199" s="746"/>
      <c r="L199" s="1284"/>
      <c r="M199" s="1284"/>
      <c r="N199" s="1284"/>
      <c r="O199" s="1284"/>
      <c r="P199" s="1284"/>
      <c r="Q199" s="1284"/>
      <c r="R199" s="1284"/>
      <c r="S199" s="1284"/>
      <c r="T199" s="1285"/>
    </row>
    <row r="200" spans="2:20" ht="12" customHeight="1" x14ac:dyDescent="0.2">
      <c r="B200" s="390" t="s">
        <v>709</v>
      </c>
      <c r="C200" s="881">
        <f>IF(C196=0,0,C197*C196-'AT2 Myynnin alv'!B26)</f>
        <v>0</v>
      </c>
      <c r="D200" s="881">
        <f>IF(D196=0,0,D197*D196-'AT2 Myynnin alv'!C26)</f>
        <v>0</v>
      </c>
      <c r="E200" s="1465">
        <f>IF(E196=0,0,E197*E196-'AT2 Myynnin alv'!D26)</f>
        <v>0</v>
      </c>
      <c r="F200" s="1473"/>
      <c r="G200" s="1044"/>
      <c r="H200" s="1044"/>
      <c r="I200" s="1606"/>
      <c r="K200" s="746"/>
      <c r="L200" s="1284"/>
      <c r="M200" s="1284"/>
      <c r="N200" s="1284"/>
      <c r="O200" s="1284"/>
      <c r="P200" s="1284"/>
      <c r="Q200" s="1284"/>
      <c r="R200" s="1284"/>
      <c r="S200" s="1284"/>
      <c r="T200" s="1285"/>
    </row>
    <row r="201" spans="2:20" ht="12" customHeight="1" x14ac:dyDescent="0.2">
      <c r="B201" s="390" t="s">
        <v>363</v>
      </c>
      <c r="C201" s="986">
        <f>IF(C196=0,0,(C200-C203)/C200)</f>
        <v>0</v>
      </c>
      <c r="D201" s="986">
        <f t="shared" ref="D201:E201" si="11">IF(D196=0,0,(D200-D203)/D200)</f>
        <v>0</v>
      </c>
      <c r="E201" s="986">
        <f t="shared" si="11"/>
        <v>0</v>
      </c>
      <c r="F201" s="1473"/>
      <c r="G201" s="1044"/>
      <c r="H201" s="1044"/>
      <c r="I201" s="1606"/>
      <c r="K201" s="746"/>
      <c r="L201" s="1284"/>
      <c r="M201" s="1284"/>
      <c r="N201" s="1284"/>
      <c r="O201" s="1284"/>
      <c r="P201" s="1284"/>
      <c r="Q201" s="1284"/>
      <c r="R201" s="1284"/>
      <c r="S201" s="1284"/>
      <c r="T201" s="1285"/>
    </row>
    <row r="202" spans="2:20" ht="12" customHeight="1" x14ac:dyDescent="0.2">
      <c r="B202" s="390" t="s">
        <v>710</v>
      </c>
      <c r="C202" s="883">
        <f>IF(C198=0,0,(C198/(1-C199)))</f>
        <v>0</v>
      </c>
      <c r="D202" s="883">
        <f t="shared" ref="D202:E202" si="12">IF(D198=0,0,(D198/(1-D199)))</f>
        <v>0</v>
      </c>
      <c r="E202" s="1467">
        <f t="shared" si="12"/>
        <v>0</v>
      </c>
      <c r="F202" s="1473">
        <v>0</v>
      </c>
      <c r="G202" s="1044"/>
      <c r="H202" s="1044"/>
      <c r="I202" s="1606"/>
      <c r="K202" s="746"/>
      <c r="L202" s="1284"/>
      <c r="M202" s="1284"/>
      <c r="N202" s="1284"/>
      <c r="O202" s="1284"/>
      <c r="P202" s="1284"/>
      <c r="Q202" s="1284"/>
      <c r="R202" s="1284"/>
      <c r="S202" s="1284"/>
      <c r="T202" s="1285"/>
    </row>
    <row r="203" spans="2:20" ht="12" customHeight="1" x14ac:dyDescent="0.2">
      <c r="B203" s="390" t="s">
        <v>711</v>
      </c>
      <c r="C203" s="881">
        <f>C202*C197</f>
        <v>0</v>
      </c>
      <c r="D203" s="881">
        <f>D202*D197</f>
        <v>0</v>
      </c>
      <c r="E203" s="1465">
        <f>E202*E197</f>
        <v>0</v>
      </c>
      <c r="F203" s="1612" t="s">
        <v>0</v>
      </c>
      <c r="G203" s="1613"/>
      <c r="H203" s="1613"/>
      <c r="I203" s="1614"/>
      <c r="K203" s="1325"/>
      <c r="L203" s="1272"/>
      <c r="M203" s="1272"/>
      <c r="N203" s="1272"/>
      <c r="O203" s="1272"/>
      <c r="P203" s="1272"/>
      <c r="Q203" s="1272"/>
      <c r="R203" s="1272"/>
      <c r="S203" s="1272"/>
      <c r="T203" s="1293"/>
    </row>
    <row r="204" spans="2:20" ht="4.5" customHeight="1" x14ac:dyDescent="0.2">
      <c r="B204" s="168"/>
      <c r="C204" s="428"/>
      <c r="D204" s="428"/>
      <c r="E204" s="428"/>
      <c r="F204" s="168"/>
      <c r="G204" s="168"/>
      <c r="H204" s="168"/>
      <c r="I204" s="168"/>
    </row>
    <row r="205" spans="2:20" ht="12.75" customHeight="1" x14ac:dyDescent="0.2">
      <c r="B205" s="1459" t="s">
        <v>853</v>
      </c>
      <c r="C205" s="1460">
        <f>C146*C147+C156*C157+C166*C167+C176*C177+C186*C187+C196*C197+C135</f>
        <v>308818</v>
      </c>
      <c r="D205" s="1460">
        <f>D146*D147+D156*D157+D166*D167+D176*D177+D186*D187+D196*D197+D135</f>
        <v>348894.99</v>
      </c>
      <c r="E205" s="1460">
        <f>E146*E147+E156*E157+E166*E167+E176*E177+E186*E187+E196*E197+E135</f>
        <v>386284.56422500004</v>
      </c>
    </row>
    <row r="206" spans="2:20" ht="12" customHeight="1" x14ac:dyDescent="0.2">
      <c r="B206" s="1461" t="s">
        <v>661</v>
      </c>
      <c r="C206" s="1460">
        <f>C136+C148+C158+C168+C178+C188+C200</f>
        <v>270892.98245614039</v>
      </c>
      <c r="D206" s="1460">
        <f>D136+D148+D158+D168+D178+D188+D200</f>
        <v>306048.23684210522</v>
      </c>
      <c r="E206" s="1460">
        <f>E136+E148+E158+E168+E178+E188+E200</f>
        <v>338846.10896929819</v>
      </c>
      <c r="G206" s="428"/>
      <c r="H206" s="428"/>
    </row>
    <row r="207" spans="2:20" s="966" customFormat="1" ht="12" customHeight="1" x14ac:dyDescent="0.2">
      <c r="B207" s="1461" t="s">
        <v>831</v>
      </c>
      <c r="C207" s="1460">
        <f>C193+C193*C185+C183+C183*C175+C173+C173*C165+C163+C163*C155+C153+C153*C145+C137</f>
        <v>150211.0544217687</v>
      </c>
      <c r="D207" s="1460">
        <f t="shared" ref="D207:E207" si="13">D193+D193*D185+D183+D183*D175+D173+D173*D165+D163+D163*D155+D153+D153*D145+D137</f>
        <v>168721.9527210884</v>
      </c>
      <c r="E207" s="1460">
        <f t="shared" si="13"/>
        <v>185265.55518605441</v>
      </c>
      <c r="G207" s="428"/>
      <c r="H207" s="428"/>
      <c r="R207" s="1217"/>
    </row>
    <row r="208" spans="2:20" ht="12" customHeight="1" x14ac:dyDescent="0.2">
      <c r="B208" s="1461" t="s">
        <v>832</v>
      </c>
      <c r="C208" s="1460">
        <f>C138+C153+C163+C173+C183+C193+C203</f>
        <v>131764.08282611289</v>
      </c>
      <c r="D208" s="1460">
        <f>D138+D153+D163+D173+D183+D193+D203</f>
        <v>148001.71291323547</v>
      </c>
      <c r="E208" s="1460">
        <f>E138+E153+E163+E173+E183+E193+E203</f>
        <v>162513.64490004772</v>
      </c>
    </row>
    <row r="209" spans="2:10" ht="12" customHeight="1" x14ac:dyDescent="0.2">
      <c r="B209" s="1461" t="s">
        <v>749</v>
      </c>
      <c r="C209" s="1462">
        <f>IF(C206=0,0,(C206-C208)/C206)</f>
        <v>0.51359359097666368</v>
      </c>
      <c r="D209" s="1462">
        <f>IF(D206=0,0,(D206-D208)/D206)</f>
        <v>0.51641050299665103</v>
      </c>
      <c r="E209" s="1462">
        <f>IF(E206=0,0,(E206-E208)/E206)</f>
        <v>0.52039099579929782</v>
      </c>
    </row>
    <row r="211" spans="2:10" x14ac:dyDescent="0.2">
      <c r="B211" s="379" t="s">
        <v>346</v>
      </c>
      <c r="G211" s="408"/>
      <c r="H211" s="407"/>
      <c r="I211" s="407"/>
      <c r="J211" s="407"/>
    </row>
    <row r="212" spans="2:10" x14ac:dyDescent="0.2">
      <c r="B212" s="108" t="s">
        <v>347</v>
      </c>
    </row>
    <row r="213" spans="2:10" x14ac:dyDescent="0.2">
      <c r="B213" s="108" t="s">
        <v>348</v>
      </c>
    </row>
    <row r="214" spans="2:10" hidden="1" x14ac:dyDescent="0.2"/>
    <row r="215" spans="2:10" hidden="1" x14ac:dyDescent="0.2">
      <c r="B215" s="1628" t="s">
        <v>836</v>
      </c>
      <c r="C215" s="1629">
        <f>C196*C197+C126*C127+C56*C57</f>
        <v>0</v>
      </c>
      <c r="D215" s="1629">
        <f t="shared" ref="D215:E215" si="14">D196*D197+D126*D127+D56*D57</f>
        <v>0</v>
      </c>
      <c r="E215" s="1629">
        <f t="shared" si="14"/>
        <v>0</v>
      </c>
    </row>
    <row r="216" spans="2:10" hidden="1" x14ac:dyDescent="0.2">
      <c r="B216" s="1628" t="s">
        <v>837</v>
      </c>
      <c r="C216" s="1594">
        <f>C200+C130+C60</f>
        <v>0</v>
      </c>
      <c r="D216" s="1594">
        <f t="shared" ref="D216:E216" si="15">D200+D130+D60</f>
        <v>0</v>
      </c>
      <c r="E216" s="1594">
        <f t="shared" si="15"/>
        <v>0</v>
      </c>
    </row>
    <row r="217" spans="2:10" hidden="1" x14ac:dyDescent="0.2">
      <c r="B217" s="1630" t="s">
        <v>838</v>
      </c>
      <c r="C217" s="1594">
        <f>C205-C215</f>
        <v>308818</v>
      </c>
      <c r="D217" s="1594">
        <f t="shared" ref="D217:E218" si="16">D205-D215</f>
        <v>348894.99</v>
      </c>
      <c r="E217" s="1594">
        <f t="shared" si="16"/>
        <v>386284.56422500004</v>
      </c>
    </row>
    <row r="218" spans="2:10" hidden="1" x14ac:dyDescent="0.2">
      <c r="B218" s="1631" t="s">
        <v>839</v>
      </c>
      <c r="C218" s="1594">
        <f>C206-C216</f>
        <v>270892.98245614039</v>
      </c>
      <c r="D218" s="1594">
        <f t="shared" si="16"/>
        <v>306048.23684210522</v>
      </c>
      <c r="E218" s="1594">
        <f t="shared" si="16"/>
        <v>338846.10896929819</v>
      </c>
    </row>
    <row r="219" spans="2:10" ht="25.5" hidden="1" x14ac:dyDescent="0.2">
      <c r="B219" s="1632" t="s">
        <v>840</v>
      </c>
      <c r="C219" s="1594">
        <f>C193+C183+C173+C163+C153+C123+C113+C103+C93+C83+C53+C43+C33+C23</f>
        <v>131764.08282611286</v>
      </c>
      <c r="D219" s="1594">
        <f t="shared" ref="D219:E219" si="17">D193+D183+D173+D163+D153+D123+D113+D103+D93+D83+D53+D43+D33+D23</f>
        <v>148001.71291323545</v>
      </c>
      <c r="E219" s="1594">
        <f t="shared" si="17"/>
        <v>162513.64490004772</v>
      </c>
    </row>
    <row r="220" spans="2:10" ht="25.5" hidden="1" x14ac:dyDescent="0.2">
      <c r="B220" s="1632" t="s">
        <v>841</v>
      </c>
      <c r="C220" s="1633">
        <f>C219/C218</f>
        <v>0.48640640902333621</v>
      </c>
      <c r="D220" s="1633">
        <f t="shared" ref="D220:E220" si="18">D219/D218</f>
        <v>0.48358949700334886</v>
      </c>
      <c r="E220" s="1633">
        <f t="shared" si="18"/>
        <v>0.47960900420070213</v>
      </c>
    </row>
    <row r="221" spans="2:10" hidden="1" x14ac:dyDescent="0.2">
      <c r="B221" s="1632" t="s">
        <v>842</v>
      </c>
      <c r="C221" s="1594">
        <f>C203+C133+C63</f>
        <v>0</v>
      </c>
      <c r="D221" s="1594">
        <f t="shared" ref="D221:E221" si="19">D203+D133+D63</f>
        <v>0</v>
      </c>
      <c r="E221" s="1594">
        <f t="shared" si="19"/>
        <v>0</v>
      </c>
    </row>
    <row r="222" spans="2:10" ht="25.5" hidden="1" x14ac:dyDescent="0.2">
      <c r="B222" s="1634" t="s">
        <v>843</v>
      </c>
      <c r="C222" s="1629"/>
      <c r="D222" s="1629"/>
      <c r="E222" s="1629"/>
    </row>
    <row r="223" spans="2:10" hidden="1" x14ac:dyDescent="0.2">
      <c r="B223" s="1628" t="s">
        <v>844</v>
      </c>
      <c r="C223" s="1629"/>
      <c r="D223" s="1629"/>
      <c r="E223" s="1629"/>
    </row>
  </sheetData>
  <sheetProtection algorithmName="SHA-512" hashValue="zemoiPYhAngSJiBWacKDxQtJPiqjHLnlV/lLncPksupuJmvmWIRyPd8Nu+yeE6f9C+5I79vRUstp+ViGBydvhg==" saltValue="YdcDCYfoD+eqsNbwjQ64ng==" spinCount="100000" sheet="1" objects="1" scenarios="1"/>
  <mergeCells count="11">
    <mergeCell ref="B141:B142"/>
    <mergeCell ref="F9:I9"/>
    <mergeCell ref="B9:E9"/>
    <mergeCell ref="B4:I4"/>
    <mergeCell ref="B11:B12"/>
    <mergeCell ref="B71:B72"/>
    <mergeCell ref="O2:Q2"/>
    <mergeCell ref="K2:M2"/>
    <mergeCell ref="B1:H1"/>
    <mergeCell ref="B2:I2"/>
    <mergeCell ref="D3:G3"/>
  </mergeCells>
  <phoneticPr fontId="8" type="noConversion"/>
  <printOptions horizontalCentered="1"/>
  <pageMargins left="0.25" right="0.25" top="0.75" bottom="0.75" header="0.3" footer="0.3"/>
  <pageSetup paperSize="9" scale="92" orientation="portrait" r:id="rId1"/>
  <headerFooter alignWithMargins="0">
    <oddFooter xml:space="preserve">&amp;C&amp;8FT5 Nyföretagets ekonomiplan&amp;10 </oddFooter>
  </headerFooter>
  <rowBreaks count="2" manualBreakCount="2">
    <brk id="69" min="1" max="18" man="1"/>
    <brk id="140" min="1" max="18" man="1"/>
  </rowBreaks>
  <colBreaks count="1" manualBreakCount="1">
    <brk id="9" min="2" max="206"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16"/>
  <sheetViews>
    <sheetView topLeftCell="A70" zoomScaleNormal="100" workbookViewId="0">
      <pane xSplit="1" ySplit="1" topLeftCell="B164" activePane="bottomRight" state="frozen"/>
      <selection activeCell="A70" sqref="A70"/>
      <selection pane="topRight" activeCell="B70" sqref="B70"/>
      <selection pane="bottomLeft" activeCell="A71" sqref="A71"/>
      <selection pane="bottomRight" activeCell="A193" sqref="A193:XFD193"/>
    </sheetView>
  </sheetViews>
  <sheetFormatPr defaultRowHeight="12.75" x14ac:dyDescent="0.2"/>
  <cols>
    <col min="1" max="1" width="21.140625" customWidth="1"/>
    <col min="2" max="3" width="9.140625" customWidth="1"/>
    <col min="4" max="4" width="15.7109375" customWidth="1"/>
    <col min="5" max="23" width="9.140625" customWidth="1"/>
  </cols>
  <sheetData>
    <row r="2" spans="1:16" x14ac:dyDescent="0.2">
      <c r="A2" s="52"/>
      <c r="B2" s="52"/>
      <c r="C2" s="52"/>
      <c r="D2" s="52"/>
      <c r="E2" s="52"/>
      <c r="F2" s="52"/>
      <c r="G2" s="52"/>
      <c r="H2" s="52"/>
      <c r="I2" s="52"/>
    </row>
    <row r="3" spans="1:16" x14ac:dyDescent="0.2">
      <c r="A3" s="52"/>
      <c r="B3" s="55"/>
      <c r="C3" s="59" t="s">
        <v>17</v>
      </c>
      <c r="D3" s="57"/>
      <c r="E3" s="58"/>
      <c r="F3" s="71">
        <f>G41+G42</f>
        <v>0</v>
      </c>
      <c r="G3" s="56">
        <f>F3-F5</f>
        <v>0</v>
      </c>
      <c r="H3" s="56">
        <f>G3-G5</f>
        <v>0</v>
      </c>
      <c r="I3" s="72"/>
    </row>
    <row r="4" spans="1:16" x14ac:dyDescent="0.2">
      <c r="A4" s="52"/>
      <c r="B4" s="55"/>
      <c r="C4" s="59" t="s">
        <v>18</v>
      </c>
      <c r="D4" s="57"/>
      <c r="E4" s="58"/>
      <c r="F4" s="73">
        <f>'K3 Resultat'!F55</f>
        <v>7.0000000000000007E-2</v>
      </c>
      <c r="G4" s="73">
        <f>'K3 Resultat'!H55</f>
        <v>7.0000000000000007E-2</v>
      </c>
      <c r="H4" s="73">
        <f>'K3 Resultat'!K55</f>
        <v>7.0000000000000007E-2</v>
      </c>
      <c r="I4" s="74"/>
    </row>
    <row r="5" spans="1:16" x14ac:dyDescent="0.2">
      <c r="A5" s="52"/>
      <c r="B5" s="55"/>
      <c r="C5" s="59" t="s">
        <v>24</v>
      </c>
      <c r="D5" s="57"/>
      <c r="E5" s="58"/>
      <c r="F5" s="71">
        <f>F3*F4</f>
        <v>0</v>
      </c>
      <c r="G5" s="71">
        <f>G3*G4</f>
        <v>0</v>
      </c>
      <c r="H5" s="71">
        <f>H3*H4</f>
        <v>0</v>
      </c>
      <c r="I5" s="72"/>
    </row>
    <row r="6" spans="1:16" x14ac:dyDescent="0.2">
      <c r="A6" s="52"/>
      <c r="B6" s="55"/>
      <c r="C6" s="59" t="s">
        <v>22</v>
      </c>
      <c r="D6" s="57"/>
      <c r="E6" s="58"/>
      <c r="F6" s="71">
        <f>F3-F5</f>
        <v>0</v>
      </c>
      <c r="G6" s="71">
        <f>G3-G5</f>
        <v>0</v>
      </c>
      <c r="H6" s="71">
        <f>H3-H5</f>
        <v>0</v>
      </c>
      <c r="I6" s="72"/>
    </row>
    <row r="7" spans="1:16" x14ac:dyDescent="0.2">
      <c r="A7" s="52"/>
      <c r="B7" s="55"/>
      <c r="C7" s="59" t="s">
        <v>19</v>
      </c>
      <c r="D7" s="57"/>
      <c r="E7" s="58"/>
      <c r="F7" s="71">
        <f>IF(G53&lt;0,0,G53)</f>
        <v>28225.806451612905</v>
      </c>
      <c r="G7" s="56">
        <f>F7-F9</f>
        <v>22580.645161290326</v>
      </c>
      <c r="H7" s="56">
        <f>G7-G9</f>
        <v>18064.516129032261</v>
      </c>
      <c r="I7" s="65"/>
    </row>
    <row r="8" spans="1:16" x14ac:dyDescent="0.2">
      <c r="A8" s="52"/>
      <c r="B8" s="55"/>
      <c r="C8" s="59" t="s">
        <v>20</v>
      </c>
      <c r="D8" s="57"/>
      <c r="E8" s="58"/>
      <c r="F8" s="73">
        <f>'K3 Resultat'!F56</f>
        <v>0.2</v>
      </c>
      <c r="G8" s="73">
        <f>'K3 Resultat'!H56</f>
        <v>0.2</v>
      </c>
      <c r="H8" s="73">
        <f>'K3 Resultat'!K56</f>
        <v>0.2</v>
      </c>
      <c r="I8" s="74"/>
    </row>
    <row r="9" spans="1:16" x14ac:dyDescent="0.2">
      <c r="A9" s="52"/>
      <c r="B9" s="55"/>
      <c r="C9" s="59" t="s">
        <v>25</v>
      </c>
      <c r="D9" s="57"/>
      <c r="E9" s="58"/>
      <c r="F9" s="71">
        <f>F7*F8</f>
        <v>5645.1612903225814</v>
      </c>
      <c r="G9" s="71">
        <f>G7*G8</f>
        <v>4516.1290322580653</v>
      </c>
      <c r="H9" s="71">
        <f>H7*H8</f>
        <v>3612.9032258064526</v>
      </c>
      <c r="I9" s="72"/>
    </row>
    <row r="10" spans="1:16" x14ac:dyDescent="0.2">
      <c r="A10" s="52"/>
      <c r="B10" s="55"/>
      <c r="C10" s="59" t="s">
        <v>23</v>
      </c>
      <c r="D10" s="57"/>
      <c r="E10" s="58"/>
      <c r="F10" s="71">
        <f>F7-F9</f>
        <v>22580.645161290326</v>
      </c>
      <c r="G10" s="71">
        <f>G7-G9</f>
        <v>18064.516129032261</v>
      </c>
      <c r="H10" s="71">
        <f>H7-H9</f>
        <v>14451.612903225809</v>
      </c>
      <c r="I10" s="72"/>
    </row>
    <row r="11" spans="1:16" x14ac:dyDescent="0.2">
      <c r="A11" s="52"/>
      <c r="B11" s="52"/>
      <c r="C11" s="52"/>
      <c r="D11" s="52"/>
      <c r="E11" s="52"/>
      <c r="F11" s="52"/>
      <c r="G11" s="52"/>
      <c r="H11" s="52"/>
      <c r="I11" s="52"/>
    </row>
    <row r="12" spans="1:16" x14ac:dyDescent="0.2">
      <c r="A12" s="52"/>
      <c r="B12" s="52"/>
      <c r="C12" s="52"/>
      <c r="D12" s="52"/>
      <c r="E12" s="52"/>
      <c r="F12" s="52"/>
      <c r="G12" s="52"/>
      <c r="H12" s="52"/>
      <c r="I12" s="52"/>
    </row>
    <row r="13" spans="1:16" ht="15.75" x14ac:dyDescent="0.25">
      <c r="A13" s="52"/>
      <c r="B13" s="52"/>
      <c r="F13" s="52"/>
      <c r="G13" s="1709" t="s">
        <v>34</v>
      </c>
      <c r="H13" s="1709"/>
      <c r="I13" s="1709"/>
      <c r="J13" s="130"/>
      <c r="K13" s="131" t="s">
        <v>69</v>
      </c>
      <c r="L13" s="132"/>
      <c r="M13" s="132"/>
      <c r="N13" s="132"/>
      <c r="O13" s="132"/>
      <c r="P13" s="133"/>
    </row>
    <row r="14" spans="1:16" x14ac:dyDescent="0.2">
      <c r="C14" s="97"/>
      <c r="D14" s="97"/>
      <c r="E14" s="97"/>
      <c r="F14" s="52" t="s">
        <v>31</v>
      </c>
      <c r="G14" s="97" t="s">
        <v>1</v>
      </c>
      <c r="H14" s="97" t="s">
        <v>35</v>
      </c>
      <c r="I14" s="97" t="s">
        <v>14</v>
      </c>
      <c r="J14" s="134"/>
      <c r="K14" s="97" t="s">
        <v>70</v>
      </c>
      <c r="L14" s="135">
        <f>'K3 Resultat'!H22/12</f>
        <v>6.6666666666666671E-3</v>
      </c>
      <c r="P14" s="136"/>
    </row>
    <row r="15" spans="1:16" x14ac:dyDescent="0.2">
      <c r="C15" s="96"/>
      <c r="D15" s="96"/>
      <c r="E15" s="96"/>
      <c r="F15" s="52" t="s">
        <v>30</v>
      </c>
      <c r="G15" s="98">
        <f>IF('K3 Resultat'!$I18=2,'K3 Resultat'!$K18*'K3 Resultat'!$H18,IF('K3 Resultat'!$I18=1,'K3 Resultat'!$K18*'K3 Resultat'!$H18,('Kauppa AT lainat ja avustukset'!$B24-0.5*'Kauppa AT lainat ja avustukset'!$E24)*'K3 Resultat'!$H18))</f>
        <v>0</v>
      </c>
      <c r="H15" s="98">
        <f>IF('K3 Resultat'!$I18=2,'K3 Resultat'!$K18*'K3 Resultat'!$H18,IF('K3 Resultat'!$I18=1,('K3 Resultat'!$K18-0.5*C24)*'K3 Resultat'!$H18,('Kauppa AT lainat ja avustukset'!$B24-1.5*'Kauppa AT lainat ja avustukset'!$E24)*'K3 Resultat'!$H18))</f>
        <v>0</v>
      </c>
      <c r="I15" s="98">
        <f>IF('K3 Resultat'!$I18=2,('K3 Resultat'!$K18-0.5*D24)*'K3 Resultat'!$H18,IF('K3 Resultat'!$I18=1,('K3 Resultat'!$K18-1.5*C24)*'K3 Resultat'!$H18,('Kauppa AT lainat ja avustukset'!$B24-2.5*'Kauppa AT lainat ja avustukset'!$E24)*'K3 Resultat'!$H18))</f>
        <v>0</v>
      </c>
      <c r="J15" s="134"/>
      <c r="K15" s="1" t="s">
        <v>71</v>
      </c>
      <c r="L15">
        <f>'K3 Resultat'!I22*12</f>
        <v>48</v>
      </c>
      <c r="P15" s="136"/>
    </row>
    <row r="16" spans="1:16" x14ac:dyDescent="0.2">
      <c r="C16" s="96"/>
      <c r="D16" s="96"/>
      <c r="E16" s="96"/>
      <c r="F16" s="52" t="s">
        <v>32</v>
      </c>
      <c r="G16" s="98">
        <f>IF('K3 Resultat'!$I19=2,'K3 Resultat'!$K19*'K3 Resultat'!$H19,IF('K3 Resultat'!$I19=1,'K3 Resultat'!$K19*'K3 Resultat'!$H19,('Kauppa AT lainat ja avustukset'!$B25-0.5*'Kauppa AT lainat ja avustukset'!$E25)*'K3 Resultat'!$H19))</f>
        <v>1125</v>
      </c>
      <c r="H16" s="98">
        <f>IF('K3 Resultat'!$I19=2,'K3 Resultat'!$K19*'K3 Resultat'!$H19,IF('K3 Resultat'!$I19=1,('K3 Resultat'!$K19-0.5*C25)*'K3 Resultat'!$H19,('Kauppa AT lainat ja avustukset'!$B25-1.5*'Kauppa AT lainat ja avustukset'!$E25)*'K3 Resultat'!$H19))</f>
        <v>984.375</v>
      </c>
      <c r="I16" s="98">
        <f>IF('K3 Resultat'!$I19=2,('K3 Resultat'!$K19-0.5*D25)*'K3 Resultat'!$H19,IF('K3 Resultat'!$I19=1,('K3 Resultat'!$K19-1.5*C25)*'K3 Resultat'!$H19,('Kauppa AT lainat ja avustukset'!$B25-2.5*'Kauppa AT lainat ja avustukset'!$E25)*'K3 Resultat'!$H19))</f>
        <v>703.125</v>
      </c>
      <c r="J16" s="134"/>
      <c r="K16" s="1" t="s">
        <v>29</v>
      </c>
      <c r="L16" s="50">
        <f>'K3 Resultat'!K22</f>
        <v>20000</v>
      </c>
      <c r="P16" s="136"/>
    </row>
    <row r="17" spans="1:41" x14ac:dyDescent="0.2">
      <c r="C17" s="96"/>
      <c r="D17" s="96"/>
      <c r="E17" s="96"/>
      <c r="F17" s="52" t="s">
        <v>33</v>
      </c>
      <c r="G17" s="98">
        <f>IF('K3 Resultat'!$I20=2,'K3 Resultat'!$K20*'K3 Resultat'!$H20,IF('K3 Resultat'!$I20=1,'K3 Resultat'!$K20*'K3 Resultat'!$H20,('Kauppa AT lainat ja avustukset'!$B26-0.5*'Kauppa AT lainat ja avustukset'!$E26)*'K3 Resultat'!$H20))</f>
        <v>0</v>
      </c>
      <c r="H17" s="98">
        <f>IF('K3 Resultat'!$I20=2,'K3 Resultat'!$K20*'K3 Resultat'!$H20,IF('K3 Resultat'!$I20=1,('K3 Resultat'!$K20-0.5*C26)*'K3 Resultat'!$H20,('Kauppa AT lainat ja avustukset'!$B26-1.5*'Kauppa AT lainat ja avustukset'!$E26)*'K3 Resultat'!$H20))</f>
        <v>0</v>
      </c>
      <c r="I17" s="98">
        <f>IF('K3 Resultat'!$I20=2,('K3 Resultat'!$K20-0.5*D26)*'K3 Resultat'!$H20,IF('K3 Resultat'!$I20=1,('K3 Resultat'!$K20-1.5*C26)*'K3 Resultat'!$H20,('Kauppa AT lainat ja avustukset'!$B26-2.5*'Kauppa AT lainat ja avustukset'!$E26)*'K3 Resultat'!$H20))</f>
        <v>0</v>
      </c>
      <c r="J17" s="134"/>
      <c r="K17" s="1" t="s">
        <v>72</v>
      </c>
      <c r="L17" s="137">
        <f>IF(L14=0,0,-PMT(L14,L15,L16)*12)</f>
        <v>5859.1013619605956</v>
      </c>
      <c r="P17" s="136"/>
    </row>
    <row r="18" spans="1:41" x14ac:dyDescent="0.2">
      <c r="C18" s="96"/>
      <c r="D18" s="96"/>
      <c r="E18" s="96"/>
      <c r="F18" s="52"/>
      <c r="G18" s="98"/>
      <c r="H18" s="98"/>
      <c r="I18" s="98"/>
      <c r="J18" s="134"/>
      <c r="K18" s="300" t="s">
        <v>220</v>
      </c>
      <c r="L18" s="137">
        <f>L17/4</f>
        <v>1464.7753404901489</v>
      </c>
      <c r="P18" s="136"/>
    </row>
    <row r="19" spans="1:41" x14ac:dyDescent="0.2">
      <c r="C19" s="7"/>
      <c r="D19" s="7"/>
      <c r="E19" s="7"/>
      <c r="F19" s="52"/>
      <c r="G19" s="98"/>
      <c r="H19" s="98"/>
      <c r="I19" s="98"/>
      <c r="J19" s="134"/>
      <c r="K19" s="536" t="s">
        <v>201</v>
      </c>
      <c r="L19" s="536" t="s">
        <v>207</v>
      </c>
      <c r="M19" s="536" t="s">
        <v>208</v>
      </c>
      <c r="N19" s="536" t="s">
        <v>209</v>
      </c>
      <c r="O19" s="536" t="s">
        <v>210</v>
      </c>
      <c r="P19" s="546" t="s">
        <v>211</v>
      </c>
      <c r="Q19" s="536" t="s">
        <v>212</v>
      </c>
      <c r="R19" s="536" t="s">
        <v>213</v>
      </c>
      <c r="S19" s="536" t="s">
        <v>214</v>
      </c>
      <c r="T19" s="536" t="s">
        <v>215</v>
      </c>
      <c r="U19" s="536" t="s">
        <v>216</v>
      </c>
      <c r="V19" s="536" t="s">
        <v>217</v>
      </c>
      <c r="W19" s="536" t="s">
        <v>218</v>
      </c>
    </row>
    <row r="20" spans="1:41" x14ac:dyDescent="0.2">
      <c r="C20" s="7"/>
      <c r="D20" s="7"/>
      <c r="E20" s="7"/>
      <c r="F20" s="52" t="s">
        <v>21</v>
      </c>
      <c r="G20" s="98">
        <f>SUM(G15:G19)</f>
        <v>1125</v>
      </c>
      <c r="H20" s="98">
        <f>SUM(H15:H19)</f>
        <v>984.375</v>
      </c>
      <c r="I20" s="98">
        <f>SUM(I15:I19)</f>
        <v>703.125</v>
      </c>
      <c r="J20" s="138" t="s">
        <v>73</v>
      </c>
      <c r="K20">
        <v>3</v>
      </c>
      <c r="L20">
        <v>8</v>
      </c>
      <c r="M20">
        <v>11</v>
      </c>
      <c r="N20">
        <v>14</v>
      </c>
      <c r="O20">
        <v>17</v>
      </c>
      <c r="P20">
        <v>20</v>
      </c>
      <c r="Q20">
        <v>23</v>
      </c>
      <c r="R20">
        <v>26</v>
      </c>
      <c r="S20">
        <v>29</v>
      </c>
      <c r="T20">
        <v>32</v>
      </c>
      <c r="U20">
        <v>35</v>
      </c>
      <c r="V20">
        <v>38</v>
      </c>
      <c r="W20">
        <v>41</v>
      </c>
    </row>
    <row r="21" spans="1:41" x14ac:dyDescent="0.2">
      <c r="A21" s="52"/>
      <c r="B21" s="52"/>
      <c r="C21" s="52"/>
      <c r="D21" s="52"/>
      <c r="E21" s="52"/>
      <c r="F21" s="61">
        <f>IF($F13=6,'Kauppa AT lainat ja avustukset'!B188-'Kauppa AT lainat ja avustukset'!B158,IF($F13=7,'Kauppa AT lainat ja avustukset'!C189-'Kauppa AT lainat ja avustukset'!C159,IF($F13=8,'Kauppa AT lainat ja avustukset'!D190-'Kauppa AT lainat ja avustukset'!D160,IF($F13=9,'Kauppa AT lainat ja avustukset'!E191-'Kauppa AT lainat ja avustukset'!E161,IF($F13=10,'Kauppa AT lainat ja avustukset'!F192-'Kauppa AT lainat ja avustukset'!F162,IF($F13=11,'Kauppa AT lainat ja avustukset'!G193-'Kauppa AT lainat ja avustukset'!G163,IF($F13=12,'Kauppa AT lainat ja avustukset'!H194-'Kauppa AT lainat ja avustukset'!H164,IF($F13=13,'Kauppa AT lainat ja avustukset'!I195-'Kauppa AT lainat ja avustukset'!I165,IF($F13=14,'Kauppa AT lainat ja avustukset'!J196-'Kauppa AT lainat ja avustukset'!J166,IF($F13=15,'Kauppa AT lainat ja avustukset'!K197-'Kauppa AT lainat ja avustukset'!K167,IF($F13=16,'Kauppa AT lainat ja avustukset'!L198-'Kauppa AT lainat ja avustukset'!L168,IF($F13=17,'Kauppa AT lainat ja avustukset'!M199-'Kauppa AT lainat ja avustukset'!M169,'Kauppa AT lainat ja avustukset'!N200*'Kauppa AT lainat ja avustukset'!N170))))))))))))</f>
        <v>5674510.3290654467</v>
      </c>
      <c r="G21" s="52">
        <f>-IF($F13=6,'Kauppa AT lainat ja avustukset'!N188-'Kauppa AT lainat ja avustukset'!N158,IF($F13=7,'Kauppa AT lainat ja avustukset'!O189-'Kauppa AT lainat ja avustukset'!O159,IF($F13=8,'Kauppa AT lainat ja avustukset'!P190-'Kauppa AT lainat ja avustukset'!P160,IF($F13=9,'Kauppa AT lainat ja avustukset'!Q191-'Kauppa AT lainat ja avustukset'!Q161,IF($F13=10,'Kauppa AT lainat ja avustukset'!Q162,IF($F13=11,'Kauppa AT lainat ja avustukset'!IR6,IF($F13=12,'Kauppa AT lainat ja avustukset'!S164,IF($F13=13,'Kauppa AT lainat ja avustukset'!T165,IF($F13=14,'Kauppa AT lainat ja avustukset'!U166,IF($F13=15,'Kauppa AT lainat ja avustukset'!V167,IF($F13=16,'Kauppa AT lainat ja avustukset'!W168,IF($F13=17,'Kauppa AT lainat ja avustukset'!X169,'Kauppa AT lainat ja avustukset'!Y170))))))))))))</f>
        <v>0</v>
      </c>
      <c r="H21" s="52"/>
      <c r="I21" s="52"/>
      <c r="J21" s="545" t="s">
        <v>200</v>
      </c>
      <c r="K21" s="137">
        <f>IF(K20&gt;$L15,0,-IPMT($L14,K20,$L15,$L16))</f>
        <v>128.58522403722174</v>
      </c>
      <c r="L21" s="137">
        <f>IF(L20&gt;$L15,0,-IPMT($L14,L20,$L15,$L16))</f>
        <v>116.43519258960598</v>
      </c>
      <c r="M21" s="137">
        <f t="shared" ref="M21:P21" si="0">IF(M20&gt;$L15,0,-IPMT($L14,M20,$L15,$L16))</f>
        <v>108.94904090104525</v>
      </c>
      <c r="N21" s="137">
        <f t="shared" si="0"/>
        <v>101.31216580703584</v>
      </c>
      <c r="O21" s="137">
        <f t="shared" si="0"/>
        <v>93.521532698355884</v>
      </c>
      <c r="P21" s="137">
        <f t="shared" si="0"/>
        <v>85.574045868085449</v>
      </c>
      <c r="Q21" s="137">
        <f t="shared" ref="Q21:W21" si="1">IF(Q20&gt;$L15,0,-IPMT($L14,Q20,$L15,$L16))</f>
        <v>77.466547281487991</v>
      </c>
      <c r="R21" s="137">
        <f t="shared" si="1"/>
        <v>69.195815321125224</v>
      </c>
      <c r="S21" s="137">
        <f t="shared" si="1"/>
        <v>60.758563506706587</v>
      </c>
      <c r="T21" s="137">
        <f t="shared" si="1"/>
        <v>52.151439189164513</v>
      </c>
      <c r="U21" s="137">
        <f t="shared" si="1"/>
        <v>43.37102221843687</v>
      </c>
      <c r="V21" s="137">
        <f t="shared" si="1"/>
        <v>34.413823584426893</v>
      </c>
      <c r="W21" s="137">
        <f t="shared" si="1"/>
        <v>25.276284030600717</v>
      </c>
      <c r="X21" s="137"/>
      <c r="Y21" s="137"/>
      <c r="Z21" s="137"/>
      <c r="AA21" s="137"/>
      <c r="AB21" s="137"/>
      <c r="AC21" s="137"/>
      <c r="AD21" s="137"/>
      <c r="AE21" s="137"/>
      <c r="AF21" s="137"/>
      <c r="AG21" s="137"/>
      <c r="AH21" s="137"/>
      <c r="AI21" s="137"/>
      <c r="AJ21" s="137"/>
      <c r="AK21" s="137"/>
      <c r="AL21" s="137"/>
      <c r="AM21" s="137"/>
      <c r="AN21" s="137"/>
      <c r="AO21" s="137"/>
    </row>
    <row r="22" spans="1:41" x14ac:dyDescent="0.2">
      <c r="C22" s="1710" t="s">
        <v>39</v>
      </c>
      <c r="D22" s="1710"/>
      <c r="E22" s="1710"/>
      <c r="G22" s="1710" t="s">
        <v>40</v>
      </c>
      <c r="H22" s="1710"/>
      <c r="I22" s="1710"/>
      <c r="J22" s="545" t="s">
        <v>219</v>
      </c>
      <c r="K22" s="137">
        <f>6*K21</f>
        <v>771.51134422333041</v>
      </c>
      <c r="L22" s="137">
        <f>3*L21</f>
        <v>349.3055777688179</v>
      </c>
      <c r="M22" s="137">
        <f t="shared" ref="M22:W22" si="2">3*M21</f>
        <v>326.84712270313577</v>
      </c>
      <c r="N22" s="137">
        <f t="shared" si="2"/>
        <v>303.9364974211075</v>
      </c>
      <c r="O22" s="137">
        <f t="shared" si="2"/>
        <v>280.56459809506765</v>
      </c>
      <c r="P22" s="137">
        <f t="shared" si="2"/>
        <v>256.72213760425632</v>
      </c>
      <c r="Q22" s="137">
        <f t="shared" si="2"/>
        <v>232.39964184446399</v>
      </c>
      <c r="R22" s="137">
        <f t="shared" si="2"/>
        <v>207.58744596337567</v>
      </c>
      <c r="S22" s="137">
        <f t="shared" si="2"/>
        <v>182.27569052011975</v>
      </c>
      <c r="T22" s="137">
        <f t="shared" si="2"/>
        <v>156.45431756749355</v>
      </c>
      <c r="U22" s="137">
        <f t="shared" si="2"/>
        <v>130.1130666553106</v>
      </c>
      <c r="V22" s="137">
        <f t="shared" si="2"/>
        <v>103.24147075328068</v>
      </c>
      <c r="W22" s="137">
        <f t="shared" si="2"/>
        <v>75.828852091802148</v>
      </c>
      <c r="X22" s="137"/>
    </row>
    <row r="23" spans="1:41" x14ac:dyDescent="0.2">
      <c r="A23" s="52" t="s">
        <v>31</v>
      </c>
      <c r="B23" s="1" t="s">
        <v>29</v>
      </c>
      <c r="C23" s="97" t="s">
        <v>36</v>
      </c>
      <c r="D23" s="97" t="s">
        <v>37</v>
      </c>
      <c r="E23" s="97" t="s">
        <v>38</v>
      </c>
      <c r="F23" s="52" t="s">
        <v>31</v>
      </c>
      <c r="G23" s="97" t="s">
        <v>1</v>
      </c>
      <c r="H23" s="97" t="s">
        <v>35</v>
      </c>
      <c r="I23" s="97" t="s">
        <v>14</v>
      </c>
      <c r="J23" s="547" t="s">
        <v>221</v>
      </c>
      <c r="K23" s="137">
        <f>2*$L18-K22</f>
        <v>2158.0393367569673</v>
      </c>
      <c r="L23" s="137">
        <f>$L18-L22</f>
        <v>1115.4697627213309</v>
      </c>
      <c r="M23" s="137">
        <f t="shared" ref="M23:W23" si="3">$L18-M22</f>
        <v>1137.9282177870132</v>
      </c>
      <c r="N23" s="137">
        <f t="shared" si="3"/>
        <v>1160.8388430690413</v>
      </c>
      <c r="O23" s="137">
        <f t="shared" si="3"/>
        <v>1184.2107423950813</v>
      </c>
      <c r="P23" s="137">
        <f t="shared" si="3"/>
        <v>1208.0532028858925</v>
      </c>
      <c r="Q23" s="137">
        <f t="shared" si="3"/>
        <v>1232.3756986456849</v>
      </c>
      <c r="R23" s="137">
        <f t="shared" si="3"/>
        <v>1257.1878945267731</v>
      </c>
      <c r="S23" s="137">
        <f t="shared" si="3"/>
        <v>1282.4996499700292</v>
      </c>
      <c r="T23" s="137">
        <f t="shared" si="3"/>
        <v>1308.3210229226554</v>
      </c>
      <c r="U23" s="137">
        <f t="shared" si="3"/>
        <v>1334.6622738348383</v>
      </c>
      <c r="V23" s="137">
        <f t="shared" si="3"/>
        <v>1361.5338697368682</v>
      </c>
      <c r="W23" s="137">
        <f t="shared" si="3"/>
        <v>1388.9464883983467</v>
      </c>
      <c r="X23" s="137" t="s">
        <v>0</v>
      </c>
    </row>
    <row r="24" spans="1:41" x14ac:dyDescent="0.2">
      <c r="A24" s="52" t="s">
        <v>30</v>
      </c>
      <c r="B24" s="50">
        <f>'K3 Resultat'!K18</f>
        <v>0</v>
      </c>
      <c r="C24" s="7">
        <f>IF('K3 Resultat'!$J18=0,0,$B24/('K3 Resultat'!$J18-1))</f>
        <v>0</v>
      </c>
      <c r="D24" s="7">
        <f>IF('K3 Resultat'!$J18=0,0,$B24/('K3 Resultat'!$J18-2))</f>
        <v>0</v>
      </c>
      <c r="E24" s="7">
        <f>IF('K3 Resultat'!$J18=0,0,$B24/'K3 Resultat'!$J18)</f>
        <v>0</v>
      </c>
      <c r="F24" s="52" t="s">
        <v>30</v>
      </c>
      <c r="G24" s="96">
        <f>IF('K3 Resultat'!$I18=2,'Kauppa AT lainat ja avustukset'!G15,IF('K3 Resultat'!$I18=1,'Kauppa AT lainat ja avustukset'!$G15,'Kauppa AT lainat ja avustukset'!$E24+$G15))</f>
        <v>0</v>
      </c>
      <c r="H24" s="96">
        <f>IF('K3 Resultat'!$I18=2,'Kauppa AT lainat ja avustukset'!H15,IF('K3 Resultat'!$I18=1,H15+C24,'Kauppa AT lainat ja avustukset'!$E24+H15))</f>
        <v>0</v>
      </c>
      <c r="I24" s="96">
        <f>IF('K3 Resultat'!$I18=2,'Kauppa AT lainat ja avustukset'!I15+D24,IF('K3 Resultat'!$I18=1,I15+C24,'Kauppa AT lainat ja avustukset'!$E24+I15))</f>
        <v>0</v>
      </c>
      <c r="J24" s="134"/>
      <c r="P24" s="136"/>
    </row>
    <row r="25" spans="1:41" x14ac:dyDescent="0.2">
      <c r="A25" s="52" t="s">
        <v>32</v>
      </c>
      <c r="B25" s="50">
        <f>'K3 Resultat'!K19</f>
        <v>25000</v>
      </c>
      <c r="C25" s="7">
        <f>IF('K3 Resultat'!$J19=0,0,$B25/('K3 Resultat'!$J19-1))</f>
        <v>6250</v>
      </c>
      <c r="D25" s="7">
        <f>IF('K3 Resultat'!$J19=0,0,$B25/('K3 Resultat'!$J19-2))</f>
        <v>8333.3333333333339</v>
      </c>
      <c r="E25" s="7">
        <f>IF('K3 Resultat'!$J19=0,0,$B25/'K3 Resultat'!$J19)</f>
        <v>5000</v>
      </c>
      <c r="F25" s="52" t="s">
        <v>32</v>
      </c>
      <c r="G25" s="96">
        <f>IF('K3 Resultat'!$I19=2,'Kauppa AT lainat ja avustukset'!G16,IF('K3 Resultat'!$I19=1,'Kauppa AT lainat ja avustukset'!$G16,'Kauppa AT lainat ja avustukset'!$E25+$G16))</f>
        <v>1125</v>
      </c>
      <c r="H25" s="96">
        <f>IF('K3 Resultat'!$I19=2,'Kauppa AT lainat ja avustukset'!H16,IF('K3 Resultat'!$I19=1,H16+C25,'Kauppa AT lainat ja avustukset'!$E25+H16))</f>
        <v>7234.375</v>
      </c>
      <c r="I25" s="96">
        <f>IF('K3 Resultat'!$I19=2,'Kauppa AT lainat ja avustukset'!I16+D25,IF('K3 Resultat'!$I19=1,I16+C25,'Kauppa AT lainat ja avustukset'!$E25+I16))</f>
        <v>6953.125</v>
      </c>
      <c r="J25" s="134"/>
      <c r="P25" s="136"/>
    </row>
    <row r="26" spans="1:41" x14ac:dyDescent="0.2">
      <c r="A26" s="52" t="s">
        <v>33</v>
      </c>
      <c r="B26" s="50">
        <f>'K3 Resultat'!K20</f>
        <v>0</v>
      </c>
      <c r="C26" s="7">
        <f>IF('K3 Resultat'!$J20=0,0,$B26/('K3 Resultat'!$J20-1))</f>
        <v>0</v>
      </c>
      <c r="D26" s="7">
        <f>IF('K3 Resultat'!$J20=0,0,$B26/('K3 Resultat'!$J20-2))</f>
        <v>0</v>
      </c>
      <c r="E26" s="7">
        <f>IF('K3 Resultat'!$J20=0,0,$B26/'K3 Resultat'!$J20)</f>
        <v>0</v>
      </c>
      <c r="F26" s="52" t="s">
        <v>33</v>
      </c>
      <c r="G26" s="96">
        <f>IF('K3 Resultat'!$I20=2,'Kauppa AT lainat ja avustukset'!G17,IF('K3 Resultat'!$I20=1,'Kauppa AT lainat ja avustukset'!$G17,'Kauppa AT lainat ja avustukset'!$E26+$G17))</f>
        <v>0</v>
      </c>
      <c r="H26" s="96">
        <f>IF('K3 Resultat'!$I20=2,'Kauppa AT lainat ja avustukset'!H17,IF('K3 Resultat'!$I20=1,H17+C26,'Kauppa AT lainat ja avustukset'!$E26+H17))</f>
        <v>0</v>
      </c>
      <c r="I26" s="96">
        <f>IF('K3 Resultat'!$I20=2,'Kauppa AT lainat ja avustukset'!I17+D26,IF('K3 Resultat'!$I20=1,I17+C26,'Kauppa AT lainat ja avustukset'!$E26+I17))</f>
        <v>0</v>
      </c>
      <c r="J26" s="134"/>
      <c r="P26" s="136"/>
    </row>
    <row r="27" spans="1:41" x14ac:dyDescent="0.2">
      <c r="A27" s="52"/>
      <c r="C27" s="7"/>
      <c r="F27" s="52"/>
      <c r="J27" s="134"/>
      <c r="P27" s="136"/>
    </row>
    <row r="28" spans="1:41" x14ac:dyDescent="0.2">
      <c r="A28" s="52" t="s">
        <v>21</v>
      </c>
      <c r="B28" s="99">
        <f>SUM(B24:B27)</f>
        <v>25000</v>
      </c>
      <c r="C28" s="7">
        <f>SUM(C24:C27)</f>
        <v>6250</v>
      </c>
      <c r="D28" s="7">
        <f>SUM(D24:D27)</f>
        <v>8333.3333333333339</v>
      </c>
      <c r="E28" s="7">
        <f>SUM(E24:E27)</f>
        <v>5000</v>
      </c>
      <c r="F28" s="52" t="s">
        <v>21</v>
      </c>
      <c r="G28" s="7">
        <f>SUM(G24:G27)</f>
        <v>1125</v>
      </c>
      <c r="H28" s="7">
        <f>SUM(H24:H27)</f>
        <v>7234.375</v>
      </c>
      <c r="I28" s="7">
        <f>SUM(I24:I27)</f>
        <v>6953.125</v>
      </c>
      <c r="J28" s="134"/>
      <c r="P28" s="136"/>
    </row>
    <row r="29" spans="1:41" x14ac:dyDescent="0.2">
      <c r="J29" s="139"/>
      <c r="K29" s="140"/>
      <c r="L29" s="140"/>
      <c r="M29" s="140"/>
      <c r="N29" s="140"/>
      <c r="O29" s="140"/>
      <c r="P29" s="141"/>
    </row>
    <row r="31" spans="1:41" x14ac:dyDescent="0.2">
      <c r="G31" s="1711" t="s">
        <v>41</v>
      </c>
      <c r="H31" s="1709"/>
      <c r="I31" s="1709"/>
      <c r="J31" s="300"/>
    </row>
    <row r="32" spans="1:41" x14ac:dyDescent="0.2">
      <c r="F32" s="52" t="s">
        <v>31</v>
      </c>
      <c r="G32" s="97" t="s">
        <v>1</v>
      </c>
      <c r="H32" s="97" t="s">
        <v>35</v>
      </c>
      <c r="I32" s="97" t="s">
        <v>14</v>
      </c>
      <c r="K32" s="536"/>
      <c r="L32" s="536"/>
      <c r="M32" s="536"/>
    </row>
    <row r="33" spans="2:13" x14ac:dyDescent="0.2">
      <c r="F33" s="52" t="s">
        <v>30</v>
      </c>
      <c r="G33" s="50">
        <f>IF('K3 Resultat'!$I18=2,'Kauppa AT lainat ja avustukset'!$B24,IF('K3 Resultat'!$I18=1,'Kauppa AT lainat ja avustukset'!$B24,'Kauppa AT lainat ja avustukset'!$B24-'Kauppa AT lainat ja avustukset'!$E24))</f>
        <v>0</v>
      </c>
      <c r="H33" s="50">
        <f>IF('K3 Resultat'!$I18=2,'Kauppa AT lainat ja avustukset'!$B24,IF('K3 Resultat'!$I18=1,'Kauppa AT lainat ja avustukset'!$B24-$C24,'Kauppa AT lainat ja avustukset'!$B24-2*'Kauppa AT lainat ja avustukset'!$E24))</f>
        <v>0</v>
      </c>
      <c r="I33" s="50">
        <f>IF('K3 Resultat'!$I18=2,'Kauppa AT lainat ja avustukset'!$B24-D24,IF('K3 Resultat'!$I18=1,'Kauppa AT lainat ja avustukset'!$B24-2*$C24,'Kauppa AT lainat ja avustukset'!$B24-3*'Kauppa AT lainat ja avustukset'!$E24))</f>
        <v>0</v>
      </c>
      <c r="J33" s="300"/>
      <c r="K33" s="537"/>
      <c r="L33" s="537"/>
      <c r="M33" s="537"/>
    </row>
    <row r="34" spans="2:13" x14ac:dyDescent="0.2">
      <c r="F34" s="52" t="s">
        <v>32</v>
      </c>
      <c r="G34" s="50">
        <f>IF('K3 Resultat'!$I19=2,'Kauppa AT lainat ja avustukset'!$B25,IF('K3 Resultat'!$I19=1,'Kauppa AT lainat ja avustukset'!$B25,'Kauppa AT lainat ja avustukset'!$B25-'Kauppa AT lainat ja avustukset'!$E25))</f>
        <v>25000</v>
      </c>
      <c r="H34" s="50">
        <f>IF('K3 Resultat'!$I19=2,'Kauppa AT lainat ja avustukset'!$B25,IF('K3 Resultat'!$I19=1,'Kauppa AT lainat ja avustukset'!$B25-$C25,'Kauppa AT lainat ja avustukset'!$B25-2*'Kauppa AT lainat ja avustukset'!$E25))</f>
        <v>18750</v>
      </c>
      <c r="I34" s="50">
        <f>IF('K3 Resultat'!$I19=2,'Kauppa AT lainat ja avustukset'!$B25-D25,IF('K3 Resultat'!$I19=1,'Kauppa AT lainat ja avustukset'!$B25-2*$C25,'Kauppa AT lainat ja avustukset'!$B25-3*'Kauppa AT lainat ja avustukset'!$E25))</f>
        <v>12500</v>
      </c>
      <c r="J34" s="300"/>
    </row>
    <row r="35" spans="2:13" x14ac:dyDescent="0.2">
      <c r="F35" s="52" t="s">
        <v>33</v>
      </c>
      <c r="G35" s="50">
        <f>IF('K3 Resultat'!$I20=2,'Kauppa AT lainat ja avustukset'!$B26,IF('K3 Resultat'!$I20=1,'Kauppa AT lainat ja avustukset'!$B26,'Kauppa AT lainat ja avustukset'!$B26-'Kauppa AT lainat ja avustukset'!$E26))</f>
        <v>0</v>
      </c>
      <c r="H35" s="50">
        <f>IF('K3 Resultat'!$I20=2,'Kauppa AT lainat ja avustukset'!$B26,IF('K3 Resultat'!$I20=1,'Kauppa AT lainat ja avustukset'!$B26-$C26,'Kauppa AT lainat ja avustukset'!$B26-2*'Kauppa AT lainat ja avustukset'!$E26))</f>
        <v>0</v>
      </c>
      <c r="I35" s="50">
        <f>IF('K3 Resultat'!$I20=2,'Kauppa AT lainat ja avustukset'!$B26-D26,IF('K3 Resultat'!$I20=1,'Kauppa AT lainat ja avustukset'!$B26-2*$C26,'Kauppa AT lainat ja avustukset'!$B26-3*'Kauppa AT lainat ja avustukset'!$E26))</f>
        <v>0</v>
      </c>
      <c r="J35" s="300"/>
    </row>
    <row r="36" spans="2:13" x14ac:dyDescent="0.2">
      <c r="G36" s="50"/>
      <c r="H36" s="4"/>
      <c r="I36" s="4"/>
      <c r="J36" s="300"/>
    </row>
    <row r="37" spans="2:13" x14ac:dyDescent="0.2">
      <c r="F37" s="52" t="s">
        <v>21</v>
      </c>
      <c r="G37" s="50">
        <f>SUM(G33:G36)</f>
        <v>25000</v>
      </c>
      <c r="H37" s="50">
        <f>SUM(H33:H36)</f>
        <v>18750</v>
      </c>
      <c r="I37" s="50">
        <f>SUM(I33:I36)</f>
        <v>12500</v>
      </c>
      <c r="J37" s="300"/>
    </row>
    <row r="38" spans="2:13" ht="15.75" x14ac:dyDescent="0.25">
      <c r="B38" s="142" t="s">
        <v>74</v>
      </c>
      <c r="F38" s="130"/>
      <c r="G38" s="143" t="s">
        <v>75</v>
      </c>
      <c r="H38" s="132"/>
      <c r="I38" s="133"/>
      <c r="J38" s="300"/>
    </row>
    <row r="39" spans="2:13" x14ac:dyDescent="0.2">
      <c r="B39" s="2" t="s">
        <v>66</v>
      </c>
      <c r="C39" s="101" t="s">
        <v>42</v>
      </c>
      <c r="D39" s="128" t="s">
        <v>29</v>
      </c>
      <c r="E39" s="1" t="s">
        <v>56</v>
      </c>
      <c r="F39" s="144"/>
      <c r="G39" s="44" t="s">
        <v>75</v>
      </c>
      <c r="H39" s="50"/>
      <c r="I39" s="145"/>
      <c r="J39" s="300"/>
    </row>
    <row r="40" spans="2:13" x14ac:dyDescent="0.2">
      <c r="B40" s="121" t="s">
        <v>26</v>
      </c>
      <c r="C40" s="129">
        <f>'K3 Resultat'!D17</f>
        <v>0</v>
      </c>
      <c r="D40" s="50">
        <f>'K3 Resultat'!E17</f>
        <v>0</v>
      </c>
      <c r="E40">
        <f>C40*D40</f>
        <v>0</v>
      </c>
      <c r="F40" s="144"/>
      <c r="G40" s="50">
        <f>D40-E40</f>
        <v>0</v>
      </c>
      <c r="H40" s="50"/>
      <c r="I40" s="145"/>
    </row>
    <row r="41" spans="2:13" x14ac:dyDescent="0.2">
      <c r="B41" s="121" t="s">
        <v>27</v>
      </c>
      <c r="C41" s="129">
        <f>'K3 Resultat'!D18</f>
        <v>0</v>
      </c>
      <c r="D41" s="50">
        <f>'K3 Resultat'!E18</f>
        <v>0</v>
      </c>
      <c r="E41">
        <f>C41*D41</f>
        <v>0</v>
      </c>
      <c r="F41" s="144"/>
      <c r="G41" s="50">
        <f>D41-E41</f>
        <v>0</v>
      </c>
      <c r="H41" s="50"/>
      <c r="I41" s="145"/>
    </row>
    <row r="42" spans="2:13" x14ac:dyDescent="0.2">
      <c r="B42" s="121" t="s">
        <v>65</v>
      </c>
      <c r="C42" s="129">
        <f>'K3 Resultat'!D19</f>
        <v>0</v>
      </c>
      <c r="D42" s="50">
        <f>'K3 Resultat'!E19</f>
        <v>0</v>
      </c>
      <c r="E42" s="150">
        <f>C42*D42/1.24</f>
        <v>0</v>
      </c>
      <c r="F42" s="134"/>
      <c r="G42" s="151">
        <f>D42/1.24-E42</f>
        <v>0</v>
      </c>
      <c r="I42" s="136"/>
    </row>
    <row r="43" spans="2:13" x14ac:dyDescent="0.2">
      <c r="B43" s="2"/>
      <c r="C43" s="2"/>
      <c r="D43" s="2" t="s">
        <v>21</v>
      </c>
      <c r="E43" s="127">
        <f>SUM(E40:E42)</f>
        <v>0</v>
      </c>
      <c r="F43" s="134"/>
      <c r="I43" s="136"/>
    </row>
    <row r="44" spans="2:13" x14ac:dyDescent="0.2">
      <c r="B44" s="2" t="s">
        <v>54</v>
      </c>
      <c r="C44" s="14" t="s">
        <v>42</v>
      </c>
      <c r="D44" s="14" t="s">
        <v>148</v>
      </c>
      <c r="E44" s="14" t="s">
        <v>56</v>
      </c>
      <c r="F44" s="2" t="s">
        <v>54</v>
      </c>
      <c r="G44" s="14" t="s">
        <v>76</v>
      </c>
      <c r="I44" s="136"/>
    </row>
    <row r="45" spans="2:13" x14ac:dyDescent="0.2">
      <c r="B45" s="226">
        <v>1</v>
      </c>
      <c r="C45" s="252">
        <f>'K3 Resultat'!D21</f>
        <v>0</v>
      </c>
      <c r="D45" s="227">
        <f>'K3 Resultat'!E21</f>
        <v>20000</v>
      </c>
      <c r="E45" s="251">
        <f>C45*D45/1.24</f>
        <v>0</v>
      </c>
      <c r="F45" s="226">
        <v>1</v>
      </c>
      <c r="G45" s="251">
        <f>D45/1.24-E45</f>
        <v>16129.032258064517</v>
      </c>
      <c r="I45" s="136"/>
    </row>
    <row r="46" spans="2:13" x14ac:dyDescent="0.2">
      <c r="B46" s="226">
        <v>2</v>
      </c>
      <c r="C46" s="252">
        <f>'K3 Resultat'!D22</f>
        <v>0</v>
      </c>
      <c r="D46" s="227">
        <f>'K3 Resultat'!E22</f>
        <v>10000</v>
      </c>
      <c r="E46" s="251">
        <f>C46*D46/1.24</f>
        <v>0</v>
      </c>
      <c r="F46" s="226">
        <v>2</v>
      </c>
      <c r="G46" s="251">
        <f>D46/1.24-E46</f>
        <v>8064.5161290322585</v>
      </c>
      <c r="I46" s="136"/>
    </row>
    <row r="47" spans="2:13" x14ac:dyDescent="0.2">
      <c r="B47" s="226">
        <v>3</v>
      </c>
      <c r="C47" s="252">
        <f>'K3 Resultat'!D23</f>
        <v>0</v>
      </c>
      <c r="D47" s="227">
        <f>'K3 Resultat'!E23</f>
        <v>5000</v>
      </c>
      <c r="E47" s="251">
        <f>C47*D47/1.24</f>
        <v>0</v>
      </c>
      <c r="F47" s="226">
        <v>3</v>
      </c>
      <c r="G47" s="251">
        <f>D47/1.24-E47</f>
        <v>4032.2580645161293</v>
      </c>
      <c r="I47" s="136"/>
    </row>
    <row r="48" spans="2:13" x14ac:dyDescent="0.2">
      <c r="B48" s="226"/>
      <c r="C48" s="252"/>
      <c r="D48" s="227"/>
      <c r="E48" s="251"/>
      <c r="F48" s="226"/>
      <c r="G48" s="251"/>
      <c r="I48" s="136"/>
    </row>
    <row r="49" spans="2:16" x14ac:dyDescent="0.2">
      <c r="B49" s="226"/>
      <c r="C49" s="255" t="s">
        <v>0</v>
      </c>
      <c r="D49" s="228" t="s">
        <v>0</v>
      </c>
      <c r="E49" s="254"/>
      <c r="F49" s="226"/>
      <c r="G49" s="254"/>
      <c r="I49" s="136"/>
    </row>
    <row r="50" spans="2:16" x14ac:dyDescent="0.2">
      <c r="B50" s="256" t="s">
        <v>64</v>
      </c>
      <c r="C50" s="257">
        <f>IF(D50=0,0,1.24*(E50/D50))</f>
        <v>0</v>
      </c>
      <c r="D50" s="258">
        <f>SUM(D45:D49)</f>
        <v>35000</v>
      </c>
      <c r="E50" s="259">
        <f>SUM(E45:E49)</f>
        <v>0</v>
      </c>
      <c r="F50" s="226"/>
      <c r="G50" s="254"/>
      <c r="I50" s="136"/>
    </row>
    <row r="51" spans="2:16" x14ac:dyDescent="0.2">
      <c r="B51" s="225" t="s">
        <v>57</v>
      </c>
      <c r="C51" s="226"/>
      <c r="D51" s="228">
        <f>B57</f>
        <v>0</v>
      </c>
      <c r="E51" s="254">
        <v>0</v>
      </c>
      <c r="F51" s="225" t="s">
        <v>57</v>
      </c>
      <c r="G51" s="254">
        <f>-D51</f>
        <v>0</v>
      </c>
      <c r="I51" s="136"/>
    </row>
    <row r="52" spans="2:16" x14ac:dyDescent="0.2">
      <c r="B52" s="225" t="s">
        <v>67</v>
      </c>
      <c r="C52" s="260">
        <f>'K3 Resultat'!D26</f>
        <v>0</v>
      </c>
      <c r="D52" s="227">
        <f>'K3 Resultat'!E26</f>
        <v>0</v>
      </c>
      <c r="E52" s="226">
        <f>C52*D52</f>
        <v>0</v>
      </c>
      <c r="F52" s="225" t="s">
        <v>106</v>
      </c>
      <c r="G52" s="254">
        <f>D52-E52</f>
        <v>0</v>
      </c>
      <c r="I52" s="136"/>
    </row>
    <row r="53" spans="2:16" x14ac:dyDescent="0.2">
      <c r="B53" s="225" t="s">
        <v>58</v>
      </c>
      <c r="C53" s="261" t="s">
        <v>226</v>
      </c>
      <c r="D53" s="225"/>
      <c r="E53" s="262">
        <f>E43+IF(E50+E51+E52&lt;0,0,E50+E51+E52)</f>
        <v>0</v>
      </c>
      <c r="F53" s="256" t="s">
        <v>21</v>
      </c>
      <c r="G53" s="262">
        <f>SUM(G45:G52)</f>
        <v>28225.806451612905</v>
      </c>
      <c r="I53" s="136"/>
    </row>
    <row r="54" spans="2:16" x14ac:dyDescent="0.2">
      <c r="F54" s="139"/>
      <c r="G54" s="140"/>
      <c r="H54" s="140"/>
      <c r="I54" s="141"/>
    </row>
    <row r="55" spans="2:16" x14ac:dyDescent="0.2">
      <c r="B55" s="2" t="s">
        <v>60</v>
      </c>
    </row>
    <row r="56" spans="2:16" x14ac:dyDescent="0.2">
      <c r="B56" s="101" t="s">
        <v>29</v>
      </c>
      <c r="C56" s="101" t="s">
        <v>28</v>
      </c>
      <c r="D56" s="101" t="s">
        <v>59</v>
      </c>
      <c r="E56" s="128" t="s">
        <v>62</v>
      </c>
      <c r="F56" s="1" t="s">
        <v>61</v>
      </c>
      <c r="G56" s="128" t="s">
        <v>63</v>
      </c>
      <c r="K56" t="s">
        <v>130</v>
      </c>
    </row>
    <row r="57" spans="2:16" x14ac:dyDescent="0.2">
      <c r="B57" s="50">
        <f>'K3 Resultat'!K21</f>
        <v>0</v>
      </c>
      <c r="C57" s="122">
        <f>'K3 Resultat'!H21</f>
        <v>0</v>
      </c>
      <c r="D57" s="50">
        <f>'K3 Resultat'!I21</f>
        <v>0</v>
      </c>
      <c r="E57" s="125">
        <f>'K1 Kostnader'!E59</f>
        <v>0.3</v>
      </c>
      <c r="F57" s="50">
        <f>B57*E57</f>
        <v>0</v>
      </c>
      <c r="G57" s="96">
        <f>IF(B57=0,0,-PMT(C57,D57,B57-F57)+12*K57)</f>
        <v>0</v>
      </c>
      <c r="H57" s="1" t="s">
        <v>79</v>
      </c>
      <c r="K57">
        <v>10</v>
      </c>
    </row>
    <row r="58" spans="2:16" x14ac:dyDescent="0.2">
      <c r="B58" s="50">
        <f>B57</f>
        <v>0</v>
      </c>
      <c r="C58" s="122">
        <f>C57</f>
        <v>0</v>
      </c>
      <c r="D58" s="50">
        <f>D57</f>
        <v>0</v>
      </c>
      <c r="E58" s="122">
        <f>E57</f>
        <v>0.3</v>
      </c>
      <c r="F58" s="50">
        <f>F57</f>
        <v>0</v>
      </c>
      <c r="G58" s="124">
        <f>IF(D58=0,0,(C58*F58))</f>
        <v>0</v>
      </c>
      <c r="H58" s="300" t="s">
        <v>131</v>
      </c>
    </row>
    <row r="59" spans="2:16" x14ac:dyDescent="0.2">
      <c r="B59" s="1"/>
      <c r="C59" s="50"/>
      <c r="D59" s="122"/>
      <c r="F59" s="152"/>
      <c r="G59" s="50"/>
    </row>
    <row r="60" spans="2:16" x14ac:dyDescent="0.2">
      <c r="F60" s="128"/>
      <c r="G60" s="50">
        <f>G57+G58</f>
        <v>0</v>
      </c>
      <c r="H60" s="1" t="s">
        <v>108</v>
      </c>
    </row>
    <row r="61" spans="2:16" x14ac:dyDescent="0.2">
      <c r="B61" s="1"/>
      <c r="C61" s="1"/>
      <c r="E61" s="128"/>
      <c r="F61" s="126"/>
      <c r="G61" s="50"/>
      <c r="H61" s="1"/>
    </row>
    <row r="62" spans="2:16" x14ac:dyDescent="0.2">
      <c r="B62" s="6"/>
      <c r="C62" s="280"/>
      <c r="D62" s="280"/>
      <c r="E62" s="280"/>
      <c r="F62" s="52"/>
      <c r="G62" s="52"/>
      <c r="H62" s="52"/>
      <c r="I62" s="52"/>
      <c r="J62" s="52"/>
      <c r="K62" s="52"/>
      <c r="L62" s="52"/>
      <c r="M62" s="52"/>
      <c r="N62" s="52"/>
      <c r="O62" s="52"/>
      <c r="P62" s="52"/>
    </row>
    <row r="63" spans="2:16" x14ac:dyDescent="0.2">
      <c r="B63" s="167"/>
      <c r="C63" s="99"/>
      <c r="D63" s="99"/>
      <c r="E63" s="99"/>
      <c r="F63" s="52"/>
      <c r="G63" s="52"/>
      <c r="H63" s="52"/>
      <c r="I63" s="52"/>
      <c r="J63" s="52"/>
      <c r="K63" s="52"/>
      <c r="L63" s="52"/>
      <c r="M63" s="52"/>
      <c r="N63" s="52"/>
      <c r="O63" s="52"/>
      <c r="P63" s="52"/>
    </row>
    <row r="64" spans="2:16" x14ac:dyDescent="0.2">
      <c r="B64" s="167"/>
      <c r="C64" s="99"/>
      <c r="D64" s="99"/>
      <c r="E64" s="99"/>
      <c r="F64" s="234"/>
      <c r="G64" s="234"/>
      <c r="H64" s="234"/>
      <c r="I64" s="234"/>
      <c r="J64" s="234"/>
      <c r="K64" s="234"/>
      <c r="L64" s="234"/>
      <c r="M64" s="234"/>
      <c r="N64" s="234"/>
      <c r="O64" s="234"/>
      <c r="P64" s="234"/>
    </row>
    <row r="65" spans="1:46" x14ac:dyDescent="0.2">
      <c r="B65" s="167"/>
      <c r="C65" s="99"/>
      <c r="D65" s="99"/>
      <c r="E65" s="99"/>
      <c r="F65" s="211"/>
      <c r="G65" s="211"/>
      <c r="H65" s="211"/>
      <c r="I65" s="211"/>
      <c r="J65" s="211"/>
      <c r="K65" s="211"/>
      <c r="L65" s="211"/>
      <c r="M65" s="211"/>
      <c r="N65" s="211"/>
      <c r="O65" s="211"/>
      <c r="P65" s="99"/>
    </row>
    <row r="66" spans="1:46" x14ac:dyDescent="0.2">
      <c r="B66" s="167"/>
      <c r="C66" s="99"/>
      <c r="D66" s="99"/>
      <c r="E66" s="99"/>
      <c r="F66" s="211"/>
      <c r="G66" s="211"/>
      <c r="H66" s="211"/>
      <c r="I66" s="211"/>
      <c r="J66" s="211"/>
      <c r="K66" s="211"/>
      <c r="L66" s="211"/>
      <c r="M66" s="211"/>
      <c r="N66" s="211"/>
      <c r="O66" s="211"/>
      <c r="P66" s="99"/>
    </row>
    <row r="67" spans="1:46" x14ac:dyDescent="0.2">
      <c r="B67" s="167"/>
      <c r="C67" s="99"/>
      <c r="D67" s="99"/>
      <c r="E67" s="99"/>
      <c r="F67" s="211"/>
      <c r="G67" s="211"/>
      <c r="H67" s="211"/>
      <c r="I67" s="211"/>
      <c r="J67" s="211"/>
      <c r="K67" s="211"/>
      <c r="L67" s="211"/>
      <c r="M67" s="211"/>
      <c r="N67" s="211"/>
      <c r="O67" s="211"/>
      <c r="P67" s="99"/>
    </row>
    <row r="68" spans="1:46" x14ac:dyDescent="0.2">
      <c r="B68" s="70"/>
      <c r="C68" s="99"/>
      <c r="D68" s="99"/>
      <c r="E68" s="99"/>
      <c r="F68" s="211"/>
      <c r="G68" s="211"/>
      <c r="H68" s="211"/>
      <c r="I68" s="211"/>
      <c r="J68" s="211"/>
      <c r="K68" s="211"/>
      <c r="L68" s="211"/>
      <c r="M68" s="211"/>
      <c r="N68" s="211"/>
      <c r="O68" s="211"/>
      <c r="P68" s="99"/>
    </row>
    <row r="69" spans="1:46" x14ac:dyDescent="0.2">
      <c r="A69" s="575" t="s">
        <v>31</v>
      </c>
      <c r="B69" s="575"/>
      <c r="C69" s="575"/>
      <c r="D69" s="576"/>
      <c r="E69" s="576"/>
      <c r="F69" s="576"/>
      <c r="G69" s="576"/>
      <c r="H69" s="576"/>
      <c r="I69" s="576"/>
      <c r="J69" s="576"/>
      <c r="K69" s="576"/>
      <c r="L69" s="576"/>
      <c r="M69" s="576"/>
      <c r="N69" s="576"/>
      <c r="O69" s="576"/>
      <c r="P69" s="577"/>
      <c r="Q69" s="578"/>
      <c r="R69" s="578"/>
      <c r="S69" s="578"/>
      <c r="T69" s="578"/>
      <c r="U69" s="578"/>
      <c r="V69" s="578"/>
      <c r="W69" s="578"/>
      <c r="X69" s="578"/>
      <c r="Y69" s="578"/>
      <c r="Z69" s="578"/>
      <c r="AA69" s="578"/>
      <c r="AB69" s="578"/>
      <c r="AC69" s="578"/>
      <c r="AD69" s="578"/>
      <c r="AE69" s="578"/>
      <c r="AF69" s="578"/>
      <c r="AG69" s="578"/>
      <c r="AH69" s="578"/>
      <c r="AI69" s="578"/>
      <c r="AJ69" s="578"/>
      <c r="AK69" s="578"/>
      <c r="AL69" s="578"/>
    </row>
    <row r="70" spans="1:46" ht="13.5" thickBot="1" x14ac:dyDescent="0.25">
      <c r="A70" s="579" t="s">
        <v>186</v>
      </c>
      <c r="B70" s="580">
        <v>6</v>
      </c>
      <c r="C70" s="581">
        <v>7</v>
      </c>
      <c r="D70" s="581">
        <v>8</v>
      </c>
      <c r="E70" s="581">
        <v>9</v>
      </c>
      <c r="F70" s="581">
        <v>10</v>
      </c>
      <c r="G70" s="581">
        <v>11</v>
      </c>
      <c r="H70" s="581">
        <v>12</v>
      </c>
      <c r="I70" s="581">
        <v>13</v>
      </c>
      <c r="J70" s="581">
        <v>14</v>
      </c>
      <c r="K70" s="581">
        <v>15</v>
      </c>
      <c r="L70" s="581">
        <v>16</v>
      </c>
      <c r="M70" s="581">
        <v>17</v>
      </c>
      <c r="N70" s="581">
        <v>18</v>
      </c>
      <c r="O70" s="581">
        <v>19</v>
      </c>
      <c r="P70" s="581">
        <v>20</v>
      </c>
      <c r="Q70" s="581">
        <v>21</v>
      </c>
      <c r="R70" s="581">
        <v>22</v>
      </c>
      <c r="S70" s="581">
        <v>23</v>
      </c>
      <c r="T70" s="581">
        <v>24</v>
      </c>
      <c r="U70" s="581">
        <v>25</v>
      </c>
      <c r="V70" s="581">
        <v>26</v>
      </c>
      <c r="W70" s="581">
        <v>27</v>
      </c>
      <c r="X70" s="581">
        <v>28</v>
      </c>
      <c r="Y70" s="581">
        <v>29</v>
      </c>
      <c r="Z70" s="581">
        <v>30</v>
      </c>
      <c r="AA70" s="581">
        <v>31</v>
      </c>
      <c r="AB70" s="581">
        <v>32</v>
      </c>
      <c r="AC70" s="581">
        <v>33</v>
      </c>
      <c r="AD70" s="581">
        <v>34</v>
      </c>
      <c r="AE70" s="581">
        <v>35</v>
      </c>
      <c r="AF70" s="581">
        <v>36</v>
      </c>
      <c r="AG70" s="581">
        <v>37</v>
      </c>
      <c r="AH70" s="581">
        <v>38</v>
      </c>
      <c r="AI70" s="581">
        <v>39</v>
      </c>
      <c r="AJ70" s="581">
        <v>40</v>
      </c>
      <c r="AK70" s="581">
        <v>41</v>
      </c>
      <c r="AL70" s="581">
        <v>42</v>
      </c>
      <c r="AM70" s="211"/>
      <c r="AN70" s="210"/>
      <c r="AO70" s="211"/>
      <c r="AP70" s="210"/>
      <c r="AQ70" s="211"/>
      <c r="AR70" s="210"/>
      <c r="AS70" s="210"/>
      <c r="AT70" s="211"/>
    </row>
    <row r="71" spans="1:46" s="544" customFormat="1" ht="11.25" customHeight="1" x14ac:dyDescent="0.2">
      <c r="A71" s="582" t="s">
        <v>183</v>
      </c>
      <c r="B71" s="583">
        <f>'K3 Resultat'!K18</f>
        <v>0</v>
      </c>
      <c r="C71" s="607">
        <f>B71-B72</f>
        <v>0</v>
      </c>
      <c r="D71" s="607">
        <f t="shared" ref="D71:AF71" si="4">C71-C72</f>
        <v>0</v>
      </c>
      <c r="E71" s="607">
        <f t="shared" si="4"/>
        <v>0</v>
      </c>
      <c r="F71" s="607">
        <f t="shared" si="4"/>
        <v>0</v>
      </c>
      <c r="G71" s="607">
        <f t="shared" si="4"/>
        <v>0</v>
      </c>
      <c r="H71" s="607">
        <f t="shared" si="4"/>
        <v>0</v>
      </c>
      <c r="I71" s="607">
        <f t="shared" si="4"/>
        <v>0</v>
      </c>
      <c r="J71" s="607">
        <f t="shared" si="4"/>
        <v>0</v>
      </c>
      <c r="K71" s="607">
        <f t="shared" si="4"/>
        <v>0</v>
      </c>
      <c r="L71" s="607">
        <f t="shared" si="4"/>
        <v>0</v>
      </c>
      <c r="M71" s="607">
        <f t="shared" si="4"/>
        <v>0</v>
      </c>
      <c r="N71" s="607">
        <f t="shared" si="4"/>
        <v>0</v>
      </c>
      <c r="O71" s="607">
        <f t="shared" si="4"/>
        <v>0</v>
      </c>
      <c r="P71" s="607">
        <f t="shared" si="4"/>
        <v>0</v>
      </c>
      <c r="Q71" s="607">
        <f t="shared" si="4"/>
        <v>0</v>
      </c>
      <c r="R71" s="607">
        <f t="shared" si="4"/>
        <v>0</v>
      </c>
      <c r="S71" s="607">
        <f t="shared" si="4"/>
        <v>0</v>
      </c>
      <c r="T71" s="607">
        <f t="shared" si="4"/>
        <v>0</v>
      </c>
      <c r="U71" s="607">
        <f t="shared" si="4"/>
        <v>0</v>
      </c>
      <c r="V71" s="607">
        <f t="shared" si="4"/>
        <v>0</v>
      </c>
      <c r="W71" s="607">
        <f t="shared" si="4"/>
        <v>0</v>
      </c>
      <c r="X71" s="607">
        <f t="shared" si="4"/>
        <v>0</v>
      </c>
      <c r="Y71" s="607">
        <f t="shared" si="4"/>
        <v>0</v>
      </c>
      <c r="Z71" s="607">
        <f t="shared" si="4"/>
        <v>0</v>
      </c>
      <c r="AA71" s="607">
        <f t="shared" si="4"/>
        <v>0</v>
      </c>
      <c r="AB71" s="607">
        <f t="shared" si="4"/>
        <v>0</v>
      </c>
      <c r="AC71" s="607">
        <f t="shared" si="4"/>
        <v>0</v>
      </c>
      <c r="AD71" s="607">
        <f t="shared" si="4"/>
        <v>0</v>
      </c>
      <c r="AE71" s="607">
        <f t="shared" si="4"/>
        <v>0</v>
      </c>
      <c r="AF71" s="607">
        <f t="shared" si="4"/>
        <v>0</v>
      </c>
      <c r="AG71" s="607">
        <f t="shared" ref="AG71" si="5">AF71-AF72</f>
        <v>0</v>
      </c>
      <c r="AH71" s="607">
        <f t="shared" ref="AH71" si="6">AG71-AG72</f>
        <v>0</v>
      </c>
      <c r="AI71" s="607">
        <f t="shared" ref="AI71" si="7">AH71-AH72</f>
        <v>0</v>
      </c>
      <c r="AJ71" s="607">
        <f t="shared" ref="AJ71" si="8">AI71-AI72</f>
        <v>0</v>
      </c>
      <c r="AK71" s="607">
        <f t="shared" ref="AK71" si="9">AJ71-AJ72</f>
        <v>0</v>
      </c>
      <c r="AL71" s="608">
        <f t="shared" ref="AL71" si="10">AK71-AK72</f>
        <v>0</v>
      </c>
    </row>
    <row r="72" spans="1:46" x14ac:dyDescent="0.2">
      <c r="A72" s="584" t="s">
        <v>184</v>
      </c>
      <c r="B72" s="70">
        <f>IF(B71=0,0,IF('K3 Resultat'!$I18=2,0,IF('K3 Resultat'!$I18=1,0,'K3 Resultat'!$K18/(2*'K3 Resultat'!$J18))))</f>
        <v>0</v>
      </c>
      <c r="C72" s="210"/>
      <c r="D72" s="211"/>
      <c r="E72" s="211"/>
      <c r="F72" s="211"/>
      <c r="G72" s="211"/>
      <c r="H72" s="70">
        <f>IF(H71=0,0,IF('K3 Resultat'!$I18=2,0,IF('K3 Resultat'!$I18=1,0,'K3 Resultat'!$K18/(2*'K3 Resultat'!$J18))))</f>
        <v>0</v>
      </c>
      <c r="I72" s="211"/>
      <c r="J72" s="211"/>
      <c r="K72" s="211"/>
      <c r="L72" s="211"/>
      <c r="M72" s="211"/>
      <c r="N72" s="70">
        <f>IF(N71=0,0,IF('K3 Resultat'!$I18=2,0,IF('K3 Resultat'!$I18=1,'K3 Resultat'!$K18/(2*'K3 Resultat'!$J18-2),'K3 Resultat'!$K18/(2*'K3 Resultat'!$J18))))</f>
        <v>0</v>
      </c>
      <c r="O72" s="211"/>
      <c r="P72" s="99"/>
      <c r="T72" s="70">
        <f>IF(T71=0,0,IF('K3 Resultat'!$I18=2,0,IF('K3 Resultat'!$I18=1,'K3 Resultat'!$K18/(2*'K3 Resultat'!$J18-2),'K3 Resultat'!$K18/(2*'K3 Resultat'!$J18))))</f>
        <v>0</v>
      </c>
      <c r="Z72" s="70">
        <f>IF(Z71=0,0,IF('K3 Resultat'!$I18=2,'K3 Resultat'!$K18/(2*'K3 Resultat'!$J18-4),IF('K3 Resultat'!$I18=1,'K3 Resultat'!$K18/(2*'K3 Resultat'!$J18-2),'K3 Resultat'!$K18/(2*'K3 Resultat'!$J18))))</f>
        <v>0</v>
      </c>
      <c r="AF72" s="70">
        <f>IF(AF71=0,0,IF('K3 Resultat'!$I18=2,'K3 Resultat'!$K18/(2*'K3 Resultat'!$J18-4),IF('K3 Resultat'!$I18=1,'K3 Resultat'!$K18/(2*'K3 Resultat'!$J18-2),'K3 Resultat'!$K18/(2*'K3 Resultat'!$J18))))</f>
        <v>0</v>
      </c>
      <c r="AL72" s="609">
        <f>IF(AL71=0,0,IF('K3 Resultat'!$I18=2,'K3 Resultat'!$K18/(2*'K3 Resultat'!$J18-4),IF('K3 Resultat'!$I18=1,'K3 Resultat'!$K18/(2*'K3 Resultat'!$J18-2),'K3 Resultat'!$K18/(2*'K3 Resultat'!$J18))))</f>
        <v>0</v>
      </c>
    </row>
    <row r="73" spans="1:46" s="621" customFormat="1" x14ac:dyDescent="0.2">
      <c r="A73" s="619" t="s">
        <v>228</v>
      </c>
      <c r="B73" s="620">
        <f>B71-B72</f>
        <v>0</v>
      </c>
      <c r="C73" s="620">
        <f t="shared" ref="C73:AL73" si="11">C71-C72</f>
        <v>0</v>
      </c>
      <c r="D73" s="620">
        <f t="shared" si="11"/>
        <v>0</v>
      </c>
      <c r="E73" s="620">
        <f t="shared" si="11"/>
        <v>0</v>
      </c>
      <c r="F73" s="620">
        <f t="shared" si="11"/>
        <v>0</v>
      </c>
      <c r="G73" s="620">
        <f t="shared" si="11"/>
        <v>0</v>
      </c>
      <c r="H73" s="620">
        <f t="shared" si="11"/>
        <v>0</v>
      </c>
      <c r="I73" s="620">
        <f t="shared" si="11"/>
        <v>0</v>
      </c>
      <c r="J73" s="620">
        <f t="shared" si="11"/>
        <v>0</v>
      </c>
      <c r="K73" s="620">
        <f t="shared" si="11"/>
        <v>0</v>
      </c>
      <c r="L73" s="620">
        <f t="shared" si="11"/>
        <v>0</v>
      </c>
      <c r="M73" s="620">
        <f t="shared" si="11"/>
        <v>0</v>
      </c>
      <c r="N73" s="620">
        <f t="shared" si="11"/>
        <v>0</v>
      </c>
      <c r="O73" s="620">
        <f t="shared" si="11"/>
        <v>0</v>
      </c>
      <c r="P73" s="620">
        <f t="shared" si="11"/>
        <v>0</v>
      </c>
      <c r="Q73" s="620">
        <f t="shared" si="11"/>
        <v>0</v>
      </c>
      <c r="R73" s="620">
        <f t="shared" si="11"/>
        <v>0</v>
      </c>
      <c r="S73" s="620">
        <f t="shared" si="11"/>
        <v>0</v>
      </c>
      <c r="T73" s="620">
        <f t="shared" si="11"/>
        <v>0</v>
      </c>
      <c r="U73" s="620">
        <f t="shared" si="11"/>
        <v>0</v>
      </c>
      <c r="V73" s="620">
        <f t="shared" si="11"/>
        <v>0</v>
      </c>
      <c r="W73" s="620">
        <f t="shared" si="11"/>
        <v>0</v>
      </c>
      <c r="X73" s="620">
        <f t="shared" si="11"/>
        <v>0</v>
      </c>
      <c r="Y73" s="620">
        <f t="shared" si="11"/>
        <v>0</v>
      </c>
      <c r="Z73" s="620">
        <f t="shared" si="11"/>
        <v>0</v>
      </c>
      <c r="AA73" s="620">
        <f t="shared" si="11"/>
        <v>0</v>
      </c>
      <c r="AB73" s="620">
        <f t="shared" si="11"/>
        <v>0</v>
      </c>
      <c r="AC73" s="620">
        <f t="shared" si="11"/>
        <v>0</v>
      </c>
      <c r="AD73" s="620">
        <f t="shared" si="11"/>
        <v>0</v>
      </c>
      <c r="AE73" s="620">
        <f t="shared" si="11"/>
        <v>0</v>
      </c>
      <c r="AF73" s="620">
        <f t="shared" si="11"/>
        <v>0</v>
      </c>
      <c r="AG73" s="620">
        <f t="shared" si="11"/>
        <v>0</v>
      </c>
      <c r="AH73" s="620">
        <f t="shared" si="11"/>
        <v>0</v>
      </c>
      <c r="AI73" s="620">
        <f t="shared" si="11"/>
        <v>0</v>
      </c>
      <c r="AJ73" s="620">
        <f t="shared" si="11"/>
        <v>0</v>
      </c>
      <c r="AK73" s="620">
        <f t="shared" si="11"/>
        <v>0</v>
      </c>
      <c r="AL73" s="620">
        <f t="shared" si="11"/>
        <v>0</v>
      </c>
    </row>
    <row r="74" spans="1:46" x14ac:dyDescent="0.2">
      <c r="A74" s="584" t="s">
        <v>28</v>
      </c>
      <c r="B74" s="538">
        <f>'K3 Resultat'!H18</f>
        <v>0</v>
      </c>
      <c r="C74" s="539">
        <f>B74</f>
        <v>0</v>
      </c>
      <c r="D74" s="539">
        <f t="shared" ref="D74:AF74" si="12">C74</f>
        <v>0</v>
      </c>
      <c r="E74" s="539">
        <f t="shared" si="12"/>
        <v>0</v>
      </c>
      <c r="F74" s="539">
        <f t="shared" si="12"/>
        <v>0</v>
      </c>
      <c r="G74" s="539">
        <f t="shared" si="12"/>
        <v>0</v>
      </c>
      <c r="H74" s="539">
        <f t="shared" si="12"/>
        <v>0</v>
      </c>
      <c r="I74" s="539">
        <f t="shared" si="12"/>
        <v>0</v>
      </c>
      <c r="J74" s="539">
        <f t="shared" si="12"/>
        <v>0</v>
      </c>
      <c r="K74" s="539">
        <f t="shared" si="12"/>
        <v>0</v>
      </c>
      <c r="L74" s="539">
        <f t="shared" si="12"/>
        <v>0</v>
      </c>
      <c r="M74" s="539">
        <f t="shared" si="12"/>
        <v>0</v>
      </c>
      <c r="N74" s="539">
        <f t="shared" si="12"/>
        <v>0</v>
      </c>
      <c r="O74" s="539">
        <f t="shared" si="12"/>
        <v>0</v>
      </c>
      <c r="P74" s="539">
        <f t="shared" si="12"/>
        <v>0</v>
      </c>
      <c r="Q74" s="539">
        <f t="shared" si="12"/>
        <v>0</v>
      </c>
      <c r="R74" s="539">
        <f t="shared" si="12"/>
        <v>0</v>
      </c>
      <c r="S74" s="539">
        <f t="shared" si="12"/>
        <v>0</v>
      </c>
      <c r="T74" s="539">
        <f t="shared" si="12"/>
        <v>0</v>
      </c>
      <c r="U74" s="539">
        <f t="shared" si="12"/>
        <v>0</v>
      </c>
      <c r="V74" s="539">
        <f t="shared" si="12"/>
        <v>0</v>
      </c>
      <c r="W74" s="539">
        <f t="shared" si="12"/>
        <v>0</v>
      </c>
      <c r="X74" s="539">
        <f t="shared" si="12"/>
        <v>0</v>
      </c>
      <c r="Y74" s="539">
        <f t="shared" si="12"/>
        <v>0</v>
      </c>
      <c r="Z74" s="539">
        <f t="shared" si="12"/>
        <v>0</v>
      </c>
      <c r="AA74" s="539">
        <f t="shared" si="12"/>
        <v>0</v>
      </c>
      <c r="AB74" s="539">
        <f t="shared" si="12"/>
        <v>0</v>
      </c>
      <c r="AC74" s="539">
        <f t="shared" si="12"/>
        <v>0</v>
      </c>
      <c r="AD74" s="539">
        <f t="shared" si="12"/>
        <v>0</v>
      </c>
      <c r="AE74" s="539">
        <f t="shared" si="12"/>
        <v>0</v>
      </c>
      <c r="AF74" s="539">
        <f t="shared" si="12"/>
        <v>0</v>
      </c>
      <c r="AG74" s="539">
        <f t="shared" ref="AG74" si="13">AF74</f>
        <v>0</v>
      </c>
      <c r="AH74" s="539">
        <f t="shared" ref="AH74" si="14">AG74</f>
        <v>0</v>
      </c>
      <c r="AI74" s="539">
        <f t="shared" ref="AI74" si="15">AH74</f>
        <v>0</v>
      </c>
      <c r="AJ74" s="539">
        <f t="shared" ref="AJ74" si="16">AI74</f>
        <v>0</v>
      </c>
      <c r="AK74" s="539">
        <f t="shared" ref="AK74" si="17">AJ74</f>
        <v>0</v>
      </c>
      <c r="AL74" s="610">
        <f t="shared" ref="AL74" si="18">AK74</f>
        <v>0</v>
      </c>
    </row>
    <row r="75" spans="1:46" x14ac:dyDescent="0.2">
      <c r="A75" s="584" t="s">
        <v>185</v>
      </c>
      <c r="B75" s="540">
        <f>(B71)*B74/2</f>
        <v>0</v>
      </c>
      <c r="C75" s="540">
        <f>(C71)*C74/12</f>
        <v>0</v>
      </c>
      <c r="D75" s="540">
        <f t="shared" ref="D75:AL75" si="19">(D71)*D74/12</f>
        <v>0</v>
      </c>
      <c r="E75" s="540">
        <f t="shared" si="19"/>
        <v>0</v>
      </c>
      <c r="F75" s="540">
        <f t="shared" si="19"/>
        <v>0</v>
      </c>
      <c r="G75" s="540">
        <f t="shared" si="19"/>
        <v>0</v>
      </c>
      <c r="H75" s="540">
        <f t="shared" si="19"/>
        <v>0</v>
      </c>
      <c r="I75" s="540">
        <f t="shared" si="19"/>
        <v>0</v>
      </c>
      <c r="J75" s="540">
        <f t="shared" si="19"/>
        <v>0</v>
      </c>
      <c r="K75" s="540">
        <f t="shared" si="19"/>
        <v>0</v>
      </c>
      <c r="L75" s="540">
        <f t="shared" si="19"/>
        <v>0</v>
      </c>
      <c r="M75" s="540">
        <f t="shared" si="19"/>
        <v>0</v>
      </c>
      <c r="N75" s="540">
        <f t="shared" si="19"/>
        <v>0</v>
      </c>
      <c r="O75" s="540">
        <f t="shared" si="19"/>
        <v>0</v>
      </c>
      <c r="P75" s="540">
        <f t="shared" si="19"/>
        <v>0</v>
      </c>
      <c r="Q75" s="540">
        <f t="shared" si="19"/>
        <v>0</v>
      </c>
      <c r="R75" s="540">
        <f t="shared" si="19"/>
        <v>0</v>
      </c>
      <c r="S75" s="540">
        <f t="shared" si="19"/>
        <v>0</v>
      </c>
      <c r="T75" s="540">
        <f t="shared" si="19"/>
        <v>0</v>
      </c>
      <c r="U75" s="540">
        <f t="shared" si="19"/>
        <v>0</v>
      </c>
      <c r="V75" s="540">
        <f t="shared" si="19"/>
        <v>0</v>
      </c>
      <c r="W75" s="540">
        <f t="shared" si="19"/>
        <v>0</v>
      </c>
      <c r="X75" s="540">
        <f t="shared" si="19"/>
        <v>0</v>
      </c>
      <c r="Y75" s="540">
        <f t="shared" si="19"/>
        <v>0</v>
      </c>
      <c r="Z75" s="540">
        <f t="shared" si="19"/>
        <v>0</v>
      </c>
      <c r="AA75" s="540">
        <f t="shared" si="19"/>
        <v>0</v>
      </c>
      <c r="AB75" s="540">
        <f t="shared" si="19"/>
        <v>0</v>
      </c>
      <c r="AC75" s="540">
        <f t="shared" si="19"/>
        <v>0</v>
      </c>
      <c r="AD75" s="540">
        <f t="shared" si="19"/>
        <v>0</v>
      </c>
      <c r="AE75" s="540">
        <f t="shared" si="19"/>
        <v>0</v>
      </c>
      <c r="AF75" s="540">
        <f t="shared" si="19"/>
        <v>0</v>
      </c>
      <c r="AG75" s="540">
        <f t="shared" si="19"/>
        <v>0</v>
      </c>
      <c r="AH75" s="540">
        <f t="shared" si="19"/>
        <v>0</v>
      </c>
      <c r="AI75" s="540">
        <f t="shared" si="19"/>
        <v>0</v>
      </c>
      <c r="AJ75" s="540">
        <f t="shared" si="19"/>
        <v>0</v>
      </c>
      <c r="AK75" s="540">
        <f t="shared" si="19"/>
        <v>0</v>
      </c>
      <c r="AL75" s="611">
        <f t="shared" si="19"/>
        <v>0</v>
      </c>
    </row>
    <row r="76" spans="1:46" x14ac:dyDescent="0.2">
      <c r="A76" s="585" t="s">
        <v>187</v>
      </c>
      <c r="B76" s="549">
        <f>B75</f>
        <v>0</v>
      </c>
      <c r="C76" s="210"/>
      <c r="D76" s="211"/>
      <c r="E76" s="211"/>
      <c r="F76" s="211"/>
      <c r="G76" s="211"/>
      <c r="H76" s="211"/>
      <c r="I76" s="211"/>
      <c r="J76" s="211"/>
      <c r="K76" s="211"/>
      <c r="L76" s="211"/>
      <c r="M76" s="211"/>
      <c r="N76" s="550">
        <f>SUM(C75:N75)</f>
        <v>0</v>
      </c>
      <c r="O76" s="211"/>
      <c r="P76" s="99"/>
      <c r="Z76" s="550">
        <f>SUM(O75:Z75)</f>
        <v>0</v>
      </c>
      <c r="AL76" s="158"/>
    </row>
    <row r="77" spans="1:46" x14ac:dyDescent="0.2">
      <c r="A77" s="586" t="s">
        <v>188</v>
      </c>
      <c r="B77" s="70"/>
      <c r="C77" s="551">
        <f>B76+C75</f>
        <v>0</v>
      </c>
      <c r="D77" s="211"/>
      <c r="E77" s="211"/>
      <c r="F77" s="211"/>
      <c r="G77" s="211"/>
      <c r="H77" s="211"/>
      <c r="I77" s="211"/>
      <c r="J77" s="211"/>
      <c r="K77" s="211"/>
      <c r="L77" s="211"/>
      <c r="M77" s="211"/>
      <c r="O77" s="552">
        <f>SUM(D75:O75)</f>
        <v>0</v>
      </c>
      <c r="P77" s="99"/>
      <c r="AA77" s="552">
        <f>SUM(P75:AA75)</f>
        <v>0</v>
      </c>
      <c r="AB77" s="99"/>
      <c r="AL77" s="158"/>
    </row>
    <row r="78" spans="1:46" x14ac:dyDescent="0.2">
      <c r="A78" s="587" t="s">
        <v>199</v>
      </c>
      <c r="B78" s="52"/>
      <c r="C78" s="52"/>
      <c r="D78" s="553">
        <f>SUM(B75:D75)</f>
        <v>0</v>
      </c>
      <c r="E78" s="541"/>
      <c r="F78" s="541"/>
      <c r="G78" s="541"/>
      <c r="H78" s="541"/>
      <c r="I78" s="541"/>
      <c r="J78" s="541"/>
      <c r="K78" s="541"/>
      <c r="L78" s="541"/>
      <c r="M78" s="541"/>
      <c r="N78" s="541"/>
      <c r="O78" s="211"/>
      <c r="P78" s="554">
        <f>SUM(E75:P75)</f>
        <v>0</v>
      </c>
      <c r="AA78" s="211"/>
      <c r="AB78" s="554">
        <f>SUM(Q75:AB75)</f>
        <v>0</v>
      </c>
      <c r="AL78" s="158"/>
    </row>
    <row r="79" spans="1:46" x14ac:dyDescent="0.2">
      <c r="A79" s="588" t="s">
        <v>198</v>
      </c>
      <c r="B79" s="70"/>
      <c r="C79" s="210"/>
      <c r="D79" s="541"/>
      <c r="E79" s="556">
        <f>SUM(B75:E75)</f>
        <v>0</v>
      </c>
      <c r="F79" s="541"/>
      <c r="G79" s="541"/>
      <c r="H79" s="541"/>
      <c r="I79" s="541"/>
      <c r="J79" s="541"/>
      <c r="K79" s="541"/>
      <c r="L79" s="541"/>
      <c r="M79" s="541"/>
      <c r="N79" s="541"/>
      <c r="O79" s="211"/>
      <c r="P79" s="99"/>
      <c r="Q79" s="555">
        <f>SUM(F75:Q75)</f>
        <v>0</v>
      </c>
      <c r="AA79" s="211"/>
      <c r="AB79" s="99"/>
      <c r="AC79" s="555">
        <f>SUM(R75:AC75)</f>
        <v>0</v>
      </c>
      <c r="AL79" s="158"/>
    </row>
    <row r="80" spans="1:46" x14ac:dyDescent="0.2">
      <c r="A80" s="589" t="s">
        <v>189</v>
      </c>
      <c r="B80" s="70"/>
      <c r="C80" s="210"/>
      <c r="D80" s="541"/>
      <c r="E80" s="541"/>
      <c r="F80" s="557">
        <f>SUM(B75:F75)</f>
        <v>0</v>
      </c>
      <c r="G80" s="541"/>
      <c r="H80" s="541"/>
      <c r="I80" s="541"/>
      <c r="J80" s="541"/>
      <c r="K80" s="541"/>
      <c r="L80" s="541"/>
      <c r="M80" s="541"/>
      <c r="N80" s="541"/>
      <c r="O80" s="211"/>
      <c r="P80" s="99"/>
      <c r="R80" s="558">
        <f>SUM(G75:R75)</f>
        <v>0</v>
      </c>
      <c r="AA80" s="211"/>
      <c r="AB80" s="99"/>
      <c r="AD80" s="558">
        <f>SUM(S75:AD75)</f>
        <v>0</v>
      </c>
      <c r="AL80" s="158"/>
    </row>
    <row r="81" spans="1:38" x14ac:dyDescent="0.2">
      <c r="A81" s="590" t="s">
        <v>190</v>
      </c>
      <c r="B81" s="52"/>
      <c r="C81" s="52"/>
      <c r="D81" s="541"/>
      <c r="E81" s="541"/>
      <c r="F81" s="541"/>
      <c r="G81" s="560">
        <f>SUM(B75:G75)</f>
        <v>0</v>
      </c>
      <c r="H81" s="541"/>
      <c r="I81" s="541"/>
      <c r="J81" s="541"/>
      <c r="K81" s="541"/>
      <c r="L81" s="541"/>
      <c r="M81" s="541"/>
      <c r="N81" s="541"/>
      <c r="O81" s="211"/>
      <c r="P81" s="99"/>
      <c r="S81" s="559">
        <f>SUM(H75:S75)</f>
        <v>0</v>
      </c>
      <c r="AA81" s="211"/>
      <c r="AB81" s="99"/>
      <c r="AE81" s="559">
        <f>SUM(T75:AE75)</f>
        <v>0</v>
      </c>
      <c r="AL81" s="158"/>
    </row>
    <row r="82" spans="1:38" x14ac:dyDescent="0.2">
      <c r="A82" s="590" t="s">
        <v>191</v>
      </c>
      <c r="B82" s="70"/>
      <c r="C82" s="210"/>
      <c r="D82" s="541"/>
      <c r="E82" s="541"/>
      <c r="F82" s="541"/>
      <c r="G82" s="541"/>
      <c r="H82" s="561">
        <f>SUM(B75:H75)</f>
        <v>0</v>
      </c>
      <c r="I82" s="541"/>
      <c r="J82" s="541"/>
      <c r="K82" s="541"/>
      <c r="L82" s="541"/>
      <c r="M82" s="541"/>
      <c r="N82" s="541"/>
      <c r="O82" s="211"/>
      <c r="P82" s="99"/>
      <c r="T82" s="562">
        <f>SUM(I75:T75)</f>
        <v>0</v>
      </c>
      <c r="AA82" s="211"/>
      <c r="AB82" s="99"/>
      <c r="AF82" s="562">
        <f>SUM(U75:AF75)</f>
        <v>0</v>
      </c>
      <c r="AL82" s="158"/>
    </row>
    <row r="83" spans="1:38" x14ac:dyDescent="0.2">
      <c r="A83" s="591" t="s">
        <v>192</v>
      </c>
      <c r="B83" s="52"/>
      <c r="C83" s="52"/>
      <c r="D83" s="541"/>
      <c r="E83" s="541"/>
      <c r="F83" s="541"/>
      <c r="G83" s="541"/>
      <c r="H83" s="541"/>
      <c r="I83" s="567">
        <f>SUM(B75:I75)</f>
        <v>0</v>
      </c>
      <c r="J83" s="541"/>
      <c r="K83" s="541"/>
      <c r="L83" s="541"/>
      <c r="M83" s="541"/>
      <c r="N83" s="541"/>
      <c r="O83" s="211"/>
      <c r="P83" s="99"/>
      <c r="U83" s="563">
        <f>SUM(J75:U75)</f>
        <v>0</v>
      </c>
      <c r="AA83" s="211"/>
      <c r="AB83" s="99"/>
      <c r="AG83" s="563">
        <f>SUM(V75:AG75)</f>
        <v>0</v>
      </c>
      <c r="AL83" s="158"/>
    </row>
    <row r="84" spans="1:38" x14ac:dyDescent="0.2">
      <c r="A84" s="592" t="s">
        <v>193</v>
      </c>
      <c r="B84" s="70"/>
      <c r="C84" s="210"/>
      <c r="D84" s="541"/>
      <c r="E84" s="541"/>
      <c r="F84" s="541"/>
      <c r="G84" s="541"/>
      <c r="H84" s="541"/>
      <c r="I84" s="541"/>
      <c r="J84" s="568">
        <f>SUM(B75:J75)</f>
        <v>0</v>
      </c>
      <c r="K84" s="541"/>
      <c r="L84" s="541"/>
      <c r="M84" s="541"/>
      <c r="N84" s="541"/>
      <c r="O84" s="211"/>
      <c r="P84" s="99"/>
      <c r="V84" s="564">
        <f>SUM(K75:V75)</f>
        <v>0</v>
      </c>
      <c r="AA84" s="211"/>
      <c r="AB84" s="99"/>
      <c r="AH84" s="564">
        <f>SUM(W75:AH75)</f>
        <v>0</v>
      </c>
      <c r="AL84" s="158"/>
    </row>
    <row r="85" spans="1:38" x14ac:dyDescent="0.2">
      <c r="A85" s="593" t="s">
        <v>194</v>
      </c>
      <c r="B85" s="52"/>
      <c r="C85" s="52"/>
      <c r="D85" s="541"/>
      <c r="E85" s="541"/>
      <c r="F85" s="541"/>
      <c r="G85" s="541"/>
      <c r="H85" s="541"/>
      <c r="I85" s="541"/>
      <c r="J85" s="541"/>
      <c r="K85" s="569">
        <f>SUM(B75:K75)</f>
        <v>0</v>
      </c>
      <c r="L85" s="541"/>
      <c r="M85" s="541"/>
      <c r="N85" s="541"/>
      <c r="O85" s="211"/>
      <c r="P85" s="99"/>
      <c r="W85" s="565">
        <f>SUM(L75:W75)</f>
        <v>0</v>
      </c>
      <c r="AA85" s="211"/>
      <c r="AB85" s="99"/>
      <c r="AI85" s="565">
        <f>SUM(X75:AI75)</f>
        <v>0</v>
      </c>
      <c r="AL85" s="158"/>
    </row>
    <row r="86" spans="1:38" x14ac:dyDescent="0.2">
      <c r="A86" s="594" t="s">
        <v>195</v>
      </c>
      <c r="B86" s="70"/>
      <c r="C86" s="210"/>
      <c r="D86" s="541"/>
      <c r="E86" s="541"/>
      <c r="F86" s="541"/>
      <c r="G86" s="541"/>
      <c r="H86" s="541"/>
      <c r="I86" s="541"/>
      <c r="J86" s="541"/>
      <c r="K86" s="541"/>
      <c r="L86" s="570">
        <f>SUM(B75:L75)</f>
        <v>0</v>
      </c>
      <c r="M86" s="541"/>
      <c r="N86" s="541"/>
      <c r="O86" s="211"/>
      <c r="P86" s="99"/>
      <c r="X86" s="566">
        <f>SUM(M75:X75)</f>
        <v>0</v>
      </c>
      <c r="AA86" s="211"/>
      <c r="AB86" s="99"/>
      <c r="AJ86" s="566">
        <f>SUM(Y75:AJ75)</f>
        <v>0</v>
      </c>
      <c r="AL86" s="158"/>
    </row>
    <row r="87" spans="1:38" x14ac:dyDescent="0.2">
      <c r="A87" s="595" t="s">
        <v>196</v>
      </c>
      <c r="B87" s="52"/>
      <c r="C87" s="52"/>
      <c r="D87" s="541"/>
      <c r="E87" s="541"/>
      <c r="F87" s="541"/>
      <c r="G87" s="541"/>
      <c r="H87" s="541"/>
      <c r="I87" s="541"/>
      <c r="J87" s="541"/>
      <c r="K87" s="541"/>
      <c r="L87" s="541"/>
      <c r="M87" s="572">
        <f>SUM(B75:M75)</f>
        <v>0</v>
      </c>
      <c r="N87" s="541"/>
      <c r="O87" s="211"/>
      <c r="P87" s="99"/>
      <c r="Y87" s="571">
        <f>SUM(N75:Y75)</f>
        <v>0</v>
      </c>
      <c r="AA87" s="211"/>
      <c r="AB87" s="99"/>
      <c r="AK87" s="571">
        <f>SUM(Z75:AK75)</f>
        <v>0</v>
      </c>
      <c r="AL87" s="158"/>
    </row>
    <row r="88" spans="1:38" ht="13.5" thickBot="1" x14ac:dyDescent="0.25">
      <c r="A88" s="596" t="s">
        <v>197</v>
      </c>
      <c r="B88" s="597"/>
      <c r="C88" s="213"/>
      <c r="D88" s="598"/>
      <c r="E88" s="598"/>
      <c r="F88" s="598"/>
      <c r="G88" s="598"/>
      <c r="H88" s="598"/>
      <c r="I88" s="598"/>
      <c r="J88" s="598"/>
      <c r="K88" s="598"/>
      <c r="L88" s="598"/>
      <c r="M88" s="598"/>
      <c r="N88" s="599">
        <f>SUM(B75:N75)</f>
        <v>0</v>
      </c>
      <c r="O88" s="318"/>
      <c r="P88" s="600"/>
      <c r="Q88" s="166"/>
      <c r="R88" s="166"/>
      <c r="S88" s="166"/>
      <c r="T88" s="166"/>
      <c r="U88" s="166"/>
      <c r="V88" s="166"/>
      <c r="W88" s="166"/>
      <c r="X88" s="166"/>
      <c r="Y88" s="166"/>
      <c r="Z88" s="601">
        <f>SUM(O75:Z75)</f>
        <v>0</v>
      </c>
      <c r="AA88" s="318"/>
      <c r="AB88" s="600"/>
      <c r="AC88" s="166"/>
      <c r="AD88" s="166"/>
      <c r="AE88" s="166"/>
      <c r="AF88" s="166"/>
      <c r="AG88" s="166"/>
      <c r="AH88" s="166"/>
      <c r="AI88" s="166"/>
      <c r="AJ88" s="166"/>
      <c r="AK88" s="166"/>
      <c r="AL88" s="602">
        <f>SUM(AA75:AL75)</f>
        <v>0</v>
      </c>
    </row>
    <row r="89" spans="1:38" s="544" customFormat="1" ht="11.25" customHeight="1" x14ac:dyDescent="0.2">
      <c r="A89" s="582" t="s">
        <v>202</v>
      </c>
      <c r="B89" s="583">
        <f>'K3 Resultat'!K19</f>
        <v>25000</v>
      </c>
      <c r="C89" s="607">
        <f>B89-B90</f>
        <v>25000</v>
      </c>
      <c r="D89" s="607">
        <f t="shared" ref="D89" si="20">C89-C90</f>
        <v>25000</v>
      </c>
      <c r="E89" s="607">
        <f t="shared" ref="E89" si="21">D89-D90</f>
        <v>25000</v>
      </c>
      <c r="F89" s="607">
        <f t="shared" ref="F89" si="22">E89-E90</f>
        <v>25000</v>
      </c>
      <c r="G89" s="607">
        <f t="shared" ref="G89" si="23">F89-F90</f>
        <v>25000</v>
      </c>
      <c r="H89" s="607">
        <f t="shared" ref="H89" si="24">G89-G90</f>
        <v>25000</v>
      </c>
      <c r="I89" s="607">
        <f t="shared" ref="I89" si="25">H89-H90</f>
        <v>25000</v>
      </c>
      <c r="J89" s="607">
        <f t="shared" ref="J89" si="26">I89-I90</f>
        <v>25000</v>
      </c>
      <c r="K89" s="607">
        <f t="shared" ref="K89" si="27">J89-J90</f>
        <v>25000</v>
      </c>
      <c r="L89" s="607">
        <f t="shared" ref="L89" si="28">K89-K90</f>
        <v>25000</v>
      </c>
      <c r="M89" s="607">
        <f t="shared" ref="M89" si="29">L89-L90</f>
        <v>25000</v>
      </c>
      <c r="N89" s="607">
        <f t="shared" ref="N89" si="30">M89-M90</f>
        <v>25000</v>
      </c>
      <c r="O89" s="607">
        <f t="shared" ref="O89" si="31">N89-N90</f>
        <v>21875</v>
      </c>
      <c r="P89" s="607">
        <f t="shared" ref="P89" si="32">O89-O90</f>
        <v>21875</v>
      </c>
      <c r="Q89" s="607">
        <f t="shared" ref="Q89" si="33">P89-P90</f>
        <v>21875</v>
      </c>
      <c r="R89" s="607">
        <f t="shared" ref="R89" si="34">Q89-Q90</f>
        <v>21875</v>
      </c>
      <c r="S89" s="607">
        <f t="shared" ref="S89" si="35">R89-R90</f>
        <v>21875</v>
      </c>
      <c r="T89" s="607">
        <f t="shared" ref="T89" si="36">S89-S90</f>
        <v>21875</v>
      </c>
      <c r="U89" s="607">
        <f t="shared" ref="U89" si="37">T89-T90</f>
        <v>18750</v>
      </c>
      <c r="V89" s="607">
        <f t="shared" ref="V89" si="38">U89-U90</f>
        <v>18750</v>
      </c>
      <c r="W89" s="607">
        <f t="shared" ref="W89" si="39">V89-V90</f>
        <v>18750</v>
      </c>
      <c r="X89" s="607">
        <f t="shared" ref="X89" si="40">W89-W90</f>
        <v>18750</v>
      </c>
      <c r="Y89" s="607">
        <f t="shared" ref="Y89" si="41">X89-X90</f>
        <v>18750</v>
      </c>
      <c r="Z89" s="607">
        <f t="shared" ref="Z89" si="42">Y89-Y90</f>
        <v>18750</v>
      </c>
      <c r="AA89" s="607">
        <f t="shared" ref="AA89" si="43">Z89-Z90</f>
        <v>15625</v>
      </c>
      <c r="AB89" s="607">
        <f t="shared" ref="AB89" si="44">AA89-AA90</f>
        <v>15625</v>
      </c>
      <c r="AC89" s="607">
        <f t="shared" ref="AC89" si="45">AB89-AB90</f>
        <v>15625</v>
      </c>
      <c r="AD89" s="607">
        <f t="shared" ref="AD89" si="46">AC89-AC90</f>
        <v>15625</v>
      </c>
      <c r="AE89" s="607">
        <f t="shared" ref="AE89" si="47">AD89-AD90</f>
        <v>15625</v>
      </c>
      <c r="AF89" s="607">
        <f t="shared" ref="AF89" si="48">AE89-AE90</f>
        <v>15625</v>
      </c>
      <c r="AG89" s="607">
        <f t="shared" ref="AG89" si="49">AF89-AF90</f>
        <v>12500</v>
      </c>
      <c r="AH89" s="607">
        <f t="shared" ref="AH89" si="50">AG89-AG90</f>
        <v>12500</v>
      </c>
      <c r="AI89" s="607">
        <f t="shared" ref="AI89" si="51">AH89-AH90</f>
        <v>12500</v>
      </c>
      <c r="AJ89" s="607">
        <f t="shared" ref="AJ89" si="52">AI89-AI90</f>
        <v>12500</v>
      </c>
      <c r="AK89" s="607">
        <f t="shared" ref="AK89" si="53">AJ89-AJ90</f>
        <v>12500</v>
      </c>
      <c r="AL89" s="608">
        <f t="shared" ref="AL89" si="54">AK89-AK90</f>
        <v>12500</v>
      </c>
    </row>
    <row r="90" spans="1:38" x14ac:dyDescent="0.2">
      <c r="A90" s="584" t="s">
        <v>184</v>
      </c>
      <c r="B90" s="70">
        <f>IF(B89=0,0,IF('K3 Resultat'!$I19=2,0,IF('K3 Resultat'!$I19=1,0,'K3 Resultat'!$K19/(2*'K3 Resultat'!$J19))))</f>
        <v>0</v>
      </c>
      <c r="C90" s="210"/>
      <c r="D90" s="211"/>
      <c r="E90" s="211"/>
      <c r="F90" s="211"/>
      <c r="G90" s="211"/>
      <c r="H90" s="70">
        <f>IF(H89=0,0,IF('K3 Resultat'!$I19=2,0,IF('K3 Resultat'!$I19=1,0,'K3 Resultat'!$K19/(2*'K3 Resultat'!$J19))))</f>
        <v>0</v>
      </c>
      <c r="I90" s="211"/>
      <c r="J90" s="211"/>
      <c r="K90" s="211"/>
      <c r="L90" s="211"/>
      <c r="M90" s="211"/>
      <c r="N90" s="70">
        <f>IF(N89=0,0,IF('K3 Resultat'!$I19=2,0,IF('K3 Resultat'!$I19=1,'K3 Resultat'!$K19/(2*'K3 Resultat'!$J19-2),'K3 Resultat'!$K19/(2*'K3 Resultat'!$J19))))</f>
        <v>3125</v>
      </c>
      <c r="O90" s="211"/>
      <c r="P90" s="99"/>
      <c r="T90" s="70">
        <f>IF(T89=0,0,IF('K3 Resultat'!$I19=2,0,IF('K3 Resultat'!$I19=1,'K3 Resultat'!$K19/(2*'K3 Resultat'!$J19-2),'K3 Resultat'!$K19/(2*'K3 Resultat'!$J19))))</f>
        <v>3125</v>
      </c>
      <c r="Z90" s="70">
        <f>IF(Z89=0,0,IF('K3 Resultat'!$I19=2,'K3 Resultat'!$K19/(2*'K3 Resultat'!$J19-4),IF('K3 Resultat'!$I19=1,'K3 Resultat'!$K19/(2*'K3 Resultat'!$J19-2),'K3 Resultat'!$K19/(2*'K3 Resultat'!$J19))))</f>
        <v>3125</v>
      </c>
      <c r="AF90" s="70">
        <f>IF(AF89=0,0,IF('K3 Resultat'!$I19=2,'K3 Resultat'!$K19/(2*'K3 Resultat'!$J19-4),IF('K3 Resultat'!$I19=1,'K3 Resultat'!$K19/(2*'K3 Resultat'!$J19-2),'K3 Resultat'!$K19/(2*'K3 Resultat'!$J19))))</f>
        <v>3125</v>
      </c>
      <c r="AL90" s="609">
        <f>IF(AL89=0,0,IF('K3 Resultat'!$I19=2,'K3 Resultat'!$K19/(2*'K3 Resultat'!$J19-4),IF('K3 Resultat'!$I19=1,'K3 Resultat'!$K19/(2*'K3 Resultat'!$J19-2),'K3 Resultat'!$K19/(2*'K3 Resultat'!$J19))))</f>
        <v>3125</v>
      </c>
    </row>
    <row r="91" spans="1:38" s="621" customFormat="1" x14ac:dyDescent="0.2">
      <c r="A91" s="619" t="s">
        <v>228</v>
      </c>
      <c r="B91" s="620">
        <f>B89-B90</f>
        <v>25000</v>
      </c>
      <c r="C91" s="620">
        <f t="shared" ref="C91" si="55">C89-C90</f>
        <v>25000</v>
      </c>
      <c r="D91" s="620">
        <f t="shared" ref="D91" si="56">D89-D90</f>
        <v>25000</v>
      </c>
      <c r="E91" s="620">
        <f t="shared" ref="E91" si="57">E89-E90</f>
        <v>25000</v>
      </c>
      <c r="F91" s="620">
        <f t="shared" ref="F91" si="58">F89-F90</f>
        <v>25000</v>
      </c>
      <c r="G91" s="620">
        <f t="shared" ref="G91" si="59">G89-G90</f>
        <v>25000</v>
      </c>
      <c r="H91" s="620">
        <f t="shared" ref="H91" si="60">H89-H90</f>
        <v>25000</v>
      </c>
      <c r="I91" s="620">
        <f t="shared" ref="I91" si="61">I89-I90</f>
        <v>25000</v>
      </c>
      <c r="J91" s="620">
        <f t="shared" ref="J91" si="62">J89-J90</f>
        <v>25000</v>
      </c>
      <c r="K91" s="620">
        <f t="shared" ref="K91" si="63">K89-K90</f>
        <v>25000</v>
      </c>
      <c r="L91" s="620">
        <f t="shared" ref="L91" si="64">L89-L90</f>
        <v>25000</v>
      </c>
      <c r="M91" s="620">
        <f t="shared" ref="M91" si="65">M89-M90</f>
        <v>25000</v>
      </c>
      <c r="N91" s="620">
        <f t="shared" ref="N91" si="66">N89-N90</f>
        <v>21875</v>
      </c>
      <c r="O91" s="620">
        <f t="shared" ref="O91" si="67">O89-O90</f>
        <v>21875</v>
      </c>
      <c r="P91" s="620">
        <f t="shared" ref="P91" si="68">P89-P90</f>
        <v>21875</v>
      </c>
      <c r="Q91" s="620">
        <f t="shared" ref="Q91" si="69">Q89-Q90</f>
        <v>21875</v>
      </c>
      <c r="R91" s="620">
        <f t="shared" ref="R91" si="70">R89-R90</f>
        <v>21875</v>
      </c>
      <c r="S91" s="620">
        <f t="shared" ref="S91" si="71">S89-S90</f>
        <v>21875</v>
      </c>
      <c r="T91" s="620">
        <f t="shared" ref="T91" si="72">T89-T90</f>
        <v>18750</v>
      </c>
      <c r="U91" s="620">
        <f t="shared" ref="U91" si="73">U89-U90</f>
        <v>18750</v>
      </c>
      <c r="V91" s="620">
        <f t="shared" ref="V91" si="74">V89-V90</f>
        <v>18750</v>
      </c>
      <c r="W91" s="620">
        <f t="shared" ref="W91" si="75">W89-W90</f>
        <v>18750</v>
      </c>
      <c r="X91" s="620">
        <f t="shared" ref="X91" si="76">X89-X90</f>
        <v>18750</v>
      </c>
      <c r="Y91" s="620">
        <f t="shared" ref="Y91" si="77">Y89-Y90</f>
        <v>18750</v>
      </c>
      <c r="Z91" s="620">
        <f t="shared" ref="Z91" si="78">Z89-Z90</f>
        <v>15625</v>
      </c>
      <c r="AA91" s="620">
        <f t="shared" ref="AA91" si="79">AA89-AA90</f>
        <v>15625</v>
      </c>
      <c r="AB91" s="620">
        <f t="shared" ref="AB91" si="80">AB89-AB90</f>
        <v>15625</v>
      </c>
      <c r="AC91" s="620">
        <f t="shared" ref="AC91" si="81">AC89-AC90</f>
        <v>15625</v>
      </c>
      <c r="AD91" s="620">
        <f t="shared" ref="AD91" si="82">AD89-AD90</f>
        <v>15625</v>
      </c>
      <c r="AE91" s="620">
        <f t="shared" ref="AE91" si="83">AE89-AE90</f>
        <v>15625</v>
      </c>
      <c r="AF91" s="620">
        <f t="shared" ref="AF91" si="84">AF89-AF90</f>
        <v>12500</v>
      </c>
      <c r="AG91" s="620">
        <f t="shared" ref="AG91" si="85">AG89-AG90</f>
        <v>12500</v>
      </c>
      <c r="AH91" s="620">
        <f t="shared" ref="AH91" si="86">AH89-AH90</f>
        <v>12500</v>
      </c>
      <c r="AI91" s="620">
        <f t="shared" ref="AI91" si="87">AI89-AI90</f>
        <v>12500</v>
      </c>
      <c r="AJ91" s="620">
        <f t="shared" ref="AJ91" si="88">AJ89-AJ90</f>
        <v>12500</v>
      </c>
      <c r="AK91" s="620">
        <f t="shared" ref="AK91" si="89">AK89-AK90</f>
        <v>12500</v>
      </c>
      <c r="AL91" s="620">
        <f t="shared" ref="AL91" si="90">AL89-AL90</f>
        <v>9375</v>
      </c>
    </row>
    <row r="92" spans="1:38" x14ac:dyDescent="0.2">
      <c r="A92" s="584" t="s">
        <v>28</v>
      </c>
      <c r="B92" s="538">
        <f>'K3 Resultat'!H19</f>
        <v>4.4999999999999998E-2</v>
      </c>
      <c r="C92" s="539">
        <f>B92</f>
        <v>4.4999999999999998E-2</v>
      </c>
      <c r="D92" s="539">
        <f t="shared" ref="D92" si="91">C92</f>
        <v>4.4999999999999998E-2</v>
      </c>
      <c r="E92" s="539">
        <f t="shared" ref="E92" si="92">D92</f>
        <v>4.4999999999999998E-2</v>
      </c>
      <c r="F92" s="539">
        <f t="shared" ref="F92" si="93">E92</f>
        <v>4.4999999999999998E-2</v>
      </c>
      <c r="G92" s="539">
        <f t="shared" ref="G92" si="94">F92</f>
        <v>4.4999999999999998E-2</v>
      </c>
      <c r="H92" s="539">
        <f t="shared" ref="H92" si="95">G92</f>
        <v>4.4999999999999998E-2</v>
      </c>
      <c r="I92" s="539">
        <f t="shared" ref="I92" si="96">H92</f>
        <v>4.4999999999999998E-2</v>
      </c>
      <c r="J92" s="539">
        <f t="shared" ref="J92" si="97">I92</f>
        <v>4.4999999999999998E-2</v>
      </c>
      <c r="K92" s="539">
        <f t="shared" ref="K92" si="98">J92</f>
        <v>4.4999999999999998E-2</v>
      </c>
      <c r="L92" s="539">
        <f t="shared" ref="L92" si="99">K92</f>
        <v>4.4999999999999998E-2</v>
      </c>
      <c r="M92" s="539">
        <f t="shared" ref="M92" si="100">L92</f>
        <v>4.4999999999999998E-2</v>
      </c>
      <c r="N92" s="539">
        <f t="shared" ref="N92" si="101">M92</f>
        <v>4.4999999999999998E-2</v>
      </c>
      <c r="O92" s="539">
        <f t="shared" ref="O92" si="102">N92</f>
        <v>4.4999999999999998E-2</v>
      </c>
      <c r="P92" s="539">
        <f t="shared" ref="P92" si="103">O92</f>
        <v>4.4999999999999998E-2</v>
      </c>
      <c r="Q92" s="539">
        <f t="shared" ref="Q92" si="104">P92</f>
        <v>4.4999999999999998E-2</v>
      </c>
      <c r="R92" s="539">
        <f t="shared" ref="R92" si="105">Q92</f>
        <v>4.4999999999999998E-2</v>
      </c>
      <c r="S92" s="539">
        <f t="shared" ref="S92" si="106">R92</f>
        <v>4.4999999999999998E-2</v>
      </c>
      <c r="T92" s="539">
        <f t="shared" ref="T92" si="107">S92</f>
        <v>4.4999999999999998E-2</v>
      </c>
      <c r="U92" s="539">
        <f t="shared" ref="U92" si="108">T92</f>
        <v>4.4999999999999998E-2</v>
      </c>
      <c r="V92" s="539">
        <f t="shared" ref="V92" si="109">U92</f>
        <v>4.4999999999999998E-2</v>
      </c>
      <c r="W92" s="539">
        <f t="shared" ref="W92" si="110">V92</f>
        <v>4.4999999999999998E-2</v>
      </c>
      <c r="X92" s="539">
        <f t="shared" ref="X92" si="111">W92</f>
        <v>4.4999999999999998E-2</v>
      </c>
      <c r="Y92" s="539">
        <f t="shared" ref="Y92" si="112">X92</f>
        <v>4.4999999999999998E-2</v>
      </c>
      <c r="Z92" s="539">
        <f t="shared" ref="Z92" si="113">Y92</f>
        <v>4.4999999999999998E-2</v>
      </c>
      <c r="AA92" s="539">
        <f t="shared" ref="AA92" si="114">Z92</f>
        <v>4.4999999999999998E-2</v>
      </c>
      <c r="AB92" s="539">
        <f t="shared" ref="AB92" si="115">AA92</f>
        <v>4.4999999999999998E-2</v>
      </c>
      <c r="AC92" s="539">
        <f t="shared" ref="AC92" si="116">AB92</f>
        <v>4.4999999999999998E-2</v>
      </c>
      <c r="AD92" s="539">
        <f t="shared" ref="AD92" si="117">AC92</f>
        <v>4.4999999999999998E-2</v>
      </c>
      <c r="AE92" s="539">
        <f t="shared" ref="AE92" si="118">AD92</f>
        <v>4.4999999999999998E-2</v>
      </c>
      <c r="AF92" s="539">
        <f t="shared" ref="AF92" si="119">AE92</f>
        <v>4.4999999999999998E-2</v>
      </c>
      <c r="AG92" s="539">
        <f t="shared" ref="AG92" si="120">AF92</f>
        <v>4.4999999999999998E-2</v>
      </c>
      <c r="AH92" s="539">
        <f t="shared" ref="AH92" si="121">AG92</f>
        <v>4.4999999999999998E-2</v>
      </c>
      <c r="AI92" s="539">
        <f t="shared" ref="AI92" si="122">AH92</f>
        <v>4.4999999999999998E-2</v>
      </c>
      <c r="AJ92" s="539">
        <f t="shared" ref="AJ92" si="123">AI92</f>
        <v>4.4999999999999998E-2</v>
      </c>
      <c r="AK92" s="539">
        <f t="shared" ref="AK92" si="124">AJ92</f>
        <v>4.4999999999999998E-2</v>
      </c>
      <c r="AL92" s="610">
        <f t="shared" ref="AL92" si="125">AK92</f>
        <v>4.4999999999999998E-2</v>
      </c>
    </row>
    <row r="93" spans="1:38" x14ac:dyDescent="0.2">
      <c r="A93" s="584" t="s">
        <v>185</v>
      </c>
      <c r="B93" s="540">
        <f>(B89)*B92/2</f>
        <v>562.5</v>
      </c>
      <c r="C93" s="540">
        <f>(C89)*C92/12</f>
        <v>93.75</v>
      </c>
      <c r="D93" s="540">
        <f t="shared" ref="D93" si="126">(D89)*D92/12</f>
        <v>93.75</v>
      </c>
      <c r="E93" s="540">
        <f t="shared" ref="E93" si="127">(E89)*E92/12</f>
        <v>93.75</v>
      </c>
      <c r="F93" s="540">
        <f t="shared" ref="F93" si="128">(F89)*F92/12</f>
        <v>93.75</v>
      </c>
      <c r="G93" s="540">
        <f t="shared" ref="G93" si="129">(G89)*G92/12</f>
        <v>93.75</v>
      </c>
      <c r="H93" s="540">
        <f t="shared" ref="H93" si="130">(H89)*H92/12</f>
        <v>93.75</v>
      </c>
      <c r="I93" s="540">
        <f t="shared" ref="I93" si="131">(I89)*I92/12</f>
        <v>93.75</v>
      </c>
      <c r="J93" s="540">
        <f t="shared" ref="J93" si="132">(J89)*J92/12</f>
        <v>93.75</v>
      </c>
      <c r="K93" s="540">
        <f t="shared" ref="K93" si="133">(K89)*K92/12</f>
        <v>93.75</v>
      </c>
      <c r="L93" s="540">
        <f t="shared" ref="L93" si="134">(L89)*L92/12</f>
        <v>93.75</v>
      </c>
      <c r="M93" s="540">
        <f t="shared" ref="M93" si="135">(M89)*M92/12</f>
        <v>93.75</v>
      </c>
      <c r="N93" s="540">
        <f t="shared" ref="N93" si="136">(N89)*N92/12</f>
        <v>93.75</v>
      </c>
      <c r="O93" s="540">
        <f t="shared" ref="O93" si="137">(O89)*O92/12</f>
        <v>82.03125</v>
      </c>
      <c r="P93" s="540">
        <f t="shared" ref="P93" si="138">(P89)*P92/12</f>
        <v>82.03125</v>
      </c>
      <c r="Q93" s="540">
        <f t="shared" ref="Q93" si="139">(Q89)*Q92/12</f>
        <v>82.03125</v>
      </c>
      <c r="R93" s="540">
        <f t="shared" ref="R93" si="140">(R89)*R92/12</f>
        <v>82.03125</v>
      </c>
      <c r="S93" s="540">
        <f t="shared" ref="S93" si="141">(S89)*S92/12</f>
        <v>82.03125</v>
      </c>
      <c r="T93" s="540">
        <f t="shared" ref="T93" si="142">(T89)*T92/12</f>
        <v>82.03125</v>
      </c>
      <c r="U93" s="540">
        <f t="shared" ref="U93" si="143">(U89)*U92/12</f>
        <v>70.3125</v>
      </c>
      <c r="V93" s="540">
        <f t="shared" ref="V93" si="144">(V89)*V92/12</f>
        <v>70.3125</v>
      </c>
      <c r="W93" s="540">
        <f t="shared" ref="W93" si="145">(W89)*W92/12</f>
        <v>70.3125</v>
      </c>
      <c r="X93" s="540">
        <f t="shared" ref="X93" si="146">(X89)*X92/12</f>
        <v>70.3125</v>
      </c>
      <c r="Y93" s="540">
        <f t="shared" ref="Y93" si="147">(Y89)*Y92/12</f>
        <v>70.3125</v>
      </c>
      <c r="Z93" s="540">
        <f t="shared" ref="Z93" si="148">(Z89)*Z92/12</f>
        <v>70.3125</v>
      </c>
      <c r="AA93" s="540">
        <f t="shared" ref="AA93" si="149">(AA89)*AA92/12</f>
        <v>58.59375</v>
      </c>
      <c r="AB93" s="540">
        <f t="shared" ref="AB93" si="150">(AB89)*AB92/12</f>
        <v>58.59375</v>
      </c>
      <c r="AC93" s="540">
        <f t="shared" ref="AC93" si="151">(AC89)*AC92/12</f>
        <v>58.59375</v>
      </c>
      <c r="AD93" s="540">
        <f t="shared" ref="AD93" si="152">(AD89)*AD92/12</f>
        <v>58.59375</v>
      </c>
      <c r="AE93" s="540">
        <f t="shared" ref="AE93" si="153">(AE89)*AE92/12</f>
        <v>58.59375</v>
      </c>
      <c r="AF93" s="540">
        <f t="shared" ref="AF93" si="154">(AF89)*AF92/12</f>
        <v>58.59375</v>
      </c>
      <c r="AG93" s="540">
        <f t="shared" ref="AG93" si="155">(AG89)*AG92/12</f>
        <v>46.875</v>
      </c>
      <c r="AH93" s="540">
        <f t="shared" ref="AH93" si="156">(AH89)*AH92/12</f>
        <v>46.875</v>
      </c>
      <c r="AI93" s="540">
        <f t="shared" ref="AI93" si="157">(AI89)*AI92/12</f>
        <v>46.875</v>
      </c>
      <c r="AJ93" s="540">
        <f t="shared" ref="AJ93" si="158">(AJ89)*AJ92/12</f>
        <v>46.875</v>
      </c>
      <c r="AK93" s="540">
        <f t="shared" ref="AK93" si="159">(AK89)*AK92/12</f>
        <v>46.875</v>
      </c>
      <c r="AL93" s="611">
        <f t="shared" ref="AL93" si="160">(AL89)*AL92/12</f>
        <v>46.875</v>
      </c>
    </row>
    <row r="94" spans="1:38" x14ac:dyDescent="0.2">
      <c r="A94" s="585" t="s">
        <v>187</v>
      </c>
      <c r="B94" s="549">
        <f>B93</f>
        <v>562.5</v>
      </c>
      <c r="C94" s="210"/>
      <c r="D94" s="211"/>
      <c r="E94" s="211"/>
      <c r="F94" s="211"/>
      <c r="G94" s="211"/>
      <c r="H94" s="211"/>
      <c r="I94" s="211"/>
      <c r="J94" s="211"/>
      <c r="K94" s="211"/>
      <c r="L94" s="211"/>
      <c r="M94" s="211"/>
      <c r="N94" s="550">
        <f>SUM(C93:N93)</f>
        <v>1125</v>
      </c>
      <c r="O94" s="211"/>
      <c r="P94" s="99"/>
      <c r="Z94" s="550">
        <f>SUM(O93:Z93)</f>
        <v>914.0625</v>
      </c>
      <c r="AL94" s="158"/>
    </row>
    <row r="95" spans="1:38" x14ac:dyDescent="0.2">
      <c r="A95" s="586" t="s">
        <v>188</v>
      </c>
      <c r="B95" s="70"/>
      <c r="C95" s="551">
        <f>B94+C93</f>
        <v>656.25</v>
      </c>
      <c r="D95" s="211"/>
      <c r="E95" s="211"/>
      <c r="F95" s="211"/>
      <c r="G95" s="211"/>
      <c r="H95" s="211"/>
      <c r="I95" s="211"/>
      <c r="J95" s="211"/>
      <c r="K95" s="211"/>
      <c r="L95" s="211"/>
      <c r="M95" s="211"/>
      <c r="O95" s="552">
        <f>SUM(D93:O93)</f>
        <v>1113.28125</v>
      </c>
      <c r="P95" s="99"/>
      <c r="AA95" s="552">
        <f>SUM(P93:AA93)</f>
        <v>890.625</v>
      </c>
      <c r="AB95" s="99"/>
      <c r="AL95" s="158"/>
    </row>
    <row r="96" spans="1:38" x14ac:dyDescent="0.2">
      <c r="A96" s="587" t="s">
        <v>199</v>
      </c>
      <c r="B96" s="52"/>
      <c r="C96" s="52"/>
      <c r="D96" s="553">
        <f>SUM(B93:D93)</f>
        <v>750</v>
      </c>
      <c r="E96" s="541"/>
      <c r="F96" s="541"/>
      <c r="G96" s="541"/>
      <c r="H96" s="541"/>
      <c r="I96" s="541"/>
      <c r="J96" s="541"/>
      <c r="K96" s="541"/>
      <c r="L96" s="541"/>
      <c r="M96" s="541"/>
      <c r="N96" s="541"/>
      <c r="O96" s="211"/>
      <c r="P96" s="554">
        <f>SUM(E93:P93)</f>
        <v>1101.5625</v>
      </c>
      <c r="AA96" s="211"/>
      <c r="AB96" s="554">
        <f>SUM(Q93:AB93)</f>
        <v>867.1875</v>
      </c>
      <c r="AL96" s="158"/>
    </row>
    <row r="97" spans="1:38" x14ac:dyDescent="0.2">
      <c r="A97" s="588" t="s">
        <v>198</v>
      </c>
      <c r="B97" s="70"/>
      <c r="C97" s="210"/>
      <c r="D97" s="541"/>
      <c r="E97" s="556">
        <f>SUM(B93:E93)</f>
        <v>843.75</v>
      </c>
      <c r="F97" s="541"/>
      <c r="G97" s="541"/>
      <c r="H97" s="541"/>
      <c r="I97" s="541"/>
      <c r="J97" s="541"/>
      <c r="K97" s="541"/>
      <c r="L97" s="541"/>
      <c r="M97" s="541"/>
      <c r="N97" s="541"/>
      <c r="O97" s="211"/>
      <c r="P97" s="99"/>
      <c r="Q97" s="555">
        <f>SUM(F93:Q93)</f>
        <v>1089.84375</v>
      </c>
      <c r="AA97" s="211"/>
      <c r="AB97" s="99"/>
      <c r="AC97" s="555">
        <f>SUM(R93:AC93)</f>
        <v>843.75</v>
      </c>
      <c r="AL97" s="158"/>
    </row>
    <row r="98" spans="1:38" x14ac:dyDescent="0.2">
      <c r="A98" s="589" t="s">
        <v>189</v>
      </c>
      <c r="B98" s="70"/>
      <c r="C98" s="210"/>
      <c r="D98" s="541"/>
      <c r="E98" s="541"/>
      <c r="F98" s="557">
        <f>SUM(B93:F93)</f>
        <v>937.5</v>
      </c>
      <c r="G98" s="541"/>
      <c r="H98" s="541"/>
      <c r="I98" s="541"/>
      <c r="J98" s="541"/>
      <c r="K98" s="541"/>
      <c r="L98" s="541"/>
      <c r="M98" s="541"/>
      <c r="N98" s="541"/>
      <c r="O98" s="211"/>
      <c r="P98" s="99"/>
      <c r="R98" s="558">
        <f>SUM(G93:R93)</f>
        <v>1078.125</v>
      </c>
      <c r="AA98" s="211"/>
      <c r="AB98" s="99"/>
      <c r="AD98" s="558">
        <f>SUM(S93:AD93)</f>
        <v>820.3125</v>
      </c>
      <c r="AL98" s="158"/>
    </row>
    <row r="99" spans="1:38" x14ac:dyDescent="0.2">
      <c r="A99" s="590" t="s">
        <v>190</v>
      </c>
      <c r="B99" s="52"/>
      <c r="C99" s="52"/>
      <c r="D99" s="541"/>
      <c r="E99" s="541"/>
      <c r="F99" s="541"/>
      <c r="G99" s="560">
        <f>SUM(B93:G93)</f>
        <v>1031.25</v>
      </c>
      <c r="H99" s="541"/>
      <c r="I99" s="541"/>
      <c r="J99" s="541"/>
      <c r="K99" s="541"/>
      <c r="L99" s="541"/>
      <c r="M99" s="541"/>
      <c r="N99" s="541"/>
      <c r="O99" s="211"/>
      <c r="P99" s="99"/>
      <c r="S99" s="559">
        <f>SUM(H93:S93)</f>
        <v>1066.40625</v>
      </c>
      <c r="AA99" s="211"/>
      <c r="AB99" s="99"/>
      <c r="AE99" s="559">
        <f>SUM(T93:AE93)</f>
        <v>796.875</v>
      </c>
      <c r="AL99" s="158"/>
    </row>
    <row r="100" spans="1:38" x14ac:dyDescent="0.2">
      <c r="A100" s="590" t="s">
        <v>191</v>
      </c>
      <c r="B100" s="70"/>
      <c r="C100" s="210"/>
      <c r="D100" s="541"/>
      <c r="E100" s="541"/>
      <c r="F100" s="541"/>
      <c r="G100" s="541"/>
      <c r="H100" s="561">
        <f>SUM(B93:H93)</f>
        <v>1125</v>
      </c>
      <c r="I100" s="541"/>
      <c r="J100" s="541"/>
      <c r="K100" s="541"/>
      <c r="L100" s="541"/>
      <c r="M100" s="541"/>
      <c r="N100" s="541"/>
      <c r="O100" s="211"/>
      <c r="P100" s="99"/>
      <c r="T100" s="562">
        <f>SUM(I93:T93)</f>
        <v>1054.6875</v>
      </c>
      <c r="AA100" s="211"/>
      <c r="AB100" s="99"/>
      <c r="AF100" s="562">
        <f>SUM(U93:AF93)</f>
        <v>773.4375</v>
      </c>
      <c r="AL100" s="158"/>
    </row>
    <row r="101" spans="1:38" x14ac:dyDescent="0.2">
      <c r="A101" s="591" t="s">
        <v>192</v>
      </c>
      <c r="B101" s="52"/>
      <c r="C101" s="52"/>
      <c r="D101" s="541"/>
      <c r="E101" s="541"/>
      <c r="F101" s="541"/>
      <c r="G101" s="541"/>
      <c r="H101" s="541"/>
      <c r="I101" s="567">
        <f>SUM(B93:I93)</f>
        <v>1218.75</v>
      </c>
      <c r="J101" s="541"/>
      <c r="K101" s="541"/>
      <c r="L101" s="541"/>
      <c r="M101" s="541"/>
      <c r="N101" s="541"/>
      <c r="O101" s="211"/>
      <c r="P101" s="99"/>
      <c r="U101" s="563">
        <f>SUM(J93:U93)</f>
        <v>1031.25</v>
      </c>
      <c r="AA101" s="211"/>
      <c r="AB101" s="99"/>
      <c r="AG101" s="563">
        <f>SUM(V93:AG93)</f>
        <v>750</v>
      </c>
      <c r="AL101" s="158"/>
    </row>
    <row r="102" spans="1:38" x14ac:dyDescent="0.2">
      <c r="A102" s="592" t="s">
        <v>193</v>
      </c>
      <c r="B102" s="70"/>
      <c r="C102" s="210"/>
      <c r="D102" s="541"/>
      <c r="E102" s="541"/>
      <c r="F102" s="541"/>
      <c r="G102" s="541"/>
      <c r="H102" s="541"/>
      <c r="I102" s="541"/>
      <c r="J102" s="568">
        <f>SUM(B93:J93)</f>
        <v>1312.5</v>
      </c>
      <c r="K102" s="541"/>
      <c r="L102" s="541"/>
      <c r="M102" s="541"/>
      <c r="N102" s="541"/>
      <c r="O102" s="211"/>
      <c r="P102" s="99"/>
      <c r="V102" s="564">
        <f>SUM(K93:V93)</f>
        <v>1007.8125</v>
      </c>
      <c r="AA102" s="211"/>
      <c r="AB102" s="99"/>
      <c r="AH102" s="564">
        <f>SUM(W93:AH93)</f>
        <v>726.5625</v>
      </c>
      <c r="AL102" s="158"/>
    </row>
    <row r="103" spans="1:38" x14ac:dyDescent="0.2">
      <c r="A103" s="593" t="s">
        <v>194</v>
      </c>
      <c r="B103" s="52"/>
      <c r="C103" s="52"/>
      <c r="D103" s="541"/>
      <c r="E103" s="541"/>
      <c r="F103" s="541"/>
      <c r="G103" s="541"/>
      <c r="H103" s="541"/>
      <c r="I103" s="541"/>
      <c r="J103" s="541"/>
      <c r="K103" s="569">
        <f>SUM(B93:K93)</f>
        <v>1406.25</v>
      </c>
      <c r="L103" s="541"/>
      <c r="M103" s="541"/>
      <c r="N103" s="541"/>
      <c r="O103" s="211"/>
      <c r="P103" s="99"/>
      <c r="W103" s="565">
        <f>SUM(L93:W93)</f>
        <v>984.375</v>
      </c>
      <c r="AA103" s="211"/>
      <c r="AB103" s="99"/>
      <c r="AI103" s="565">
        <f>SUM(X93:AI93)</f>
        <v>703.125</v>
      </c>
      <c r="AL103" s="158"/>
    </row>
    <row r="104" spans="1:38" x14ac:dyDescent="0.2">
      <c r="A104" s="594" t="s">
        <v>195</v>
      </c>
      <c r="B104" s="70"/>
      <c r="C104" s="210"/>
      <c r="D104" s="541"/>
      <c r="E104" s="541"/>
      <c r="F104" s="541"/>
      <c r="G104" s="541"/>
      <c r="H104" s="541"/>
      <c r="I104" s="541"/>
      <c r="J104" s="541"/>
      <c r="K104" s="541"/>
      <c r="L104" s="570">
        <f>SUM(B93:L93)</f>
        <v>1500</v>
      </c>
      <c r="M104" s="541"/>
      <c r="N104" s="541"/>
      <c r="O104" s="211"/>
      <c r="P104" s="99"/>
      <c r="X104" s="566">
        <f>SUM(M93:X93)</f>
        <v>960.9375</v>
      </c>
      <c r="AA104" s="211"/>
      <c r="AB104" s="99"/>
      <c r="AJ104" s="566">
        <f>SUM(Y93:AJ93)</f>
        <v>679.6875</v>
      </c>
      <c r="AL104" s="158"/>
    </row>
    <row r="105" spans="1:38" x14ac:dyDescent="0.2">
      <c r="A105" s="595" t="s">
        <v>196</v>
      </c>
      <c r="B105" s="52"/>
      <c r="C105" s="52"/>
      <c r="D105" s="541"/>
      <c r="E105" s="541"/>
      <c r="F105" s="541"/>
      <c r="G105" s="541"/>
      <c r="H105" s="541"/>
      <c r="I105" s="541"/>
      <c r="J105" s="541"/>
      <c r="K105" s="541"/>
      <c r="L105" s="541"/>
      <c r="M105" s="572">
        <f>SUM(B93:M93)</f>
        <v>1593.75</v>
      </c>
      <c r="N105" s="541"/>
      <c r="O105" s="211"/>
      <c r="P105" s="99"/>
      <c r="Y105" s="571">
        <f>SUM(N93:Y93)</f>
        <v>937.5</v>
      </c>
      <c r="AA105" s="211"/>
      <c r="AB105" s="99"/>
      <c r="AK105" s="571">
        <f>SUM(Z93:AK93)</f>
        <v>656.25</v>
      </c>
      <c r="AL105" s="158"/>
    </row>
    <row r="106" spans="1:38" ht="13.5" thickBot="1" x14ac:dyDescent="0.25">
      <c r="A106" s="596" t="s">
        <v>197</v>
      </c>
      <c r="B106" s="597"/>
      <c r="C106" s="213"/>
      <c r="D106" s="598"/>
      <c r="E106" s="598"/>
      <c r="F106" s="598"/>
      <c r="G106" s="598"/>
      <c r="H106" s="598"/>
      <c r="I106" s="598"/>
      <c r="J106" s="598"/>
      <c r="K106" s="598"/>
      <c r="L106" s="598"/>
      <c r="M106" s="598"/>
      <c r="N106" s="599">
        <f>SUM(B93:N93)</f>
        <v>1687.5</v>
      </c>
      <c r="O106" s="318"/>
      <c r="P106" s="600"/>
      <c r="Q106" s="166"/>
      <c r="R106" s="166"/>
      <c r="S106" s="166"/>
      <c r="T106" s="166"/>
      <c r="U106" s="166"/>
      <c r="V106" s="166"/>
      <c r="W106" s="166"/>
      <c r="X106" s="166"/>
      <c r="Y106" s="166"/>
      <c r="Z106" s="601">
        <f>SUM(O93:Z93)</f>
        <v>914.0625</v>
      </c>
      <c r="AA106" s="318"/>
      <c r="AB106" s="600"/>
      <c r="AC106" s="166"/>
      <c r="AD106" s="166"/>
      <c r="AE106" s="166"/>
      <c r="AF106" s="166"/>
      <c r="AG106" s="166"/>
      <c r="AH106" s="166"/>
      <c r="AI106" s="166"/>
      <c r="AJ106" s="166"/>
      <c r="AK106" s="166"/>
      <c r="AL106" s="602">
        <f>SUM(AA93:AL93)</f>
        <v>632.8125</v>
      </c>
    </row>
    <row r="107" spans="1:38" s="544" customFormat="1" ht="11.25" customHeight="1" x14ac:dyDescent="0.2">
      <c r="A107" s="582" t="s">
        <v>203</v>
      </c>
      <c r="B107" s="583">
        <f>'K3 Resultat'!K20</f>
        <v>0</v>
      </c>
      <c r="C107" s="607">
        <f>B107-B108</f>
        <v>0</v>
      </c>
      <c r="D107" s="607">
        <f t="shared" ref="D107" si="161">C107-C108</f>
        <v>0</v>
      </c>
      <c r="E107" s="607">
        <f t="shared" ref="E107" si="162">D107-D108</f>
        <v>0</v>
      </c>
      <c r="F107" s="607">
        <f t="shared" ref="F107" si="163">E107-E108</f>
        <v>0</v>
      </c>
      <c r="G107" s="607">
        <f t="shared" ref="G107" si="164">F107-F108</f>
        <v>0</v>
      </c>
      <c r="H107" s="607">
        <f t="shared" ref="H107" si="165">G107-G108</f>
        <v>0</v>
      </c>
      <c r="I107" s="607">
        <f t="shared" ref="I107" si="166">H107-H108</f>
        <v>0</v>
      </c>
      <c r="J107" s="607">
        <f t="shared" ref="J107" si="167">I107-I108</f>
        <v>0</v>
      </c>
      <c r="K107" s="607">
        <f t="shared" ref="K107" si="168">J107-J108</f>
        <v>0</v>
      </c>
      <c r="L107" s="607">
        <f t="shared" ref="L107" si="169">K107-K108</f>
        <v>0</v>
      </c>
      <c r="M107" s="607">
        <f t="shared" ref="M107" si="170">L107-L108</f>
        <v>0</v>
      </c>
      <c r="N107" s="607">
        <f t="shared" ref="N107" si="171">M107-M108</f>
        <v>0</v>
      </c>
      <c r="O107" s="607">
        <f t="shared" ref="O107" si="172">N107-N108</f>
        <v>0</v>
      </c>
      <c r="P107" s="607">
        <f t="shared" ref="P107" si="173">O107-O108</f>
        <v>0</v>
      </c>
      <c r="Q107" s="607">
        <f t="shared" ref="Q107" si="174">P107-P108</f>
        <v>0</v>
      </c>
      <c r="R107" s="607">
        <f t="shared" ref="R107" si="175">Q107-Q108</f>
        <v>0</v>
      </c>
      <c r="S107" s="607">
        <f t="shared" ref="S107" si="176">R107-R108</f>
        <v>0</v>
      </c>
      <c r="T107" s="607">
        <f t="shared" ref="T107" si="177">S107-S108</f>
        <v>0</v>
      </c>
      <c r="U107" s="607">
        <f t="shared" ref="U107" si="178">T107-T108</f>
        <v>0</v>
      </c>
      <c r="V107" s="607">
        <f t="shared" ref="V107" si="179">U107-U108</f>
        <v>0</v>
      </c>
      <c r="W107" s="607">
        <f t="shared" ref="W107" si="180">V107-V108</f>
        <v>0</v>
      </c>
      <c r="X107" s="607">
        <f t="shared" ref="X107" si="181">W107-W108</f>
        <v>0</v>
      </c>
      <c r="Y107" s="607">
        <f t="shared" ref="Y107" si="182">X107-X108</f>
        <v>0</v>
      </c>
      <c r="Z107" s="607">
        <f t="shared" ref="Z107" si="183">Y107-Y108</f>
        <v>0</v>
      </c>
      <c r="AA107" s="607">
        <f t="shared" ref="AA107" si="184">Z107-Z108</f>
        <v>0</v>
      </c>
      <c r="AB107" s="607">
        <f t="shared" ref="AB107" si="185">AA107-AA108</f>
        <v>0</v>
      </c>
      <c r="AC107" s="607">
        <f t="shared" ref="AC107" si="186">AB107-AB108</f>
        <v>0</v>
      </c>
      <c r="AD107" s="607">
        <f t="shared" ref="AD107" si="187">AC107-AC108</f>
        <v>0</v>
      </c>
      <c r="AE107" s="607">
        <f t="shared" ref="AE107" si="188">AD107-AD108</f>
        <v>0</v>
      </c>
      <c r="AF107" s="607">
        <f t="shared" ref="AF107" si="189">AE107-AE108</f>
        <v>0</v>
      </c>
      <c r="AG107" s="607">
        <f t="shared" ref="AG107" si="190">AF107-AF108</f>
        <v>0</v>
      </c>
      <c r="AH107" s="607">
        <f t="shared" ref="AH107" si="191">AG107-AG108</f>
        <v>0</v>
      </c>
      <c r="AI107" s="607">
        <f t="shared" ref="AI107" si="192">AH107-AH108</f>
        <v>0</v>
      </c>
      <c r="AJ107" s="607">
        <f t="shared" ref="AJ107" si="193">AI107-AI108</f>
        <v>0</v>
      </c>
      <c r="AK107" s="607">
        <f t="shared" ref="AK107" si="194">AJ107-AJ108</f>
        <v>0</v>
      </c>
      <c r="AL107" s="608">
        <f t="shared" ref="AL107" si="195">AK107-AK108</f>
        <v>0</v>
      </c>
    </row>
    <row r="108" spans="1:38" x14ac:dyDescent="0.2">
      <c r="A108" s="584" t="s">
        <v>184</v>
      </c>
      <c r="B108" s="70">
        <f>IF(B107=0,0,IF('K3 Resultat'!$I20=2,0,IF('K3 Resultat'!$I20=1,0,'K3 Resultat'!$K20/(2*'K3 Resultat'!$J20))))</f>
        <v>0</v>
      </c>
      <c r="C108" s="210"/>
      <c r="D108" s="211"/>
      <c r="E108" s="211"/>
      <c r="F108" s="211"/>
      <c r="G108" s="211"/>
      <c r="H108" s="70">
        <f>IF(H107=0,0,IF('K3 Resultat'!$I20=2,0,IF('K3 Resultat'!$I20=1,0,'K3 Resultat'!$K20/(2*'K3 Resultat'!$J20))))</f>
        <v>0</v>
      </c>
      <c r="I108" s="211"/>
      <c r="J108" s="211"/>
      <c r="K108" s="211"/>
      <c r="L108" s="211"/>
      <c r="M108" s="211"/>
      <c r="N108" s="70">
        <f>IF(N107=0,0,IF('K3 Resultat'!$I20=2,0,IF('K3 Resultat'!$I20=1,'K3 Resultat'!$K20/(2*'K3 Resultat'!$J20-2),'K3 Resultat'!$K20/(2*'K3 Resultat'!$J20))))</f>
        <v>0</v>
      </c>
      <c r="O108" s="211"/>
      <c r="P108" s="99"/>
      <c r="T108" s="70">
        <f>IF(T107=0,0,IF('K3 Resultat'!$I20=2,0,IF('K3 Resultat'!$I20=1,'K3 Resultat'!$K20/(2*'K3 Resultat'!$J20-2),'K3 Resultat'!$K20/(2*'K3 Resultat'!$J20))))</f>
        <v>0</v>
      </c>
      <c r="Z108" s="70">
        <f>IF(Z107=0,0,IF('K3 Resultat'!$I20=2,'K3 Resultat'!$K20/(2*'K3 Resultat'!$J20-4),IF('K3 Resultat'!$I20=1,'K3 Resultat'!$K20/(2*'K3 Resultat'!$J20-2),'K3 Resultat'!$K20/(2*'K3 Resultat'!$J20))))</f>
        <v>0</v>
      </c>
      <c r="AF108" s="70">
        <f>IF(AF107=0,0,IF('K3 Resultat'!$I20=2,'K3 Resultat'!$K20/(2*'K3 Resultat'!$J20-4),IF('K3 Resultat'!$I20=1,'K3 Resultat'!$K20/(2*'K3 Resultat'!$J20-2),'K3 Resultat'!$K20/(2*'K3 Resultat'!$J20))))</f>
        <v>0</v>
      </c>
      <c r="AL108" s="609">
        <f>IF(AL107=0,0,IF('K3 Resultat'!$I20=2,'K3 Resultat'!$K20/(2*'K3 Resultat'!$J20-4),IF('K3 Resultat'!$I20=1,'K3 Resultat'!$K20/(2*'K3 Resultat'!$J20-2),'K3 Resultat'!$K20/(2*'K3 Resultat'!$J20))))</f>
        <v>0</v>
      </c>
    </row>
    <row r="109" spans="1:38" s="621" customFormat="1" x14ac:dyDescent="0.2">
      <c r="A109" s="619" t="s">
        <v>228</v>
      </c>
      <c r="B109" s="620">
        <f>B107-B108</f>
        <v>0</v>
      </c>
      <c r="C109" s="620">
        <f t="shared" ref="C109" si="196">C107-C108</f>
        <v>0</v>
      </c>
      <c r="D109" s="620">
        <f t="shared" ref="D109" si="197">D107-D108</f>
        <v>0</v>
      </c>
      <c r="E109" s="620">
        <f t="shared" ref="E109" si="198">E107-E108</f>
        <v>0</v>
      </c>
      <c r="F109" s="620">
        <f t="shared" ref="F109" si="199">F107-F108</f>
        <v>0</v>
      </c>
      <c r="G109" s="620">
        <f t="shared" ref="G109" si="200">G107-G108</f>
        <v>0</v>
      </c>
      <c r="H109" s="620">
        <f t="shared" ref="H109" si="201">H107-H108</f>
        <v>0</v>
      </c>
      <c r="I109" s="620">
        <f t="shared" ref="I109" si="202">I107-I108</f>
        <v>0</v>
      </c>
      <c r="J109" s="620">
        <f t="shared" ref="J109" si="203">J107-J108</f>
        <v>0</v>
      </c>
      <c r="K109" s="620">
        <f t="shared" ref="K109" si="204">K107-K108</f>
        <v>0</v>
      </c>
      <c r="L109" s="620">
        <f t="shared" ref="L109" si="205">L107-L108</f>
        <v>0</v>
      </c>
      <c r="M109" s="620">
        <f t="shared" ref="M109" si="206">M107-M108</f>
        <v>0</v>
      </c>
      <c r="N109" s="620">
        <f t="shared" ref="N109" si="207">N107-N108</f>
        <v>0</v>
      </c>
      <c r="O109" s="620">
        <f t="shared" ref="O109" si="208">O107-O108</f>
        <v>0</v>
      </c>
      <c r="P109" s="620">
        <f t="shared" ref="P109" si="209">P107-P108</f>
        <v>0</v>
      </c>
      <c r="Q109" s="620">
        <f t="shared" ref="Q109" si="210">Q107-Q108</f>
        <v>0</v>
      </c>
      <c r="R109" s="620">
        <f t="shared" ref="R109" si="211">R107-R108</f>
        <v>0</v>
      </c>
      <c r="S109" s="620">
        <f t="shared" ref="S109" si="212">S107-S108</f>
        <v>0</v>
      </c>
      <c r="T109" s="620">
        <f t="shared" ref="T109" si="213">T107-T108</f>
        <v>0</v>
      </c>
      <c r="U109" s="620">
        <f t="shared" ref="U109" si="214">U107-U108</f>
        <v>0</v>
      </c>
      <c r="V109" s="620">
        <f t="shared" ref="V109" si="215">V107-V108</f>
        <v>0</v>
      </c>
      <c r="W109" s="620">
        <f t="shared" ref="W109" si="216">W107-W108</f>
        <v>0</v>
      </c>
      <c r="X109" s="620">
        <f t="shared" ref="X109" si="217">X107-X108</f>
        <v>0</v>
      </c>
      <c r="Y109" s="620">
        <f t="shared" ref="Y109" si="218">Y107-Y108</f>
        <v>0</v>
      </c>
      <c r="Z109" s="620">
        <f t="shared" ref="Z109" si="219">Z107-Z108</f>
        <v>0</v>
      </c>
      <c r="AA109" s="620">
        <f t="shared" ref="AA109" si="220">AA107-AA108</f>
        <v>0</v>
      </c>
      <c r="AB109" s="620">
        <f t="shared" ref="AB109" si="221">AB107-AB108</f>
        <v>0</v>
      </c>
      <c r="AC109" s="620">
        <f t="shared" ref="AC109" si="222">AC107-AC108</f>
        <v>0</v>
      </c>
      <c r="AD109" s="620">
        <f t="shared" ref="AD109" si="223">AD107-AD108</f>
        <v>0</v>
      </c>
      <c r="AE109" s="620">
        <f t="shared" ref="AE109" si="224">AE107-AE108</f>
        <v>0</v>
      </c>
      <c r="AF109" s="620">
        <f t="shared" ref="AF109" si="225">AF107-AF108</f>
        <v>0</v>
      </c>
      <c r="AG109" s="620">
        <f t="shared" ref="AG109" si="226">AG107-AG108</f>
        <v>0</v>
      </c>
      <c r="AH109" s="620">
        <f t="shared" ref="AH109" si="227">AH107-AH108</f>
        <v>0</v>
      </c>
      <c r="AI109" s="620">
        <f t="shared" ref="AI109" si="228">AI107-AI108</f>
        <v>0</v>
      </c>
      <c r="AJ109" s="620">
        <f t="shared" ref="AJ109" si="229">AJ107-AJ108</f>
        <v>0</v>
      </c>
      <c r="AK109" s="620">
        <f t="shared" ref="AK109" si="230">AK107-AK108</f>
        <v>0</v>
      </c>
      <c r="AL109" s="620">
        <f t="shared" ref="AL109" si="231">AL107-AL108</f>
        <v>0</v>
      </c>
    </row>
    <row r="110" spans="1:38" x14ac:dyDescent="0.2">
      <c r="A110" s="584" t="s">
        <v>28</v>
      </c>
      <c r="B110" s="538">
        <f>'K3 Resultat'!H20</f>
        <v>0</v>
      </c>
      <c r="C110" s="539">
        <f>B110</f>
        <v>0</v>
      </c>
      <c r="D110" s="539">
        <f t="shared" ref="D110" si="232">C110</f>
        <v>0</v>
      </c>
      <c r="E110" s="539">
        <f t="shared" ref="E110" si="233">D110</f>
        <v>0</v>
      </c>
      <c r="F110" s="539">
        <f t="shared" ref="F110" si="234">E110</f>
        <v>0</v>
      </c>
      <c r="G110" s="539">
        <f t="shared" ref="G110" si="235">F110</f>
        <v>0</v>
      </c>
      <c r="H110" s="539">
        <f t="shared" ref="H110" si="236">G110</f>
        <v>0</v>
      </c>
      <c r="I110" s="539">
        <f t="shared" ref="I110" si="237">H110</f>
        <v>0</v>
      </c>
      <c r="J110" s="539">
        <f t="shared" ref="J110" si="238">I110</f>
        <v>0</v>
      </c>
      <c r="K110" s="539">
        <f t="shared" ref="K110" si="239">J110</f>
        <v>0</v>
      </c>
      <c r="L110" s="539">
        <f t="shared" ref="L110" si="240">K110</f>
        <v>0</v>
      </c>
      <c r="M110" s="539">
        <f t="shared" ref="M110" si="241">L110</f>
        <v>0</v>
      </c>
      <c r="N110" s="539">
        <f t="shared" ref="N110" si="242">M110</f>
        <v>0</v>
      </c>
      <c r="O110" s="539">
        <f t="shared" ref="O110" si="243">N110</f>
        <v>0</v>
      </c>
      <c r="P110" s="539">
        <f t="shared" ref="P110" si="244">O110</f>
        <v>0</v>
      </c>
      <c r="Q110" s="539">
        <f t="shared" ref="Q110" si="245">P110</f>
        <v>0</v>
      </c>
      <c r="R110" s="539">
        <f t="shared" ref="R110" si="246">Q110</f>
        <v>0</v>
      </c>
      <c r="S110" s="539">
        <f t="shared" ref="S110" si="247">R110</f>
        <v>0</v>
      </c>
      <c r="T110" s="539">
        <f t="shared" ref="T110" si="248">S110</f>
        <v>0</v>
      </c>
      <c r="U110" s="539">
        <f t="shared" ref="U110" si="249">T110</f>
        <v>0</v>
      </c>
      <c r="V110" s="539">
        <f t="shared" ref="V110" si="250">U110</f>
        <v>0</v>
      </c>
      <c r="W110" s="539">
        <f t="shared" ref="W110" si="251">V110</f>
        <v>0</v>
      </c>
      <c r="X110" s="539">
        <f t="shared" ref="X110" si="252">W110</f>
        <v>0</v>
      </c>
      <c r="Y110" s="539">
        <f t="shared" ref="Y110:Z110" si="253">X110</f>
        <v>0</v>
      </c>
      <c r="Z110" s="539">
        <f t="shared" si="253"/>
        <v>0</v>
      </c>
      <c r="AA110" s="539">
        <f t="shared" ref="AA110" si="254">Z110</f>
        <v>0</v>
      </c>
      <c r="AB110" s="539">
        <f t="shared" ref="AB110" si="255">AA110</f>
        <v>0</v>
      </c>
      <c r="AC110" s="539">
        <f t="shared" ref="AC110" si="256">AB110</f>
        <v>0</v>
      </c>
      <c r="AD110" s="539">
        <f t="shared" ref="AD110" si="257">AC110</f>
        <v>0</v>
      </c>
      <c r="AE110" s="539">
        <f t="shared" ref="AE110" si="258">AD110</f>
        <v>0</v>
      </c>
      <c r="AF110" s="539">
        <f t="shared" ref="AF110" si="259">AE110</f>
        <v>0</v>
      </c>
      <c r="AG110" s="539">
        <f t="shared" ref="AG110" si="260">AF110</f>
        <v>0</v>
      </c>
      <c r="AH110" s="539">
        <f t="shared" ref="AH110" si="261">AG110</f>
        <v>0</v>
      </c>
      <c r="AI110" s="539">
        <f t="shared" ref="AI110" si="262">AH110</f>
        <v>0</v>
      </c>
      <c r="AJ110" s="539">
        <f t="shared" ref="AJ110" si="263">AI110</f>
        <v>0</v>
      </c>
      <c r="AK110" s="539">
        <f t="shared" ref="AK110" si="264">AJ110</f>
        <v>0</v>
      </c>
      <c r="AL110" s="610">
        <f t="shared" ref="AL110" si="265">AK110</f>
        <v>0</v>
      </c>
    </row>
    <row r="111" spans="1:38" x14ac:dyDescent="0.2">
      <c r="A111" s="584" t="s">
        <v>185</v>
      </c>
      <c r="B111" s="540">
        <f>(B107)*B110/2</f>
        <v>0</v>
      </c>
      <c r="C111" s="540">
        <f>(C107)*C110/12</f>
        <v>0</v>
      </c>
      <c r="D111" s="540">
        <f t="shared" ref="D111" si="266">(D107)*D110/12</f>
        <v>0</v>
      </c>
      <c r="E111" s="540">
        <f t="shared" ref="E111" si="267">(E107)*E110/12</f>
        <v>0</v>
      </c>
      <c r="F111" s="540">
        <f t="shared" ref="F111" si="268">(F107)*F110/12</f>
        <v>0</v>
      </c>
      <c r="G111" s="540">
        <f t="shared" ref="G111" si="269">(G107)*G110/12</f>
        <v>0</v>
      </c>
      <c r="H111" s="540">
        <f t="shared" ref="H111" si="270">(H107)*H110/12</f>
        <v>0</v>
      </c>
      <c r="I111" s="540">
        <f t="shared" ref="I111" si="271">(I107)*I110/12</f>
        <v>0</v>
      </c>
      <c r="J111" s="540">
        <f t="shared" ref="J111" si="272">(J107)*J110/12</f>
        <v>0</v>
      </c>
      <c r="K111" s="540">
        <f t="shared" ref="K111" si="273">(K107)*K110/12</f>
        <v>0</v>
      </c>
      <c r="L111" s="540">
        <f t="shared" ref="L111" si="274">(L107)*L110/12</f>
        <v>0</v>
      </c>
      <c r="M111" s="540">
        <f t="shared" ref="M111" si="275">(M107)*M110/12</f>
        <v>0</v>
      </c>
      <c r="N111" s="540">
        <f t="shared" ref="N111" si="276">(N107)*N110/12</f>
        <v>0</v>
      </c>
      <c r="O111" s="540">
        <f t="shared" ref="O111" si="277">(O107)*O110/12</f>
        <v>0</v>
      </c>
      <c r="P111" s="540">
        <f t="shared" ref="P111" si="278">(P107)*P110/12</f>
        <v>0</v>
      </c>
      <c r="Q111" s="540">
        <f t="shared" ref="Q111" si="279">(Q107)*Q110/12</f>
        <v>0</v>
      </c>
      <c r="R111" s="540">
        <f t="shared" ref="R111" si="280">(R107)*R110/12</f>
        <v>0</v>
      </c>
      <c r="S111" s="540">
        <f t="shared" ref="S111" si="281">(S107)*S110/12</f>
        <v>0</v>
      </c>
      <c r="T111" s="540">
        <f t="shared" ref="T111" si="282">(T107)*T110/12</f>
        <v>0</v>
      </c>
      <c r="U111" s="540">
        <f t="shared" ref="U111" si="283">(U107)*U110/12</f>
        <v>0</v>
      </c>
      <c r="V111" s="540">
        <f t="shared" ref="V111" si="284">(V107)*V110/12</f>
        <v>0</v>
      </c>
      <c r="W111" s="540">
        <f t="shared" ref="W111" si="285">(W107)*W110/12</f>
        <v>0</v>
      </c>
      <c r="X111" s="540">
        <f t="shared" ref="X111" si="286">(X107)*X110/12</f>
        <v>0</v>
      </c>
      <c r="Y111" s="540">
        <f t="shared" ref="Y111" si="287">(Y107)*Y110/12</f>
        <v>0</v>
      </c>
      <c r="Z111" s="540">
        <f t="shared" ref="Z111" si="288">(Z107)*Z110/12</f>
        <v>0</v>
      </c>
      <c r="AA111" s="540">
        <f t="shared" ref="AA111" si="289">(AA107)*AA110/12</f>
        <v>0</v>
      </c>
      <c r="AB111" s="540">
        <f t="shared" ref="AB111" si="290">(AB107)*AB110/12</f>
        <v>0</v>
      </c>
      <c r="AC111" s="540">
        <f t="shared" ref="AC111" si="291">(AC107)*AC110/12</f>
        <v>0</v>
      </c>
      <c r="AD111" s="540">
        <f t="shared" ref="AD111" si="292">(AD107)*AD110/12</f>
        <v>0</v>
      </c>
      <c r="AE111" s="540">
        <f t="shared" ref="AE111" si="293">(AE107)*AE110/12</f>
        <v>0</v>
      </c>
      <c r="AF111" s="540">
        <f t="shared" ref="AF111" si="294">(AF107)*AF110/12</f>
        <v>0</v>
      </c>
      <c r="AG111" s="540">
        <f t="shared" ref="AG111" si="295">(AG107)*AG110/12</f>
        <v>0</v>
      </c>
      <c r="AH111" s="540">
        <f t="shared" ref="AH111" si="296">(AH107)*AH110/12</f>
        <v>0</v>
      </c>
      <c r="AI111" s="540">
        <f t="shared" ref="AI111" si="297">(AI107)*AI110/12</f>
        <v>0</v>
      </c>
      <c r="AJ111" s="540">
        <f t="shared" ref="AJ111" si="298">(AJ107)*AJ110/12</f>
        <v>0</v>
      </c>
      <c r="AK111" s="540">
        <f t="shared" ref="AK111" si="299">(AK107)*AK110/12</f>
        <v>0</v>
      </c>
      <c r="AL111" s="611">
        <f t="shared" ref="AL111" si="300">(AL107)*AL110/12</f>
        <v>0</v>
      </c>
    </row>
    <row r="112" spans="1:38" x14ac:dyDescent="0.2">
      <c r="A112" s="585" t="s">
        <v>187</v>
      </c>
      <c r="B112" s="549">
        <f>B111</f>
        <v>0</v>
      </c>
      <c r="C112" s="210"/>
      <c r="D112" s="211"/>
      <c r="E112" s="211"/>
      <c r="F112" s="211"/>
      <c r="G112" s="211"/>
      <c r="H112" s="211"/>
      <c r="I112" s="211"/>
      <c r="J112" s="211"/>
      <c r="K112" s="211"/>
      <c r="L112" s="211"/>
      <c r="M112" s="211"/>
      <c r="N112" s="550">
        <f>SUM(C111:N111)</f>
        <v>0</v>
      </c>
      <c r="O112" s="211"/>
      <c r="P112" s="99"/>
      <c r="Z112" s="550">
        <f>SUM(O111:Z111)</f>
        <v>0</v>
      </c>
      <c r="AL112" s="158"/>
    </row>
    <row r="113" spans="1:38" x14ac:dyDescent="0.2">
      <c r="A113" s="586" t="s">
        <v>188</v>
      </c>
      <c r="B113" s="70"/>
      <c r="C113" s="551">
        <f>B112+C111</f>
        <v>0</v>
      </c>
      <c r="D113" s="211"/>
      <c r="E113" s="211"/>
      <c r="F113" s="211"/>
      <c r="G113" s="211"/>
      <c r="H113" s="211"/>
      <c r="I113" s="211"/>
      <c r="J113" s="211"/>
      <c r="K113" s="211"/>
      <c r="L113" s="211"/>
      <c r="M113" s="211"/>
      <c r="O113" s="552">
        <f>SUM(D111:O111)</f>
        <v>0</v>
      </c>
      <c r="P113" s="99"/>
      <c r="AA113" s="552">
        <f>SUM(P111:AA111)</f>
        <v>0</v>
      </c>
      <c r="AB113" s="99"/>
      <c r="AL113" s="158"/>
    </row>
    <row r="114" spans="1:38" x14ac:dyDescent="0.2">
      <c r="A114" s="587" t="s">
        <v>199</v>
      </c>
      <c r="B114" s="52"/>
      <c r="C114" s="52"/>
      <c r="D114" s="553">
        <f>SUM(B111:D111)</f>
        <v>0</v>
      </c>
      <c r="E114" s="541"/>
      <c r="F114" s="541"/>
      <c r="G114" s="541"/>
      <c r="H114" s="541"/>
      <c r="I114" s="541"/>
      <c r="J114" s="541"/>
      <c r="K114" s="541"/>
      <c r="L114" s="541"/>
      <c r="M114" s="541"/>
      <c r="N114" s="541"/>
      <c r="O114" s="211"/>
      <c r="P114" s="554">
        <f>SUM(E111:P111)</f>
        <v>0</v>
      </c>
      <c r="AA114" s="211"/>
      <c r="AB114" s="554">
        <f>SUM(Q111:AB111)</f>
        <v>0</v>
      </c>
      <c r="AL114" s="158"/>
    </row>
    <row r="115" spans="1:38" x14ac:dyDescent="0.2">
      <c r="A115" s="588" t="s">
        <v>198</v>
      </c>
      <c r="B115" s="70"/>
      <c r="C115" s="210"/>
      <c r="D115" s="541"/>
      <c r="E115" s="556">
        <f>SUM(B111:E111)</f>
        <v>0</v>
      </c>
      <c r="F115" s="541"/>
      <c r="G115" s="541"/>
      <c r="H115" s="541"/>
      <c r="I115" s="541"/>
      <c r="J115" s="541"/>
      <c r="K115" s="541"/>
      <c r="L115" s="541"/>
      <c r="M115" s="541"/>
      <c r="N115" s="541"/>
      <c r="O115" s="211"/>
      <c r="P115" s="99"/>
      <c r="Q115" s="555">
        <f>SUM(F111:Q111)</f>
        <v>0</v>
      </c>
      <c r="AA115" s="211"/>
      <c r="AB115" s="99"/>
      <c r="AC115" s="555">
        <f>SUM(R111:AC111)</f>
        <v>0</v>
      </c>
      <c r="AL115" s="158"/>
    </row>
    <row r="116" spans="1:38" x14ac:dyDescent="0.2">
      <c r="A116" s="589" t="s">
        <v>189</v>
      </c>
      <c r="B116" s="70"/>
      <c r="C116" s="210"/>
      <c r="D116" s="541"/>
      <c r="E116" s="541"/>
      <c r="F116" s="557">
        <f>SUM(B111:F111)</f>
        <v>0</v>
      </c>
      <c r="G116" s="541"/>
      <c r="H116" s="541"/>
      <c r="I116" s="541"/>
      <c r="J116" s="541"/>
      <c r="K116" s="541"/>
      <c r="L116" s="541"/>
      <c r="M116" s="541"/>
      <c r="N116" s="541"/>
      <c r="O116" s="211"/>
      <c r="P116" s="99"/>
      <c r="R116" s="558">
        <f>SUM(G111:R111)</f>
        <v>0</v>
      </c>
      <c r="AA116" s="211"/>
      <c r="AB116" s="99"/>
      <c r="AD116" s="558">
        <f>SUM(S111:AD111)</f>
        <v>0</v>
      </c>
      <c r="AL116" s="158"/>
    </row>
    <row r="117" spans="1:38" x14ac:dyDescent="0.2">
      <c r="A117" s="590" t="s">
        <v>190</v>
      </c>
      <c r="B117" s="52"/>
      <c r="C117" s="52"/>
      <c r="D117" s="541"/>
      <c r="E117" s="541"/>
      <c r="F117" s="541"/>
      <c r="G117" s="560">
        <f>SUM(B111:G111)</f>
        <v>0</v>
      </c>
      <c r="H117" s="541"/>
      <c r="I117" s="541"/>
      <c r="J117" s="541"/>
      <c r="K117" s="541"/>
      <c r="L117" s="541"/>
      <c r="M117" s="541"/>
      <c r="N117" s="541"/>
      <c r="O117" s="211"/>
      <c r="P117" s="99"/>
      <c r="S117" s="559">
        <f>SUM(H111:S111)</f>
        <v>0</v>
      </c>
      <c r="AA117" s="211"/>
      <c r="AB117" s="99"/>
      <c r="AE117" s="559">
        <f>SUM(T111:AE111)</f>
        <v>0</v>
      </c>
      <c r="AL117" s="158"/>
    </row>
    <row r="118" spans="1:38" x14ac:dyDescent="0.2">
      <c r="A118" s="590" t="s">
        <v>191</v>
      </c>
      <c r="B118" s="70"/>
      <c r="C118" s="210"/>
      <c r="D118" s="541"/>
      <c r="E118" s="541"/>
      <c r="F118" s="541"/>
      <c r="G118" s="541"/>
      <c r="H118" s="561">
        <f>SUM(B111:H111)</f>
        <v>0</v>
      </c>
      <c r="I118" s="541"/>
      <c r="J118" s="541"/>
      <c r="K118" s="541"/>
      <c r="L118" s="541"/>
      <c r="M118" s="541"/>
      <c r="N118" s="541"/>
      <c r="O118" s="211"/>
      <c r="P118" s="99"/>
      <c r="T118" s="562">
        <f>SUM(I111:T111)</f>
        <v>0</v>
      </c>
      <c r="AA118" s="211"/>
      <c r="AB118" s="99"/>
      <c r="AF118" s="562">
        <f>SUM(U111:AF111)</f>
        <v>0</v>
      </c>
      <c r="AL118" s="158"/>
    </row>
    <row r="119" spans="1:38" x14ac:dyDescent="0.2">
      <c r="A119" s="591" t="s">
        <v>192</v>
      </c>
      <c r="B119" s="52"/>
      <c r="C119" s="52"/>
      <c r="D119" s="541"/>
      <c r="E119" s="541"/>
      <c r="F119" s="541"/>
      <c r="G119" s="541"/>
      <c r="H119" s="541"/>
      <c r="I119" s="567">
        <f>SUM(B111:I111)</f>
        <v>0</v>
      </c>
      <c r="J119" s="541"/>
      <c r="K119" s="541"/>
      <c r="L119" s="541"/>
      <c r="M119" s="541"/>
      <c r="N119" s="541"/>
      <c r="O119" s="211"/>
      <c r="P119" s="99"/>
      <c r="U119" s="563">
        <f>SUM(J111:U111)</f>
        <v>0</v>
      </c>
      <c r="AA119" s="211"/>
      <c r="AB119" s="99"/>
      <c r="AG119" s="563">
        <f>SUM(V111:AG111)</f>
        <v>0</v>
      </c>
      <c r="AL119" s="158"/>
    </row>
    <row r="120" spans="1:38" x14ac:dyDescent="0.2">
      <c r="A120" s="592" t="s">
        <v>193</v>
      </c>
      <c r="B120" s="70"/>
      <c r="C120" s="210"/>
      <c r="D120" s="541"/>
      <c r="E120" s="541"/>
      <c r="F120" s="541"/>
      <c r="G120" s="541"/>
      <c r="H120" s="541"/>
      <c r="I120" s="541"/>
      <c r="J120" s="568">
        <f>SUM(B111:J111)</f>
        <v>0</v>
      </c>
      <c r="K120" s="541"/>
      <c r="L120" s="541"/>
      <c r="M120" s="541"/>
      <c r="N120" s="541"/>
      <c r="O120" s="211"/>
      <c r="P120" s="99"/>
      <c r="V120" s="564">
        <f>SUM(K111:V111)</f>
        <v>0</v>
      </c>
      <c r="AA120" s="211"/>
      <c r="AB120" s="99"/>
      <c r="AH120" s="564">
        <f>SUM(W111:AH111)</f>
        <v>0</v>
      </c>
      <c r="AL120" s="158"/>
    </row>
    <row r="121" spans="1:38" x14ac:dyDescent="0.2">
      <c r="A121" s="593" t="s">
        <v>194</v>
      </c>
      <c r="B121" s="52"/>
      <c r="C121" s="52"/>
      <c r="D121" s="541"/>
      <c r="E121" s="541"/>
      <c r="F121" s="541"/>
      <c r="G121" s="541"/>
      <c r="H121" s="541"/>
      <c r="I121" s="541"/>
      <c r="J121" s="541"/>
      <c r="K121" s="569">
        <f>SUM(B111:K111)</f>
        <v>0</v>
      </c>
      <c r="L121" s="541"/>
      <c r="M121" s="541"/>
      <c r="N121" s="541"/>
      <c r="O121" s="211"/>
      <c r="P121" s="99"/>
      <c r="W121" s="565">
        <f>SUM(L111:W111)</f>
        <v>0</v>
      </c>
      <c r="AA121" s="211"/>
      <c r="AB121" s="99"/>
      <c r="AI121" s="565">
        <f>SUM(X111:AI111)</f>
        <v>0</v>
      </c>
      <c r="AL121" s="158"/>
    </row>
    <row r="122" spans="1:38" x14ac:dyDescent="0.2">
      <c r="A122" s="594" t="s">
        <v>195</v>
      </c>
      <c r="B122" s="70"/>
      <c r="C122" s="210"/>
      <c r="D122" s="541"/>
      <c r="E122" s="541"/>
      <c r="F122" s="541"/>
      <c r="G122" s="541"/>
      <c r="H122" s="541"/>
      <c r="I122" s="541"/>
      <c r="J122" s="541"/>
      <c r="K122" s="541"/>
      <c r="L122" s="570">
        <f>SUM(B111:L111)</f>
        <v>0</v>
      </c>
      <c r="M122" s="541"/>
      <c r="N122" s="541"/>
      <c r="O122" s="211"/>
      <c r="P122" s="99"/>
      <c r="X122" s="566">
        <f>SUM(M111:X111)</f>
        <v>0</v>
      </c>
      <c r="AA122" s="211"/>
      <c r="AB122" s="99"/>
      <c r="AJ122" s="566">
        <f>SUM(Y111:AJ111)</f>
        <v>0</v>
      </c>
      <c r="AL122" s="158"/>
    </row>
    <row r="123" spans="1:38" x14ac:dyDescent="0.2">
      <c r="A123" s="595" t="s">
        <v>196</v>
      </c>
      <c r="B123" s="52"/>
      <c r="C123" s="52"/>
      <c r="D123" s="541"/>
      <c r="E123" s="541"/>
      <c r="F123" s="541"/>
      <c r="G123" s="541"/>
      <c r="H123" s="541"/>
      <c r="I123" s="541"/>
      <c r="J123" s="541"/>
      <c r="K123" s="541"/>
      <c r="L123" s="541"/>
      <c r="M123" s="572">
        <f>SUM(B111:M111)</f>
        <v>0</v>
      </c>
      <c r="N123" s="541"/>
      <c r="O123" s="211"/>
      <c r="P123" s="99"/>
      <c r="Y123" s="571">
        <f>SUM(N111:Y111)</f>
        <v>0</v>
      </c>
      <c r="AA123" s="211"/>
      <c r="AB123" s="99"/>
      <c r="AK123" s="571">
        <f>SUM(Z111:AK111)</f>
        <v>0</v>
      </c>
      <c r="AL123" s="158"/>
    </row>
    <row r="124" spans="1:38" ht="13.5" thickBot="1" x14ac:dyDescent="0.25">
      <c r="A124" s="596" t="s">
        <v>197</v>
      </c>
      <c r="B124" s="597"/>
      <c r="C124" s="213"/>
      <c r="D124" s="598"/>
      <c r="E124" s="598"/>
      <c r="F124" s="598"/>
      <c r="G124" s="598"/>
      <c r="H124" s="598"/>
      <c r="I124" s="598"/>
      <c r="J124" s="598"/>
      <c r="K124" s="598"/>
      <c r="L124" s="598"/>
      <c r="M124" s="598"/>
      <c r="N124" s="599">
        <f>SUM(B111:N111)</f>
        <v>0</v>
      </c>
      <c r="O124" s="318"/>
      <c r="P124" s="600"/>
      <c r="Q124" s="166"/>
      <c r="R124" s="166"/>
      <c r="S124" s="166"/>
      <c r="T124" s="166"/>
      <c r="U124" s="166"/>
      <c r="V124" s="166"/>
      <c r="W124" s="166"/>
      <c r="X124" s="166"/>
      <c r="Y124" s="166"/>
      <c r="Z124" s="601">
        <f>SUM(O111:Z111)</f>
        <v>0</v>
      </c>
      <c r="AA124" s="318"/>
      <c r="AB124" s="600"/>
      <c r="AC124" s="166"/>
      <c r="AD124" s="166"/>
      <c r="AE124" s="166"/>
      <c r="AF124" s="166"/>
      <c r="AG124" s="166"/>
      <c r="AH124" s="166"/>
      <c r="AI124" s="166"/>
      <c r="AJ124" s="166"/>
      <c r="AK124" s="166"/>
      <c r="AL124" s="602">
        <f>SUM(AA111:AL111)</f>
        <v>0</v>
      </c>
    </row>
    <row r="125" spans="1:38" s="2" customFormat="1" ht="24" customHeight="1" x14ac:dyDescent="0.2">
      <c r="A125" s="630" t="s">
        <v>230</v>
      </c>
      <c r="B125" s="631">
        <f>B109+B91+B73</f>
        <v>25000</v>
      </c>
      <c r="C125" s="631">
        <f t="shared" ref="C125:AL125" si="301">C109+C91+C73</f>
        <v>25000</v>
      </c>
      <c r="D125" s="631">
        <f t="shared" si="301"/>
        <v>25000</v>
      </c>
      <c r="E125" s="631">
        <f t="shared" si="301"/>
        <v>25000</v>
      </c>
      <c r="F125" s="631">
        <f t="shared" si="301"/>
        <v>25000</v>
      </c>
      <c r="G125" s="631">
        <f t="shared" si="301"/>
        <v>25000</v>
      </c>
      <c r="H125" s="631">
        <f t="shared" si="301"/>
        <v>25000</v>
      </c>
      <c r="I125" s="631">
        <f t="shared" si="301"/>
        <v>25000</v>
      </c>
      <c r="J125" s="631">
        <f t="shared" si="301"/>
        <v>25000</v>
      </c>
      <c r="K125" s="631">
        <f t="shared" si="301"/>
        <v>25000</v>
      </c>
      <c r="L125" s="631">
        <f t="shared" si="301"/>
        <v>25000</v>
      </c>
      <c r="M125" s="631">
        <f t="shared" si="301"/>
        <v>25000</v>
      </c>
      <c r="N125" s="631">
        <f t="shared" si="301"/>
        <v>21875</v>
      </c>
      <c r="O125" s="631">
        <f t="shared" si="301"/>
        <v>21875</v>
      </c>
      <c r="P125" s="631">
        <f t="shared" si="301"/>
        <v>21875</v>
      </c>
      <c r="Q125" s="631">
        <f t="shared" si="301"/>
        <v>21875</v>
      </c>
      <c r="R125" s="631">
        <f t="shared" si="301"/>
        <v>21875</v>
      </c>
      <c r="S125" s="631">
        <f t="shared" si="301"/>
        <v>21875</v>
      </c>
      <c r="T125" s="631">
        <f t="shared" si="301"/>
        <v>18750</v>
      </c>
      <c r="U125" s="631">
        <f t="shared" si="301"/>
        <v>18750</v>
      </c>
      <c r="V125" s="631">
        <f t="shared" si="301"/>
        <v>18750</v>
      </c>
      <c r="W125" s="631">
        <f t="shared" si="301"/>
        <v>18750</v>
      </c>
      <c r="X125" s="631">
        <f t="shared" si="301"/>
        <v>18750</v>
      </c>
      <c r="Y125" s="631">
        <f t="shared" si="301"/>
        <v>18750</v>
      </c>
      <c r="Z125" s="631">
        <f t="shared" si="301"/>
        <v>15625</v>
      </c>
      <c r="AA125" s="631">
        <f t="shared" si="301"/>
        <v>15625</v>
      </c>
      <c r="AB125" s="631">
        <f t="shared" si="301"/>
        <v>15625</v>
      </c>
      <c r="AC125" s="631">
        <f t="shared" si="301"/>
        <v>15625</v>
      </c>
      <c r="AD125" s="631">
        <f t="shared" si="301"/>
        <v>15625</v>
      </c>
      <c r="AE125" s="631">
        <f t="shared" si="301"/>
        <v>15625</v>
      </c>
      <c r="AF125" s="631">
        <f t="shared" si="301"/>
        <v>12500</v>
      </c>
      <c r="AG125" s="631">
        <f t="shared" si="301"/>
        <v>12500</v>
      </c>
      <c r="AH125" s="631">
        <f t="shared" si="301"/>
        <v>12500</v>
      </c>
      <c r="AI125" s="631">
        <f t="shared" si="301"/>
        <v>12500</v>
      </c>
      <c r="AJ125" s="631">
        <f t="shared" si="301"/>
        <v>12500</v>
      </c>
      <c r="AK125" s="631">
        <f t="shared" si="301"/>
        <v>12500</v>
      </c>
      <c r="AL125" s="631">
        <f t="shared" si="301"/>
        <v>9375</v>
      </c>
    </row>
    <row r="126" spans="1:38" ht="12" customHeight="1" x14ac:dyDescent="0.2">
      <c r="A126" s="622" t="s">
        <v>231</v>
      </c>
      <c r="B126" s="623">
        <f>B108+B90+B72</f>
        <v>0</v>
      </c>
      <c r="C126" s="623">
        <f t="shared" ref="C126:AL126" si="302">C108+C90+C72</f>
        <v>0</v>
      </c>
      <c r="D126" s="623">
        <f t="shared" si="302"/>
        <v>0</v>
      </c>
      <c r="E126" s="623">
        <f t="shared" si="302"/>
        <v>0</v>
      </c>
      <c r="F126" s="623">
        <f t="shared" si="302"/>
        <v>0</v>
      </c>
      <c r="G126" s="623">
        <f t="shared" si="302"/>
        <v>0</v>
      </c>
      <c r="H126" s="623">
        <f t="shared" si="302"/>
        <v>0</v>
      </c>
      <c r="I126" s="623">
        <f t="shared" si="302"/>
        <v>0</v>
      </c>
      <c r="J126" s="623">
        <f t="shared" si="302"/>
        <v>0</v>
      </c>
      <c r="K126" s="623">
        <f t="shared" si="302"/>
        <v>0</v>
      </c>
      <c r="L126" s="623">
        <f t="shared" si="302"/>
        <v>0</v>
      </c>
      <c r="M126" s="623">
        <f t="shared" si="302"/>
        <v>0</v>
      </c>
      <c r="N126" s="623">
        <f>N108+N90+N72</f>
        <v>3125</v>
      </c>
      <c r="O126" s="623">
        <f t="shared" si="302"/>
        <v>0</v>
      </c>
      <c r="P126" s="623">
        <f t="shared" si="302"/>
        <v>0</v>
      </c>
      <c r="Q126" s="623">
        <f t="shared" si="302"/>
        <v>0</v>
      </c>
      <c r="R126" s="623">
        <f t="shared" si="302"/>
        <v>0</v>
      </c>
      <c r="S126" s="623">
        <f t="shared" si="302"/>
        <v>0</v>
      </c>
      <c r="T126" s="623">
        <f t="shared" si="302"/>
        <v>3125</v>
      </c>
      <c r="U126" s="623">
        <f t="shared" si="302"/>
        <v>0</v>
      </c>
      <c r="V126" s="623">
        <f t="shared" si="302"/>
        <v>0</v>
      </c>
      <c r="W126" s="623">
        <f t="shared" si="302"/>
        <v>0</v>
      </c>
      <c r="X126" s="623">
        <f t="shared" si="302"/>
        <v>0</v>
      </c>
      <c r="Y126" s="623">
        <f t="shared" si="302"/>
        <v>0</v>
      </c>
      <c r="Z126" s="623">
        <f t="shared" si="302"/>
        <v>3125</v>
      </c>
      <c r="AA126" s="623">
        <f t="shared" si="302"/>
        <v>0</v>
      </c>
      <c r="AB126" s="623">
        <f t="shared" si="302"/>
        <v>0</v>
      </c>
      <c r="AC126" s="623">
        <f t="shared" si="302"/>
        <v>0</v>
      </c>
      <c r="AD126" s="623">
        <f t="shared" si="302"/>
        <v>0</v>
      </c>
      <c r="AE126" s="623">
        <f t="shared" si="302"/>
        <v>0</v>
      </c>
      <c r="AF126" s="623">
        <f t="shared" si="302"/>
        <v>3125</v>
      </c>
      <c r="AG126" s="623">
        <f t="shared" si="302"/>
        <v>0</v>
      </c>
      <c r="AH126" s="623">
        <f t="shared" si="302"/>
        <v>0</v>
      </c>
      <c r="AI126" s="623">
        <f t="shared" si="302"/>
        <v>0</v>
      </c>
      <c r="AJ126" s="623">
        <f t="shared" si="302"/>
        <v>0</v>
      </c>
      <c r="AK126" s="623">
        <f t="shared" si="302"/>
        <v>0</v>
      </c>
      <c r="AL126" s="623">
        <f t="shared" si="302"/>
        <v>3125</v>
      </c>
    </row>
    <row r="127" spans="1:38" ht="12" customHeight="1" x14ac:dyDescent="0.2">
      <c r="A127" s="622" t="s">
        <v>233</v>
      </c>
      <c r="B127" s="623">
        <f>B111+B93+B75</f>
        <v>562.5</v>
      </c>
      <c r="C127" s="623">
        <f t="shared" ref="C127:AL127" si="303">C111+C93+C75</f>
        <v>93.75</v>
      </c>
      <c r="D127" s="623">
        <f t="shared" si="303"/>
        <v>93.75</v>
      </c>
      <c r="E127" s="623">
        <f t="shared" si="303"/>
        <v>93.75</v>
      </c>
      <c r="F127" s="623">
        <f t="shared" si="303"/>
        <v>93.75</v>
      </c>
      <c r="G127" s="623">
        <f t="shared" si="303"/>
        <v>93.75</v>
      </c>
      <c r="H127" s="623">
        <f t="shared" si="303"/>
        <v>93.75</v>
      </c>
      <c r="I127" s="623">
        <f t="shared" si="303"/>
        <v>93.75</v>
      </c>
      <c r="J127" s="623">
        <f t="shared" si="303"/>
        <v>93.75</v>
      </c>
      <c r="K127" s="623">
        <f t="shared" si="303"/>
        <v>93.75</v>
      </c>
      <c r="L127" s="623">
        <f t="shared" si="303"/>
        <v>93.75</v>
      </c>
      <c r="M127" s="623">
        <f t="shared" si="303"/>
        <v>93.75</v>
      </c>
      <c r="N127" s="623">
        <f t="shared" si="303"/>
        <v>93.75</v>
      </c>
      <c r="O127" s="623">
        <f t="shared" si="303"/>
        <v>82.03125</v>
      </c>
      <c r="P127" s="623">
        <f t="shared" si="303"/>
        <v>82.03125</v>
      </c>
      <c r="Q127" s="623">
        <f t="shared" si="303"/>
        <v>82.03125</v>
      </c>
      <c r="R127" s="623">
        <f t="shared" si="303"/>
        <v>82.03125</v>
      </c>
      <c r="S127" s="623">
        <f t="shared" si="303"/>
        <v>82.03125</v>
      </c>
      <c r="T127" s="623">
        <f t="shared" si="303"/>
        <v>82.03125</v>
      </c>
      <c r="U127" s="623">
        <f t="shared" si="303"/>
        <v>70.3125</v>
      </c>
      <c r="V127" s="623">
        <f t="shared" si="303"/>
        <v>70.3125</v>
      </c>
      <c r="W127" s="623">
        <f t="shared" si="303"/>
        <v>70.3125</v>
      </c>
      <c r="X127" s="623">
        <f t="shared" si="303"/>
        <v>70.3125</v>
      </c>
      <c r="Y127" s="623">
        <f t="shared" si="303"/>
        <v>70.3125</v>
      </c>
      <c r="Z127" s="623">
        <f t="shared" si="303"/>
        <v>70.3125</v>
      </c>
      <c r="AA127" s="623">
        <f t="shared" si="303"/>
        <v>58.59375</v>
      </c>
      <c r="AB127" s="623">
        <f t="shared" si="303"/>
        <v>58.59375</v>
      </c>
      <c r="AC127" s="623">
        <f t="shared" si="303"/>
        <v>58.59375</v>
      </c>
      <c r="AD127" s="623">
        <f t="shared" si="303"/>
        <v>58.59375</v>
      </c>
      <c r="AE127" s="623">
        <f t="shared" si="303"/>
        <v>58.59375</v>
      </c>
      <c r="AF127" s="623">
        <f t="shared" si="303"/>
        <v>58.59375</v>
      </c>
      <c r="AG127" s="623">
        <f t="shared" si="303"/>
        <v>46.875</v>
      </c>
      <c r="AH127" s="623">
        <f t="shared" si="303"/>
        <v>46.875</v>
      </c>
      <c r="AI127" s="623">
        <f t="shared" si="303"/>
        <v>46.875</v>
      </c>
      <c r="AJ127" s="623">
        <f t="shared" si="303"/>
        <v>46.875</v>
      </c>
      <c r="AK127" s="623">
        <f t="shared" si="303"/>
        <v>46.875</v>
      </c>
      <c r="AL127" s="623">
        <f t="shared" si="303"/>
        <v>46.875</v>
      </c>
    </row>
    <row r="128" spans="1:38" x14ac:dyDescent="0.2">
      <c r="A128" s="624" t="s">
        <v>232</v>
      </c>
      <c r="B128" s="626">
        <f>B112+B94+B76</f>
        <v>562.5</v>
      </c>
      <c r="C128" s="210"/>
      <c r="D128" s="211"/>
      <c r="E128" s="211"/>
      <c r="F128" s="211"/>
      <c r="G128" s="211"/>
      <c r="H128" s="211"/>
      <c r="I128" s="211"/>
      <c r="J128" s="211"/>
      <c r="K128" s="211"/>
      <c r="L128" s="211"/>
      <c r="M128" s="211"/>
      <c r="N128" s="625">
        <f>N112+N94+N76</f>
        <v>1125</v>
      </c>
      <c r="O128" s="211"/>
      <c r="P128" s="99"/>
      <c r="Z128" s="550">
        <f>Z112+Z94+Z76</f>
        <v>914.0625</v>
      </c>
      <c r="AL128" s="158"/>
    </row>
    <row r="129" spans="1:38" x14ac:dyDescent="0.2">
      <c r="A129" s="586" t="s">
        <v>188</v>
      </c>
      <c r="B129" s="70"/>
      <c r="C129" s="551">
        <f>C113+C95+C77</f>
        <v>656.25</v>
      </c>
      <c r="D129" s="211"/>
      <c r="E129" s="211"/>
      <c r="F129" s="211"/>
      <c r="G129" s="211"/>
      <c r="H129" s="211"/>
      <c r="I129" s="211"/>
      <c r="J129" s="211"/>
      <c r="K129" s="211"/>
      <c r="L129" s="211"/>
      <c r="M129" s="211"/>
      <c r="O129" s="552">
        <f>O113+O95+O77</f>
        <v>1113.28125</v>
      </c>
      <c r="P129" s="99"/>
      <c r="AA129" s="552">
        <f>AA113+AA95+AA77</f>
        <v>890.625</v>
      </c>
      <c r="AB129" s="99"/>
      <c r="AL129" s="158"/>
    </row>
    <row r="130" spans="1:38" x14ac:dyDescent="0.2">
      <c r="A130" s="587" t="s">
        <v>199</v>
      </c>
      <c r="B130" s="52"/>
      <c r="C130" s="52"/>
      <c r="D130" s="553">
        <f>D114+D96+D78</f>
        <v>750</v>
      </c>
      <c r="E130" s="541"/>
      <c r="F130" s="541"/>
      <c r="G130" s="541"/>
      <c r="H130" s="541"/>
      <c r="I130" s="541"/>
      <c r="J130" s="541"/>
      <c r="K130" s="541"/>
      <c r="L130" s="541"/>
      <c r="M130" s="541"/>
      <c r="N130" s="541"/>
      <c r="O130" s="211"/>
      <c r="P130" s="554">
        <f>P114+P96+P78</f>
        <v>1101.5625</v>
      </c>
      <c r="AA130" s="211"/>
      <c r="AB130" s="554">
        <f>AB114+AB96+AB78</f>
        <v>867.1875</v>
      </c>
      <c r="AL130" s="158"/>
    </row>
    <row r="131" spans="1:38" x14ac:dyDescent="0.2">
      <c r="A131" s="588" t="s">
        <v>198</v>
      </c>
      <c r="B131" s="70"/>
      <c r="C131" s="210"/>
      <c r="D131" s="541"/>
      <c r="E131" s="556">
        <f>E115+E97+E79</f>
        <v>843.75</v>
      </c>
      <c r="F131" s="541"/>
      <c r="G131" s="541"/>
      <c r="H131" s="541"/>
      <c r="I131" s="541"/>
      <c r="J131" s="541"/>
      <c r="K131" s="541"/>
      <c r="L131" s="541"/>
      <c r="M131" s="541"/>
      <c r="N131" s="541"/>
      <c r="O131" s="211"/>
      <c r="P131" s="99"/>
      <c r="Q131" s="555">
        <f>Q115+Q97+Q79</f>
        <v>1089.84375</v>
      </c>
      <c r="AA131" s="211"/>
      <c r="AB131" s="99"/>
      <c r="AC131" s="555">
        <f>AC115+AC97+AC79</f>
        <v>843.75</v>
      </c>
      <c r="AL131" s="158"/>
    </row>
    <row r="132" spans="1:38" x14ac:dyDescent="0.2">
      <c r="A132" s="589" t="s">
        <v>189</v>
      </c>
      <c r="B132" s="70"/>
      <c r="C132" s="210"/>
      <c r="D132" s="541"/>
      <c r="E132" s="541"/>
      <c r="F132" s="557">
        <f>F116+F98+F80</f>
        <v>937.5</v>
      </c>
      <c r="G132" s="541"/>
      <c r="H132" s="541"/>
      <c r="I132" s="541"/>
      <c r="J132" s="541"/>
      <c r="K132" s="541"/>
      <c r="L132" s="541"/>
      <c r="M132" s="541"/>
      <c r="N132" s="541"/>
      <c r="O132" s="211"/>
      <c r="P132" s="99"/>
      <c r="R132" s="558">
        <f>R116+R98+R80</f>
        <v>1078.125</v>
      </c>
      <c r="AA132" s="211"/>
      <c r="AB132" s="99"/>
      <c r="AD132" s="558">
        <f>AD116+AD98+AD80</f>
        <v>820.3125</v>
      </c>
      <c r="AL132" s="158"/>
    </row>
    <row r="133" spans="1:38" x14ac:dyDescent="0.2">
      <c r="A133" s="590" t="s">
        <v>190</v>
      </c>
      <c r="B133" s="52"/>
      <c r="C133" s="52"/>
      <c r="D133" s="541"/>
      <c r="E133" s="541"/>
      <c r="F133" s="541"/>
      <c r="G133" s="560">
        <f>G117+G99+G81</f>
        <v>1031.25</v>
      </c>
      <c r="H133" s="541"/>
      <c r="I133" s="541"/>
      <c r="J133" s="541"/>
      <c r="K133" s="541"/>
      <c r="L133" s="541"/>
      <c r="M133" s="541"/>
      <c r="N133" s="541"/>
      <c r="O133" s="211"/>
      <c r="P133" s="99"/>
      <c r="S133" s="559">
        <f>S117+S99+S81</f>
        <v>1066.40625</v>
      </c>
      <c r="AA133" s="211"/>
      <c r="AB133" s="99"/>
      <c r="AE133" s="559">
        <f>AE117+AE99+AE81</f>
        <v>796.875</v>
      </c>
      <c r="AL133" s="158"/>
    </row>
    <row r="134" spans="1:38" x14ac:dyDescent="0.2">
      <c r="A134" s="590" t="s">
        <v>191</v>
      </c>
      <c r="B134" s="70"/>
      <c r="C134" s="210"/>
      <c r="D134" s="541"/>
      <c r="E134" s="541"/>
      <c r="F134" s="541"/>
      <c r="G134" s="541"/>
      <c r="H134" s="561">
        <f>H118+H100+H82</f>
        <v>1125</v>
      </c>
      <c r="I134" s="541"/>
      <c r="J134" s="541"/>
      <c r="K134" s="541"/>
      <c r="L134" s="541"/>
      <c r="M134" s="541"/>
      <c r="N134" s="541"/>
      <c r="O134" s="211"/>
      <c r="P134" s="99"/>
      <c r="T134" s="562">
        <f>T118+T100+T82</f>
        <v>1054.6875</v>
      </c>
      <c r="AA134" s="211"/>
      <c r="AB134" s="99"/>
      <c r="AF134" s="562">
        <f>AF118+AF100+AF82</f>
        <v>773.4375</v>
      </c>
      <c r="AL134" s="158"/>
    </row>
    <row r="135" spans="1:38" x14ac:dyDescent="0.2">
      <c r="A135" s="591" t="s">
        <v>192</v>
      </c>
      <c r="B135" s="52"/>
      <c r="C135" s="52"/>
      <c r="D135" s="541"/>
      <c r="E135" s="541"/>
      <c r="F135" s="541"/>
      <c r="G135" s="541"/>
      <c r="H135" s="541"/>
      <c r="I135" s="567">
        <f>I119+I101+I83</f>
        <v>1218.75</v>
      </c>
      <c r="J135" s="541"/>
      <c r="K135" s="541"/>
      <c r="L135" s="541"/>
      <c r="M135" s="541"/>
      <c r="N135" s="541"/>
      <c r="O135" s="211"/>
      <c r="P135" s="99"/>
      <c r="U135" s="563">
        <f>U119+U101+U83</f>
        <v>1031.25</v>
      </c>
      <c r="AA135" s="211"/>
      <c r="AB135" s="99"/>
      <c r="AG135" s="563">
        <f>AG119+AG101+AG83</f>
        <v>750</v>
      </c>
      <c r="AL135" s="158"/>
    </row>
    <row r="136" spans="1:38" x14ac:dyDescent="0.2">
      <c r="A136" s="592" t="s">
        <v>193</v>
      </c>
      <c r="B136" s="70"/>
      <c r="C136" s="210"/>
      <c r="D136" s="541"/>
      <c r="E136" s="541"/>
      <c r="F136" s="541"/>
      <c r="G136" s="541"/>
      <c r="H136" s="541"/>
      <c r="I136" s="541"/>
      <c r="J136" s="568">
        <f>J120+J102+J84</f>
        <v>1312.5</v>
      </c>
      <c r="K136" s="541"/>
      <c r="L136" s="541"/>
      <c r="M136" s="541"/>
      <c r="N136" s="541"/>
      <c r="O136" s="211"/>
      <c r="P136" s="99"/>
      <c r="V136" s="564">
        <f>V120+V102+V84</f>
        <v>1007.8125</v>
      </c>
      <c r="AA136" s="211"/>
      <c r="AB136" s="99"/>
      <c r="AH136" s="564">
        <f>AH120+AH102+AH84</f>
        <v>726.5625</v>
      </c>
      <c r="AL136" s="158"/>
    </row>
    <row r="137" spans="1:38" x14ac:dyDescent="0.2">
      <c r="A137" s="593" t="s">
        <v>194</v>
      </c>
      <c r="B137" s="52"/>
      <c r="C137" s="52"/>
      <c r="D137" s="541"/>
      <c r="E137" s="541"/>
      <c r="F137" s="541"/>
      <c r="G137" s="541"/>
      <c r="H137" s="541"/>
      <c r="I137" s="541"/>
      <c r="J137" s="541"/>
      <c r="K137" s="569">
        <f>K121+K103+K85</f>
        <v>1406.25</v>
      </c>
      <c r="L137" s="541"/>
      <c r="M137" s="541"/>
      <c r="N137" s="541"/>
      <c r="O137" s="211"/>
      <c r="P137" s="99"/>
      <c r="W137" s="565">
        <f>W121+W103+W85</f>
        <v>984.375</v>
      </c>
      <c r="AA137" s="211"/>
      <c r="AB137" s="99"/>
      <c r="AI137" s="565">
        <f>AI121+AI103+AI85</f>
        <v>703.125</v>
      </c>
      <c r="AL137" s="158"/>
    </row>
    <row r="138" spans="1:38" x14ac:dyDescent="0.2">
      <c r="A138" s="594" t="s">
        <v>195</v>
      </c>
      <c r="B138" s="70"/>
      <c r="C138" s="210"/>
      <c r="D138" s="541"/>
      <c r="E138" s="541"/>
      <c r="F138" s="541"/>
      <c r="G138" s="541"/>
      <c r="H138" s="541"/>
      <c r="I138" s="541"/>
      <c r="J138" s="541"/>
      <c r="K138" s="541"/>
      <c r="L138" s="570">
        <f>L122+L104+L86</f>
        <v>1500</v>
      </c>
      <c r="M138" s="541"/>
      <c r="N138" s="541"/>
      <c r="O138" s="211"/>
      <c r="P138" s="99"/>
      <c r="X138" s="566">
        <f>X122+X104+X86</f>
        <v>960.9375</v>
      </c>
      <c r="AA138" s="211"/>
      <c r="AB138" s="99"/>
      <c r="AJ138" s="566">
        <f>AJ122+AJ104+AJ86</f>
        <v>679.6875</v>
      </c>
      <c r="AL138" s="158"/>
    </row>
    <row r="139" spans="1:38" x14ac:dyDescent="0.2">
      <c r="A139" s="595" t="s">
        <v>196</v>
      </c>
      <c r="B139" s="52"/>
      <c r="C139" s="52"/>
      <c r="D139" s="541"/>
      <c r="E139" s="541"/>
      <c r="F139" s="541"/>
      <c r="G139" s="541"/>
      <c r="H139" s="541"/>
      <c r="I139" s="541"/>
      <c r="J139" s="541"/>
      <c r="K139" s="541"/>
      <c r="L139" s="541"/>
      <c r="M139" s="572">
        <f>M123+M105+M87</f>
        <v>1593.75</v>
      </c>
      <c r="N139" s="541"/>
      <c r="O139" s="211"/>
      <c r="P139" s="99"/>
      <c r="Y139" s="571">
        <f>Y123+Y105+Y87</f>
        <v>937.5</v>
      </c>
      <c r="AA139" s="211"/>
      <c r="AB139" s="99"/>
      <c r="AK139" s="571">
        <f>AK123+AK105+AK87</f>
        <v>656.25</v>
      </c>
      <c r="AL139" s="158"/>
    </row>
    <row r="140" spans="1:38" ht="13.5" thickBot="1" x14ac:dyDescent="0.25">
      <c r="A140" s="596" t="s">
        <v>197</v>
      </c>
      <c r="B140" s="597"/>
      <c r="C140" s="213"/>
      <c r="D140" s="598"/>
      <c r="E140" s="598"/>
      <c r="F140" s="598"/>
      <c r="G140" s="598"/>
      <c r="H140" s="598"/>
      <c r="I140" s="598"/>
      <c r="J140" s="598"/>
      <c r="K140" s="598"/>
      <c r="L140" s="598"/>
      <c r="M140" s="598"/>
      <c r="N140" s="599">
        <f>N124+N106+N88</f>
        <v>1687.5</v>
      </c>
      <c r="O140" s="318"/>
      <c r="P140" s="600"/>
      <c r="Q140" s="166"/>
      <c r="R140" s="166"/>
      <c r="S140" s="166"/>
      <c r="T140" s="166"/>
      <c r="U140" s="166"/>
      <c r="V140" s="166"/>
      <c r="W140" s="166"/>
      <c r="X140" s="166"/>
      <c r="Y140" s="166"/>
      <c r="Z140" s="601">
        <f>Z124+Z106+Z88</f>
        <v>914.0625</v>
      </c>
      <c r="AA140" s="318"/>
      <c r="AB140" s="600"/>
      <c r="AC140" s="166"/>
      <c r="AD140" s="166"/>
      <c r="AE140" s="166"/>
      <c r="AF140" s="166"/>
      <c r="AG140" s="166"/>
      <c r="AH140" s="166"/>
      <c r="AI140" s="166"/>
      <c r="AJ140" s="166"/>
      <c r="AK140" s="166"/>
      <c r="AL140" s="601">
        <f>AL124+AL106+AL88</f>
        <v>632.8125</v>
      </c>
    </row>
    <row r="141" spans="1:38" x14ac:dyDescent="0.2">
      <c r="A141" s="652" t="s">
        <v>606</v>
      </c>
      <c r="B141" s="653"/>
      <c r="C141" s="654"/>
      <c r="D141" s="655"/>
      <c r="E141" s="655"/>
      <c r="F141" s="655"/>
      <c r="G141" s="655"/>
      <c r="H141" s="655"/>
      <c r="I141" s="655"/>
      <c r="J141" s="655"/>
      <c r="K141" s="655"/>
      <c r="L141" s="655"/>
      <c r="M141" s="655"/>
      <c r="N141" s="655"/>
      <c r="O141" s="655"/>
      <c r="P141" s="655"/>
      <c r="Q141" s="656"/>
      <c r="R141" s="656"/>
      <c r="S141" s="656"/>
      <c r="T141" s="656"/>
      <c r="U141" s="656"/>
      <c r="V141" s="656"/>
      <c r="W141" s="656"/>
      <c r="X141" s="656"/>
      <c r="Y141" s="656"/>
      <c r="Z141" s="656"/>
      <c r="AA141" s="656"/>
      <c r="AB141" s="656"/>
      <c r="AC141" s="656"/>
      <c r="AD141" s="656"/>
      <c r="AE141" s="656"/>
      <c r="AF141" s="656"/>
      <c r="AG141" s="656"/>
      <c r="AH141" s="656"/>
      <c r="AI141" s="656"/>
      <c r="AJ141" s="656"/>
      <c r="AK141" s="656"/>
      <c r="AL141" s="656"/>
    </row>
    <row r="142" spans="1:38" x14ac:dyDescent="0.2">
      <c r="A142" s="657" t="s">
        <v>607</v>
      </c>
      <c r="B142" s="606">
        <f>B$126+B128</f>
        <v>562.5</v>
      </c>
      <c r="C142" s="210"/>
      <c r="D142" s="211"/>
      <c r="E142" s="211"/>
      <c r="F142" s="211"/>
      <c r="G142" s="211"/>
      <c r="H142" s="211"/>
      <c r="I142" s="211"/>
      <c r="J142" s="211"/>
      <c r="K142" s="211"/>
      <c r="L142" s="211"/>
      <c r="M142" s="211"/>
      <c r="N142" s="606">
        <f>N$126+N128+H126</f>
        <v>4250</v>
      </c>
      <c r="O142" s="211"/>
      <c r="P142" s="99"/>
      <c r="Z142" s="606">
        <f>Z$126+Z128</f>
        <v>4039.0625</v>
      </c>
      <c r="AL142" s="158"/>
    </row>
    <row r="143" spans="1:38" x14ac:dyDescent="0.2">
      <c r="A143" s="586" t="s">
        <v>188</v>
      </c>
      <c r="B143" s="658"/>
      <c r="C143" s="606">
        <f>C$126+C129+B$126</f>
        <v>656.25</v>
      </c>
      <c r="D143" s="211"/>
      <c r="E143" s="211"/>
      <c r="F143" s="211"/>
      <c r="G143" s="211"/>
      <c r="H143" s="211"/>
      <c r="I143" s="211"/>
      <c r="J143" s="211"/>
      <c r="K143" s="211"/>
      <c r="L143" s="211"/>
      <c r="M143" s="211"/>
      <c r="O143" s="606">
        <f>O$126+O129+N$126+H126</f>
        <v>4238.28125</v>
      </c>
      <c r="P143" s="211"/>
      <c r="Q143" s="211"/>
      <c r="R143" s="211"/>
      <c r="S143" s="211"/>
      <c r="T143" s="211"/>
      <c r="U143" s="211"/>
      <c r="V143" s="211"/>
      <c r="W143" s="211"/>
      <c r="X143" s="211"/>
      <c r="Y143" s="211"/>
      <c r="AA143" s="606">
        <f>AA$126+AA129+Z$126</f>
        <v>4015.625</v>
      </c>
      <c r="AB143" s="211"/>
      <c r="AC143" s="211"/>
      <c r="AD143" s="211"/>
      <c r="AE143" s="211"/>
      <c r="AF143" s="211"/>
      <c r="AG143" s="211"/>
      <c r="AH143" s="211"/>
      <c r="AI143" s="211"/>
      <c r="AJ143" s="211"/>
      <c r="AK143" s="211"/>
      <c r="AL143" s="158"/>
    </row>
    <row r="144" spans="1:38" x14ac:dyDescent="0.2">
      <c r="A144" s="587" t="s">
        <v>199</v>
      </c>
      <c r="B144" s="52"/>
      <c r="C144" s="52"/>
      <c r="D144" s="606">
        <f>D$126+D130+C$126+B$126</f>
        <v>750</v>
      </c>
      <c r="E144" s="541"/>
      <c r="F144" s="541"/>
      <c r="G144" s="541"/>
      <c r="H144" s="541"/>
      <c r="I144" s="541"/>
      <c r="J144" s="541"/>
      <c r="K144" s="541"/>
      <c r="L144" s="541"/>
      <c r="M144" s="541"/>
      <c r="N144" s="541"/>
      <c r="O144" s="52"/>
      <c r="P144" s="606">
        <f>P$126+P130+O$126+N$126+H126</f>
        <v>4226.5625</v>
      </c>
      <c r="Q144" s="541"/>
      <c r="R144" s="541"/>
      <c r="S144" s="541"/>
      <c r="T144" s="541"/>
      <c r="U144" s="541"/>
      <c r="V144" s="541"/>
      <c r="W144" s="541"/>
      <c r="X144" s="541"/>
      <c r="Y144" s="541"/>
      <c r="Z144" s="541"/>
      <c r="AA144" s="52"/>
      <c r="AB144" s="606">
        <f>AB$126+AB130+AA$126+Z$126</f>
        <v>3992.1875</v>
      </c>
      <c r="AC144" s="541"/>
      <c r="AD144" s="541"/>
      <c r="AE144" s="541"/>
      <c r="AF144" s="541"/>
      <c r="AG144" s="541"/>
      <c r="AH144" s="541"/>
      <c r="AI144" s="541"/>
      <c r="AJ144" s="541"/>
      <c r="AK144" s="541"/>
      <c r="AL144" s="659"/>
    </row>
    <row r="145" spans="1:38" x14ac:dyDescent="0.2">
      <c r="A145" s="588" t="s">
        <v>198</v>
      </c>
      <c r="B145" s="658"/>
      <c r="C145" s="210"/>
      <c r="D145" s="541"/>
      <c r="E145" s="606">
        <f>E$126+E131+D$126+C$126+B126</f>
        <v>843.75</v>
      </c>
      <c r="F145" s="541"/>
      <c r="G145" s="541"/>
      <c r="H145" s="541"/>
      <c r="I145" s="541"/>
      <c r="J145" s="541"/>
      <c r="K145" s="541"/>
      <c r="L145" s="541"/>
      <c r="M145" s="541"/>
      <c r="N145" s="541"/>
      <c r="O145" s="210"/>
      <c r="P145" s="541"/>
      <c r="Q145" s="606">
        <f>Q$126+Q131+P$126+O$126+N126+H126</f>
        <v>4214.84375</v>
      </c>
      <c r="R145" s="541"/>
      <c r="S145" s="541"/>
      <c r="T145" s="541"/>
      <c r="U145" s="541"/>
      <c r="V145" s="541"/>
      <c r="W145" s="541"/>
      <c r="X145" s="541"/>
      <c r="Y145" s="541"/>
      <c r="Z145" s="541"/>
      <c r="AA145" s="210"/>
      <c r="AB145" s="541"/>
      <c r="AC145" s="606">
        <f>AC$126+AC131+AB$126+AA$126+Z126</f>
        <v>3968.75</v>
      </c>
      <c r="AD145" s="541"/>
      <c r="AE145" s="541"/>
      <c r="AF145" s="541"/>
      <c r="AG145" s="541"/>
      <c r="AH145" s="541"/>
      <c r="AI145" s="541"/>
      <c r="AJ145" s="541"/>
      <c r="AK145" s="541"/>
      <c r="AL145" s="659"/>
    </row>
    <row r="146" spans="1:38" x14ac:dyDescent="0.2">
      <c r="A146" s="589" t="s">
        <v>189</v>
      </c>
      <c r="B146" s="658"/>
      <c r="C146" s="210"/>
      <c r="D146" s="541"/>
      <c r="E146" s="541"/>
      <c r="F146" s="606">
        <f>F$126+F132+E$126+D$126+B126+C126</f>
        <v>937.5</v>
      </c>
      <c r="G146" s="541"/>
      <c r="H146" s="541"/>
      <c r="I146" s="541"/>
      <c r="J146" s="541"/>
      <c r="K146" s="541"/>
      <c r="L146" s="541"/>
      <c r="M146" s="541"/>
      <c r="N146" s="541"/>
      <c r="O146" s="210"/>
      <c r="P146" s="541"/>
      <c r="Q146" s="541"/>
      <c r="R146" s="606">
        <f>R$126+R132+Q$126+P$126+N126+O126</f>
        <v>4203.125</v>
      </c>
      <c r="S146" s="541"/>
      <c r="T146" s="541"/>
      <c r="U146" s="541"/>
      <c r="V146" s="541"/>
      <c r="W146" s="541"/>
      <c r="X146" s="541"/>
      <c r="Y146" s="541"/>
      <c r="Z146" s="541"/>
      <c r="AA146" s="210"/>
      <c r="AB146" s="541"/>
      <c r="AC146" s="541"/>
      <c r="AD146" s="606">
        <f>AD$126+AD132+AC$126+AB$126+Z126+AA126</f>
        <v>3945.3125</v>
      </c>
      <c r="AE146" s="541"/>
      <c r="AF146" s="541"/>
      <c r="AG146" s="541"/>
      <c r="AH146" s="541"/>
      <c r="AI146" s="541"/>
      <c r="AJ146" s="541"/>
      <c r="AK146" s="541"/>
      <c r="AL146" s="659"/>
    </row>
    <row r="147" spans="1:38" x14ac:dyDescent="0.2">
      <c r="A147" s="590" t="s">
        <v>190</v>
      </c>
      <c r="B147" s="52"/>
      <c r="C147" s="52"/>
      <c r="D147" s="541"/>
      <c r="E147" s="541"/>
      <c r="F147" s="541"/>
      <c r="G147" s="606">
        <f>G$126+G133+F$126+E$126+B126+C126+D126</f>
        <v>1031.25</v>
      </c>
      <c r="H147" s="541"/>
      <c r="I147" s="541"/>
      <c r="J147" s="541"/>
      <c r="K147" s="541"/>
      <c r="L147" s="541"/>
      <c r="M147" s="541"/>
      <c r="N147" s="541"/>
      <c r="O147" s="52"/>
      <c r="P147" s="541"/>
      <c r="Q147" s="541"/>
      <c r="R147" s="541"/>
      <c r="S147" s="606">
        <f>S$126+S133+R$126+Q$126+N126+O126+P126+H126</f>
        <v>4191.40625</v>
      </c>
      <c r="T147" s="541"/>
      <c r="U147" s="541"/>
      <c r="V147" s="541"/>
      <c r="W147" s="541"/>
      <c r="X147" s="541"/>
      <c r="Y147" s="541"/>
      <c r="Z147" s="541"/>
      <c r="AA147" s="52"/>
      <c r="AB147" s="541"/>
      <c r="AC147" s="541"/>
      <c r="AD147" s="541"/>
      <c r="AE147" s="606">
        <f>AE$126+AE133+AD$126+AC$126+Z126+AA126+AB126</f>
        <v>3921.875</v>
      </c>
      <c r="AF147" s="541"/>
      <c r="AG147" s="541"/>
      <c r="AH147" s="541"/>
      <c r="AI147" s="541"/>
      <c r="AJ147" s="541"/>
      <c r="AK147" s="541"/>
      <c r="AL147" s="659"/>
    </row>
    <row r="148" spans="1:38" x14ac:dyDescent="0.2">
      <c r="A148" s="590" t="s">
        <v>191</v>
      </c>
      <c r="B148" s="658"/>
      <c r="C148" s="210"/>
      <c r="D148" s="541"/>
      <c r="E148" s="541"/>
      <c r="F148" s="541"/>
      <c r="G148" s="541"/>
      <c r="H148" s="606">
        <f>H$126+H134+G$126+F$126+B126+C126+D126+E126</f>
        <v>1125</v>
      </c>
      <c r="I148" s="541"/>
      <c r="J148" s="541"/>
      <c r="K148" s="541"/>
      <c r="L148" s="541"/>
      <c r="M148" s="541"/>
      <c r="N148" s="541"/>
      <c r="O148" s="210"/>
      <c r="P148" s="541"/>
      <c r="Q148" s="541"/>
      <c r="R148" s="541"/>
      <c r="S148" s="541"/>
      <c r="T148" s="606">
        <f>T$126+T134+S$126+R$126+N126+O126+P126+Q126</f>
        <v>7304.6875</v>
      </c>
      <c r="U148" s="541"/>
      <c r="V148" s="541"/>
      <c r="W148" s="541"/>
      <c r="X148" s="541"/>
      <c r="Y148" s="541"/>
      <c r="Z148" s="541"/>
      <c r="AA148" s="210"/>
      <c r="AB148" s="541"/>
      <c r="AC148" s="541"/>
      <c r="AD148" s="541"/>
      <c r="AE148" s="541"/>
      <c r="AF148" s="606">
        <f>AF$126+AF134+AE$126+AD$126+Z126+AA126+AB126+AC126</f>
        <v>7023.4375</v>
      </c>
      <c r="AG148" s="541"/>
      <c r="AH148" s="541"/>
      <c r="AI148" s="541"/>
      <c r="AJ148" s="541"/>
      <c r="AK148" s="541"/>
      <c r="AL148" s="659"/>
    </row>
    <row r="149" spans="1:38" x14ac:dyDescent="0.2">
      <c r="A149" s="591" t="s">
        <v>192</v>
      </c>
      <c r="B149" s="52"/>
      <c r="C149" s="52"/>
      <c r="D149" s="541"/>
      <c r="E149" s="541"/>
      <c r="F149" s="541"/>
      <c r="G149" s="541"/>
      <c r="H149" s="541"/>
      <c r="I149" s="606">
        <f>I$126+I135+H$126+G$126+F126+E126+D126+C126+B126</f>
        <v>1218.75</v>
      </c>
      <c r="J149" s="541"/>
      <c r="K149" s="541"/>
      <c r="L149" s="541"/>
      <c r="M149" s="541"/>
      <c r="N149" s="541"/>
      <c r="O149" s="52"/>
      <c r="P149" s="541"/>
      <c r="Q149" s="541"/>
      <c r="R149" s="541"/>
      <c r="S149" s="541"/>
      <c r="T149" s="541"/>
      <c r="U149" s="606">
        <f>U$126+U135+T$126+S$126+R126+Q126+P126+O126+N126</f>
        <v>7281.25</v>
      </c>
      <c r="V149" s="541"/>
      <c r="W149" s="541"/>
      <c r="X149" s="541"/>
      <c r="Y149" s="541"/>
      <c r="Z149" s="541"/>
      <c r="AA149" s="52"/>
      <c r="AB149" s="541"/>
      <c r="AC149" s="541"/>
      <c r="AD149" s="541"/>
      <c r="AE149" s="541"/>
      <c r="AF149" s="541"/>
      <c r="AG149" s="606">
        <f>AG$126+AG135+AF$126+AE$126+AD126+AC126+AB126+AA126+Z126</f>
        <v>7000</v>
      </c>
      <c r="AH149" s="541"/>
      <c r="AI149" s="541"/>
      <c r="AJ149" s="541"/>
      <c r="AK149" s="541"/>
      <c r="AL149" s="659"/>
    </row>
    <row r="150" spans="1:38" x14ac:dyDescent="0.2">
      <c r="A150" s="592" t="s">
        <v>193</v>
      </c>
      <c r="B150" s="658"/>
      <c r="C150" s="210"/>
      <c r="D150" s="541"/>
      <c r="E150" s="541"/>
      <c r="F150" s="541"/>
      <c r="G150" s="541"/>
      <c r="H150" s="541"/>
      <c r="I150" s="541"/>
      <c r="J150" s="606">
        <f>J$126+J136+I$126+H$126++G126+F126+E126+D126+C126+B126</f>
        <v>1312.5</v>
      </c>
      <c r="K150" s="541"/>
      <c r="L150" s="541"/>
      <c r="M150" s="541"/>
      <c r="N150" s="541"/>
      <c r="O150" s="210"/>
      <c r="P150" s="541"/>
      <c r="Q150" s="541"/>
      <c r="R150" s="541"/>
      <c r="S150" s="541"/>
      <c r="T150" s="541"/>
      <c r="U150" s="541"/>
      <c r="V150" s="606">
        <f>V$126+V136+U$126+T$126++S126+R126+Q126+P126+O126+N126</f>
        <v>7257.8125</v>
      </c>
      <c r="W150" s="541"/>
      <c r="X150" s="541"/>
      <c r="Y150" s="541"/>
      <c r="Z150" s="541"/>
      <c r="AA150" s="210"/>
      <c r="AB150" s="541"/>
      <c r="AC150" s="541"/>
      <c r="AD150" s="541"/>
      <c r="AE150" s="541"/>
      <c r="AF150" s="541"/>
      <c r="AG150" s="541"/>
      <c r="AH150" s="606">
        <f>AH$126+AH136+AG$126+AF$126++AE126+AD126+AC126+AB126+AA126+Z126</f>
        <v>6976.5625</v>
      </c>
      <c r="AI150" s="541"/>
      <c r="AJ150" s="541"/>
      <c r="AK150" s="541"/>
      <c r="AL150" s="659"/>
    </row>
    <row r="151" spans="1:38" x14ac:dyDescent="0.2">
      <c r="A151" s="593" t="s">
        <v>194</v>
      </c>
      <c r="B151" s="52"/>
      <c r="C151" s="52"/>
      <c r="D151" s="541"/>
      <c r="E151" s="541"/>
      <c r="F151" s="541"/>
      <c r="G151" s="541"/>
      <c r="H151" s="541"/>
      <c r="I151" s="541"/>
      <c r="J151" s="541"/>
      <c r="K151" s="606">
        <f>K$126+K137+J$126+I$126++B126+C126+D126+E126+F126+G126+H126</f>
        <v>1406.25</v>
      </c>
      <c r="L151" s="541"/>
      <c r="M151" s="541"/>
      <c r="N151" s="541"/>
      <c r="O151" s="52"/>
      <c r="P151" s="541"/>
      <c r="Q151" s="541"/>
      <c r="R151" s="541"/>
      <c r="S151" s="541"/>
      <c r="T151" s="541"/>
      <c r="U151" s="541"/>
      <c r="V151" s="541"/>
      <c r="W151" s="606">
        <f>W$126+W137+V$126+U$126++N126+O126+P126+Q126+R126+S126+T126</f>
        <v>7234.375</v>
      </c>
      <c r="X151" s="541"/>
      <c r="Y151" s="541"/>
      <c r="Z151" s="541"/>
      <c r="AA151" s="52"/>
      <c r="AB151" s="541"/>
      <c r="AC151" s="541"/>
      <c r="AD151" s="541"/>
      <c r="AE151" s="541"/>
      <c r="AF151" s="541"/>
      <c r="AG151" s="541"/>
      <c r="AH151" s="541"/>
      <c r="AI151" s="606">
        <f>AI$126+AI137+AH$126+AG$126++Z126+AA126+AB126+AC126+AD126+AE126+AF126</f>
        <v>6953.125</v>
      </c>
      <c r="AJ151" s="541"/>
      <c r="AK151" s="541"/>
      <c r="AL151" s="659"/>
    </row>
    <row r="152" spans="1:38" x14ac:dyDescent="0.2">
      <c r="A152" s="594" t="s">
        <v>195</v>
      </c>
      <c r="B152" s="658"/>
      <c r="C152" s="210"/>
      <c r="D152" s="541"/>
      <c r="E152" s="541"/>
      <c r="F152" s="541"/>
      <c r="G152" s="541"/>
      <c r="H152" s="541"/>
      <c r="I152" s="541"/>
      <c r="J152" s="541"/>
      <c r="K152" s="541"/>
      <c r="L152" s="606">
        <f>L$126+L138+K$126+J$126+I126+H126+G126+F126+E126+D126+C126+B126</f>
        <v>1500</v>
      </c>
      <c r="M152" s="541"/>
      <c r="N152" s="541"/>
      <c r="O152" s="210"/>
      <c r="P152" s="541"/>
      <c r="Q152" s="541"/>
      <c r="R152" s="541"/>
      <c r="S152" s="541"/>
      <c r="T152" s="541"/>
      <c r="U152" s="541"/>
      <c r="V152" s="541"/>
      <c r="W152" s="541"/>
      <c r="X152" s="606">
        <f>X$126+X138+W$126+V$126+U126+T126+S126+R126+Q126+P126+O126+N126</f>
        <v>7210.9375</v>
      </c>
      <c r="Y152" s="541"/>
      <c r="Z152" s="541"/>
      <c r="AA152" s="210"/>
      <c r="AB152" s="541"/>
      <c r="AC152" s="541"/>
      <c r="AD152" s="541"/>
      <c r="AE152" s="541"/>
      <c r="AF152" s="541"/>
      <c r="AG152" s="541"/>
      <c r="AH152" s="541"/>
      <c r="AI152" s="541"/>
      <c r="AJ152" s="606">
        <f>AJ$126+AJ138+AI$126+AH$126+AG126+AF126+AE126+AD126+AC126+AB126+AA126+Z126</f>
        <v>6929.6875</v>
      </c>
      <c r="AK152" s="541"/>
      <c r="AL152" s="659"/>
    </row>
    <row r="153" spans="1:38" x14ac:dyDescent="0.2">
      <c r="A153" s="595" t="s">
        <v>196</v>
      </c>
      <c r="B153" s="52"/>
      <c r="C153" s="52"/>
      <c r="D153" s="541"/>
      <c r="E153" s="541"/>
      <c r="F153" s="541"/>
      <c r="G153" s="541"/>
      <c r="H153" s="541"/>
      <c r="I153" s="541"/>
      <c r="J153" s="541"/>
      <c r="K153" s="541"/>
      <c r="L153" s="541"/>
      <c r="M153" s="606">
        <f>M$126+M139+L$126+K$126+J126+I126+H126+G126+F126+E126+D126+C126+B126</f>
        <v>1593.75</v>
      </c>
      <c r="N153" s="541"/>
      <c r="O153" s="52"/>
      <c r="P153" s="541"/>
      <c r="Q153" s="541"/>
      <c r="R153" s="541"/>
      <c r="S153" s="541"/>
      <c r="T153" s="541"/>
      <c r="U153" s="541"/>
      <c r="V153" s="541"/>
      <c r="W153" s="541"/>
      <c r="X153" s="541"/>
      <c r="Y153" s="606">
        <f>Y$126+Y139+X$126+W$126+V126+U126+T126+S126+R126+Q126+P126+O126+N126</f>
        <v>7187.5</v>
      </c>
      <c r="Z153" s="541"/>
      <c r="AA153" s="52"/>
      <c r="AB153" s="541"/>
      <c r="AC153" s="541"/>
      <c r="AD153" s="541"/>
      <c r="AE153" s="541"/>
      <c r="AF153" s="541"/>
      <c r="AG153" s="541"/>
      <c r="AH153" s="541"/>
      <c r="AI153" s="541"/>
      <c r="AJ153" s="541"/>
      <c r="AK153" s="606">
        <f>AK$126+AK139+AJ$126+AI$126+AH126+AG126+AF126+AE126+AD126+AC126+AB126+AA126+Z126</f>
        <v>6906.25</v>
      </c>
      <c r="AL153" s="659"/>
    </row>
    <row r="154" spans="1:38" ht="13.5" thickBot="1" x14ac:dyDescent="0.25">
      <c r="A154" s="596" t="s">
        <v>197</v>
      </c>
      <c r="B154" s="660"/>
      <c r="C154" s="213"/>
      <c r="D154" s="598"/>
      <c r="E154" s="598"/>
      <c r="F154" s="598"/>
      <c r="G154" s="598"/>
      <c r="H154" s="598"/>
      <c r="I154" s="598"/>
      <c r="J154" s="598"/>
      <c r="K154" s="598"/>
      <c r="L154" s="598"/>
      <c r="M154" s="598"/>
      <c r="N154" s="661">
        <f>N$126+N140+M$126+L$126+K126+J126+I126+H126+G126+F126+E126+D126+C126+B126</f>
        <v>4812.5</v>
      </c>
      <c r="O154" s="213"/>
      <c r="P154" s="598"/>
      <c r="Q154" s="598"/>
      <c r="R154" s="598"/>
      <c r="S154" s="598"/>
      <c r="T154" s="598"/>
      <c r="U154" s="598"/>
      <c r="V154" s="598"/>
      <c r="W154" s="598"/>
      <c r="X154" s="598"/>
      <c r="Y154" s="598"/>
      <c r="Z154" s="661">
        <f>Z$126+Z140+Y$126+X$126+W126+V126+U126+T126+S126+R126+Q126+P126+O126</f>
        <v>7164.0625</v>
      </c>
      <c r="AA154" s="213"/>
      <c r="AB154" s="598"/>
      <c r="AC154" s="598"/>
      <c r="AD154" s="598"/>
      <c r="AE154" s="598"/>
      <c r="AF154" s="598"/>
      <c r="AG154" s="598"/>
      <c r="AH154" s="598"/>
      <c r="AI154" s="598"/>
      <c r="AJ154" s="598"/>
      <c r="AK154" s="598"/>
      <c r="AL154" s="662">
        <f>AL$126+AL140+AK$126+AJ$126+AI126+AH126+AG126+AF126+AE126+AD126+AC126+AB126+AA126</f>
        <v>6882.8125</v>
      </c>
    </row>
    <row r="155" spans="1:38" s="544" customFormat="1" ht="11.25" customHeight="1" x14ac:dyDescent="0.2">
      <c r="A155" s="582" t="s">
        <v>610</v>
      </c>
      <c r="B155" s="583">
        <f>L16</f>
        <v>20000</v>
      </c>
      <c r="C155" s="607">
        <f>B155-B156</f>
        <v>17841.960663243033</v>
      </c>
      <c r="D155" s="607">
        <f>C155-C156</f>
        <v>17470.137409002589</v>
      </c>
      <c r="E155" s="607">
        <f t="shared" ref="E155:AL155" si="304">D155-D156</f>
        <v>17098.314154762145</v>
      </c>
      <c r="F155" s="607">
        <f t="shared" si="304"/>
        <v>16726.490900521701</v>
      </c>
      <c r="G155" s="607">
        <f t="shared" si="304"/>
        <v>16347.181494592696</v>
      </c>
      <c r="H155" s="607">
        <f t="shared" si="304"/>
        <v>15967.872088663691</v>
      </c>
      <c r="I155" s="607">
        <f t="shared" si="304"/>
        <v>15588.562682734686</v>
      </c>
      <c r="J155" s="607">
        <f t="shared" si="304"/>
        <v>15201.616401711672</v>
      </c>
      <c r="K155" s="607">
        <f t="shared" si="304"/>
        <v>14814.670120688657</v>
      </c>
      <c r="L155" s="607">
        <f t="shared" si="304"/>
        <v>14427.723839665643</v>
      </c>
      <c r="M155" s="607">
        <f t="shared" si="304"/>
        <v>14032.986925533949</v>
      </c>
      <c r="N155" s="607">
        <f t="shared" si="304"/>
        <v>13638.250011402255</v>
      </c>
      <c r="O155" s="607">
        <f t="shared" si="304"/>
        <v>13243.513097270561</v>
      </c>
      <c r="P155" s="607">
        <f t="shared" si="304"/>
        <v>12840.828696308598</v>
      </c>
      <c r="Q155" s="607">
        <f t="shared" si="304"/>
        <v>12438.144295346634</v>
      </c>
      <c r="R155" s="607">
        <f t="shared" si="304"/>
        <v>12035.45989438467</v>
      </c>
      <c r="S155" s="607">
        <f t="shared" si="304"/>
        <v>11624.667994836109</v>
      </c>
      <c r="T155" s="607">
        <f t="shared" si="304"/>
        <v>11213.876095287547</v>
      </c>
      <c r="U155" s="607">
        <f t="shared" si="304"/>
        <v>10803.084195738986</v>
      </c>
      <c r="V155" s="607">
        <f t="shared" si="304"/>
        <v>10384.021564230061</v>
      </c>
      <c r="W155" s="607">
        <f t="shared" si="304"/>
        <v>9964.9589327211361</v>
      </c>
      <c r="X155" s="607">
        <f t="shared" si="304"/>
        <v>9545.8963012122113</v>
      </c>
      <c r="Y155" s="607">
        <f t="shared" si="304"/>
        <v>9118.3964178888673</v>
      </c>
      <c r="Z155" s="607">
        <f t="shared" si="304"/>
        <v>8690.8965345655233</v>
      </c>
      <c r="AA155" s="607">
        <f t="shared" si="304"/>
        <v>8263.3966512421794</v>
      </c>
      <c r="AB155" s="607">
        <f t="shared" si="304"/>
        <v>7827.2896436012943</v>
      </c>
      <c r="AC155" s="607">
        <f t="shared" si="304"/>
        <v>7391.1826359604092</v>
      </c>
      <c r="AD155" s="607">
        <f t="shared" si="304"/>
        <v>6955.0756283195242</v>
      </c>
      <c r="AE155" s="607">
        <f t="shared" si="304"/>
        <v>6510.1882037079113</v>
      </c>
      <c r="AF155" s="607">
        <f t="shared" si="304"/>
        <v>6065.3007790962984</v>
      </c>
      <c r="AG155" s="607">
        <f t="shared" si="304"/>
        <v>5620.4133544846854</v>
      </c>
      <c r="AH155" s="607">
        <f t="shared" si="304"/>
        <v>5166.5687312390628</v>
      </c>
      <c r="AI155" s="607">
        <f t="shared" si="304"/>
        <v>4712.7241079934402</v>
      </c>
      <c r="AJ155" s="607">
        <f t="shared" si="304"/>
        <v>4258.8794847478175</v>
      </c>
      <c r="AK155" s="607">
        <f t="shared" si="304"/>
        <v>3795.8973219483687</v>
      </c>
      <c r="AL155" s="608">
        <f t="shared" si="304"/>
        <v>3332.9151591489199</v>
      </c>
    </row>
    <row r="156" spans="1:38" s="544" customFormat="1" ht="11.25" customHeight="1" x14ac:dyDescent="0.2">
      <c r="A156" s="584" t="s">
        <v>184</v>
      </c>
      <c r="B156" s="542">
        <f>K23</f>
        <v>2158.0393367569673</v>
      </c>
      <c r="C156" s="543">
        <f>L23/3</f>
        <v>371.82325424044365</v>
      </c>
      <c r="D156" s="668">
        <f>C156</f>
        <v>371.82325424044365</v>
      </c>
      <c r="E156" s="668">
        <f>D156</f>
        <v>371.82325424044365</v>
      </c>
      <c r="F156" s="543">
        <f>M23/3</f>
        <v>379.30940592900441</v>
      </c>
      <c r="G156" s="668">
        <f>F156</f>
        <v>379.30940592900441</v>
      </c>
      <c r="H156" s="668">
        <f>G156</f>
        <v>379.30940592900441</v>
      </c>
      <c r="I156" s="543">
        <f>N23/3</f>
        <v>386.9462810230138</v>
      </c>
      <c r="J156" s="668">
        <f>I156</f>
        <v>386.9462810230138</v>
      </c>
      <c r="K156" s="668">
        <f>J156</f>
        <v>386.9462810230138</v>
      </c>
      <c r="L156" s="543">
        <f>O23/3</f>
        <v>394.73691413169377</v>
      </c>
      <c r="M156" s="668">
        <f>L156</f>
        <v>394.73691413169377</v>
      </c>
      <c r="N156" s="668">
        <f>M156</f>
        <v>394.73691413169377</v>
      </c>
      <c r="O156" s="543">
        <f>P23/3</f>
        <v>402.68440096196417</v>
      </c>
      <c r="P156" s="668">
        <f>O156</f>
        <v>402.68440096196417</v>
      </c>
      <c r="Q156" s="668">
        <f>P156</f>
        <v>402.68440096196417</v>
      </c>
      <c r="R156" s="543">
        <f>Q23/3</f>
        <v>410.79189954856162</v>
      </c>
      <c r="S156" s="668">
        <f>R156</f>
        <v>410.79189954856162</v>
      </c>
      <c r="T156" s="668">
        <f>S156</f>
        <v>410.79189954856162</v>
      </c>
      <c r="U156" s="543">
        <f>R23/3</f>
        <v>419.06263150892437</v>
      </c>
      <c r="V156" s="668">
        <f>U156</f>
        <v>419.06263150892437</v>
      </c>
      <c r="W156" s="668">
        <f>V156</f>
        <v>419.06263150892437</v>
      </c>
      <c r="X156" s="543">
        <f>S23/3</f>
        <v>427.49988332334306</v>
      </c>
      <c r="Y156" s="668">
        <f>X156</f>
        <v>427.49988332334306</v>
      </c>
      <c r="Z156" s="668">
        <f>Y156</f>
        <v>427.49988332334306</v>
      </c>
      <c r="AA156" s="543">
        <f>T23/3</f>
        <v>436.10700764088512</v>
      </c>
      <c r="AB156" s="668">
        <f>AA156</f>
        <v>436.10700764088512</v>
      </c>
      <c r="AC156" s="668">
        <f>AB156</f>
        <v>436.10700764088512</v>
      </c>
      <c r="AD156" s="543">
        <f>U23/3</f>
        <v>444.88742461161274</v>
      </c>
      <c r="AE156" s="668">
        <f>AD156</f>
        <v>444.88742461161274</v>
      </c>
      <c r="AF156" s="668">
        <f>AE156</f>
        <v>444.88742461161274</v>
      </c>
      <c r="AG156" s="543">
        <f>V23/3</f>
        <v>453.8446232456227</v>
      </c>
      <c r="AH156" s="668">
        <f>AG156</f>
        <v>453.8446232456227</v>
      </c>
      <c r="AI156" s="668">
        <f>AH156</f>
        <v>453.8446232456227</v>
      </c>
      <c r="AJ156" s="543">
        <f>W23/3</f>
        <v>462.98216279944887</v>
      </c>
      <c r="AK156" s="668">
        <f>AJ156</f>
        <v>462.98216279944887</v>
      </c>
      <c r="AL156" s="669">
        <f>AK156</f>
        <v>462.98216279944887</v>
      </c>
    </row>
    <row r="157" spans="1:38" s="544" customFormat="1" ht="11.25" customHeight="1" x14ac:dyDescent="0.2">
      <c r="A157" s="584" t="s">
        <v>185</v>
      </c>
      <c r="B157" s="542">
        <f>K22</f>
        <v>771.51134422333041</v>
      </c>
      <c r="C157" s="603">
        <f>L21</f>
        <v>116.43519258960598</v>
      </c>
      <c r="D157" s="604">
        <f>C157</f>
        <v>116.43519258960598</v>
      </c>
      <c r="E157" s="604">
        <f>D157</f>
        <v>116.43519258960598</v>
      </c>
      <c r="F157" s="604">
        <f>M21</f>
        <v>108.94904090104525</v>
      </c>
      <c r="G157" s="604">
        <f>F157</f>
        <v>108.94904090104525</v>
      </c>
      <c r="H157" s="604">
        <f>G157</f>
        <v>108.94904090104525</v>
      </c>
      <c r="I157" s="604">
        <f>N21</f>
        <v>101.31216580703584</v>
      </c>
      <c r="J157" s="604">
        <f>I157</f>
        <v>101.31216580703584</v>
      </c>
      <c r="K157" s="604">
        <f>J157</f>
        <v>101.31216580703584</v>
      </c>
      <c r="L157" s="605">
        <f>O21</f>
        <v>93.521532698355884</v>
      </c>
      <c r="M157" s="604">
        <f>L157</f>
        <v>93.521532698355884</v>
      </c>
      <c r="N157" s="604">
        <f>M157</f>
        <v>93.521532698355884</v>
      </c>
      <c r="O157" s="543">
        <f>P21</f>
        <v>85.574045868085449</v>
      </c>
      <c r="P157" s="604">
        <f>O157</f>
        <v>85.574045868085449</v>
      </c>
      <c r="Q157" s="604">
        <f>P157</f>
        <v>85.574045868085449</v>
      </c>
      <c r="R157" s="543">
        <f>Q21</f>
        <v>77.466547281487991</v>
      </c>
      <c r="S157" s="604">
        <f>R157</f>
        <v>77.466547281487991</v>
      </c>
      <c r="T157" s="604">
        <f>S157</f>
        <v>77.466547281487991</v>
      </c>
      <c r="U157" s="543">
        <f>R21</f>
        <v>69.195815321125224</v>
      </c>
      <c r="V157" s="604">
        <f>U157</f>
        <v>69.195815321125224</v>
      </c>
      <c r="W157" s="604">
        <f>V157</f>
        <v>69.195815321125224</v>
      </c>
      <c r="X157" s="543">
        <f>S21</f>
        <v>60.758563506706587</v>
      </c>
      <c r="Y157" s="604">
        <f>X157</f>
        <v>60.758563506706587</v>
      </c>
      <c r="Z157" s="604">
        <f>Y157</f>
        <v>60.758563506706587</v>
      </c>
      <c r="AA157" s="543">
        <f>T21</f>
        <v>52.151439189164513</v>
      </c>
      <c r="AB157" s="604">
        <f>AA157</f>
        <v>52.151439189164513</v>
      </c>
      <c r="AC157" s="604">
        <f>AB157</f>
        <v>52.151439189164513</v>
      </c>
      <c r="AD157" s="543">
        <f>U21</f>
        <v>43.37102221843687</v>
      </c>
      <c r="AE157" s="604">
        <f>AD157</f>
        <v>43.37102221843687</v>
      </c>
      <c r="AF157" s="604">
        <f>AE157</f>
        <v>43.37102221843687</v>
      </c>
      <c r="AG157" s="543">
        <f>V21</f>
        <v>34.413823584426893</v>
      </c>
      <c r="AH157" s="604">
        <f>AG157</f>
        <v>34.413823584426893</v>
      </c>
      <c r="AI157" s="604">
        <f>AH157</f>
        <v>34.413823584426893</v>
      </c>
      <c r="AJ157" s="543">
        <f>W21</f>
        <v>25.276284030600717</v>
      </c>
      <c r="AK157" s="604">
        <f>AJ157</f>
        <v>25.276284030600717</v>
      </c>
      <c r="AL157" s="670">
        <f>AK157</f>
        <v>25.276284030600717</v>
      </c>
    </row>
    <row r="158" spans="1:38" x14ac:dyDescent="0.2">
      <c r="A158" s="585" t="s">
        <v>187</v>
      </c>
      <c r="B158" s="549">
        <f>K22</f>
        <v>771.51134422333041</v>
      </c>
      <c r="L158" s="211"/>
      <c r="M158" s="211"/>
      <c r="N158" s="550">
        <f>SUM(C157:N157)</f>
        <v>1260.6537959881289</v>
      </c>
      <c r="O158" s="211"/>
      <c r="P158" s="99"/>
      <c r="Z158" s="550">
        <f>SUM(O157:Z157)</f>
        <v>878.98491593221559</v>
      </c>
      <c r="AL158" s="158" t="s">
        <v>0</v>
      </c>
    </row>
    <row r="159" spans="1:38" x14ac:dyDescent="0.2">
      <c r="A159" s="586" t="s">
        <v>188</v>
      </c>
      <c r="B159" s="70"/>
      <c r="C159" s="551">
        <f>$L$21*C$70</f>
        <v>815.0463481272418</v>
      </c>
      <c r="D159" s="211"/>
      <c r="E159" s="211"/>
      <c r="F159" s="211"/>
      <c r="G159" s="211"/>
      <c r="H159" s="211"/>
      <c r="I159" s="211"/>
      <c r="J159" s="211"/>
      <c r="K159" s="211"/>
      <c r="L159" s="211"/>
      <c r="M159" s="211"/>
      <c r="O159" s="552">
        <f>SUM(D157:O157)</f>
        <v>1229.7926492666086</v>
      </c>
      <c r="P159" s="99"/>
      <c r="AA159" s="552">
        <f>SUM(P157:AA157)</f>
        <v>845.56230925329464</v>
      </c>
      <c r="AB159" s="99"/>
      <c r="AL159" s="158"/>
    </row>
    <row r="160" spans="1:38" x14ac:dyDescent="0.2">
      <c r="A160" s="587" t="s">
        <v>199</v>
      </c>
      <c r="B160" s="52"/>
      <c r="C160" s="52"/>
      <c r="D160" s="553">
        <f>$L$21*D$70</f>
        <v>931.4815407168478</v>
      </c>
      <c r="E160" s="541"/>
      <c r="F160" s="541"/>
      <c r="G160" s="541"/>
      <c r="H160" s="541"/>
      <c r="I160" s="541"/>
      <c r="J160" s="541"/>
      <c r="K160" s="541"/>
      <c r="L160" s="541"/>
      <c r="M160" s="541"/>
      <c r="N160" s="541"/>
      <c r="O160" s="211"/>
      <c r="P160" s="554">
        <f>SUM(E157:P157)</f>
        <v>1198.9315025450881</v>
      </c>
      <c r="AA160" s="211"/>
      <c r="AB160" s="554">
        <f>SUM(Q157:AB157)</f>
        <v>812.1397025743737</v>
      </c>
      <c r="AL160" s="158"/>
    </row>
    <row r="161" spans="1:38" x14ac:dyDescent="0.2">
      <c r="A161" s="588" t="s">
        <v>198</v>
      </c>
      <c r="B161" s="70"/>
      <c r="C161" s="210"/>
      <c r="D161" s="541"/>
      <c r="E161" s="556">
        <f>$L$21*E$70</f>
        <v>1047.9167333064538</v>
      </c>
      <c r="F161" s="541"/>
      <c r="G161" s="541"/>
      <c r="H161" s="541"/>
      <c r="I161" s="541"/>
      <c r="J161" s="541"/>
      <c r="K161" s="541"/>
      <c r="L161" s="541"/>
      <c r="M161" s="541"/>
      <c r="N161" s="541"/>
      <c r="O161" s="211"/>
      <c r="P161" s="99"/>
      <c r="Q161" s="555">
        <f>SUM(F157:Q157)</f>
        <v>1168.0703558235675</v>
      </c>
      <c r="AA161" s="211"/>
      <c r="AB161" s="99"/>
      <c r="AC161" s="555">
        <f>SUM(R157:AC157)</f>
        <v>778.71709589545299</v>
      </c>
      <c r="AL161" s="158"/>
    </row>
    <row r="162" spans="1:38" x14ac:dyDescent="0.2">
      <c r="A162" s="589" t="s">
        <v>189</v>
      </c>
      <c r="B162" s="70"/>
      <c r="C162" s="210"/>
      <c r="D162" s="541"/>
      <c r="E162" s="541"/>
      <c r="F162" s="557">
        <f>F$70*$M$21</f>
        <v>1089.4904090104526</v>
      </c>
      <c r="G162" s="541"/>
      <c r="H162" s="541"/>
      <c r="I162" s="541"/>
      <c r="J162" s="541"/>
      <c r="K162" s="541"/>
      <c r="L162" s="541"/>
      <c r="M162" s="541"/>
      <c r="N162" s="541"/>
      <c r="O162" s="211"/>
      <c r="P162" s="99"/>
      <c r="R162" s="558">
        <f>SUM(G157:R157)</f>
        <v>1136.5878622040102</v>
      </c>
      <c r="AA162" s="211"/>
      <c r="AB162" s="99"/>
      <c r="AD162" s="558">
        <f>SUM(S157:AD157)</f>
        <v>744.62157083240186</v>
      </c>
      <c r="AL162" s="158"/>
    </row>
    <row r="163" spans="1:38" x14ac:dyDescent="0.2">
      <c r="A163" s="590" t="s">
        <v>190</v>
      </c>
      <c r="B163" s="52"/>
      <c r="C163" s="52"/>
      <c r="D163" s="541"/>
      <c r="E163" s="541"/>
      <c r="F163" s="541"/>
      <c r="G163" s="560">
        <f>G$70*$M$21</f>
        <v>1198.4394499114978</v>
      </c>
      <c r="H163" s="541"/>
      <c r="I163" s="541"/>
      <c r="J163" s="541"/>
      <c r="K163" s="541"/>
      <c r="L163" s="541"/>
      <c r="M163" s="541"/>
      <c r="N163" s="541"/>
      <c r="O163" s="211"/>
      <c r="P163" s="99"/>
      <c r="S163" s="559">
        <f>SUM(H157:S157)</f>
        <v>1105.1053685844527</v>
      </c>
      <c r="AA163" s="211"/>
      <c r="AB163" s="99"/>
      <c r="AE163" s="559">
        <f>SUM(T157:AE157)</f>
        <v>710.52604576935084</v>
      </c>
      <c r="AL163" s="158"/>
    </row>
    <row r="164" spans="1:38" x14ac:dyDescent="0.2">
      <c r="A164" s="590" t="s">
        <v>191</v>
      </c>
      <c r="B164" s="70"/>
      <c r="C164" s="210"/>
      <c r="D164" s="541"/>
      <c r="E164" s="541"/>
      <c r="F164" s="541"/>
      <c r="G164" s="541"/>
      <c r="H164" s="561">
        <f>H$70*$M$21</f>
        <v>1307.3884908125431</v>
      </c>
      <c r="I164" s="541"/>
      <c r="J164" s="541"/>
      <c r="K164" s="541"/>
      <c r="L164" s="541"/>
      <c r="M164" s="541"/>
      <c r="N164" s="541"/>
      <c r="O164" s="211"/>
      <c r="P164" s="99"/>
      <c r="T164" s="562">
        <f>SUM(I157:T157)</f>
        <v>1073.6228749648956</v>
      </c>
      <c r="AA164" s="211"/>
      <c r="AB164" s="99"/>
      <c r="AF164" s="562">
        <f>SUM(U157:AF157)</f>
        <v>676.43052070629972</v>
      </c>
      <c r="AL164" s="158"/>
    </row>
    <row r="165" spans="1:38" x14ac:dyDescent="0.2">
      <c r="A165" s="591" t="s">
        <v>192</v>
      </c>
      <c r="B165" s="52"/>
      <c r="C165" s="52"/>
      <c r="D165" s="541"/>
      <c r="E165" s="541"/>
      <c r="F165" s="541"/>
      <c r="G165" s="541"/>
      <c r="H165" s="541"/>
      <c r="I165" s="567">
        <f>I$70*$N$21</f>
        <v>1317.0581554914659</v>
      </c>
      <c r="J165" s="541"/>
      <c r="K165" s="541"/>
      <c r="L165" s="541"/>
      <c r="M165" s="541"/>
      <c r="N165" s="541"/>
      <c r="O165" s="211"/>
      <c r="P165" s="99"/>
      <c r="U165" s="563">
        <f>SUM(J157:U157)</f>
        <v>1041.5065244789851</v>
      </c>
      <c r="AA165" s="211"/>
      <c r="AB165" s="99"/>
      <c r="AG165" s="563">
        <f>SUM(V157:AG157)</f>
        <v>641.64852896960133</v>
      </c>
      <c r="AL165" s="158"/>
    </row>
    <row r="166" spans="1:38" x14ac:dyDescent="0.2">
      <c r="A166" s="592" t="s">
        <v>193</v>
      </c>
      <c r="B166" s="70"/>
      <c r="C166" s="210"/>
      <c r="D166" s="541"/>
      <c r="E166" s="541"/>
      <c r="F166" s="541"/>
      <c r="G166" s="541"/>
      <c r="H166" s="541"/>
      <c r="I166" s="541"/>
      <c r="J166" s="568">
        <f>J$70*$N$21</f>
        <v>1418.3703212985017</v>
      </c>
      <c r="K166" s="541"/>
      <c r="L166" s="541"/>
      <c r="M166" s="541"/>
      <c r="N166" s="541"/>
      <c r="O166" s="211"/>
      <c r="P166" s="99"/>
      <c r="V166" s="564">
        <f>SUM(K157:V157)</f>
        <v>1009.3901739930744</v>
      </c>
      <c r="AA166" s="211"/>
      <c r="AB166" s="99"/>
      <c r="AH166" s="564">
        <f>SUM(W157:AH157)</f>
        <v>606.86653723290283</v>
      </c>
      <c r="AL166" s="158"/>
    </row>
    <row r="167" spans="1:38" x14ac:dyDescent="0.2">
      <c r="A167" s="593" t="s">
        <v>194</v>
      </c>
      <c r="B167" s="52"/>
      <c r="C167" s="52"/>
      <c r="D167" s="541"/>
      <c r="E167" s="541"/>
      <c r="F167" s="541"/>
      <c r="G167" s="541"/>
      <c r="H167" s="541"/>
      <c r="I167" s="541"/>
      <c r="J167" s="541"/>
      <c r="K167" s="569">
        <f>K$70*$N$21</f>
        <v>1519.6824871055376</v>
      </c>
      <c r="L167" s="541"/>
      <c r="M167" s="541"/>
      <c r="N167" s="541"/>
      <c r="O167" s="211"/>
      <c r="P167" s="99"/>
      <c r="W167" s="565">
        <f>SUM(L157:W157)</f>
        <v>977.2738235071638</v>
      </c>
      <c r="AA167" s="211"/>
      <c r="AB167" s="99"/>
      <c r="AI167" s="565">
        <f>SUM(X157:AI157)</f>
        <v>572.08454549620456</v>
      </c>
      <c r="AL167" s="158"/>
    </row>
    <row r="168" spans="1:38" x14ac:dyDescent="0.2">
      <c r="A168" s="594" t="s">
        <v>195</v>
      </c>
      <c r="B168" s="70"/>
      <c r="C168" s="210"/>
      <c r="D168" s="541"/>
      <c r="E168" s="541"/>
      <c r="F168" s="541"/>
      <c r="G168" s="541"/>
      <c r="H168" s="541"/>
      <c r="I168" s="541"/>
      <c r="J168" s="541"/>
      <c r="K168" s="541"/>
      <c r="L168" s="570">
        <f>L$70*$O$21</f>
        <v>1496.3445231736941</v>
      </c>
      <c r="M168" s="541"/>
      <c r="N168" s="541"/>
      <c r="O168" s="211"/>
      <c r="P168" s="99"/>
      <c r="X168" s="566">
        <f>SUM(M157:X157)</f>
        <v>944.51085431551451</v>
      </c>
      <c r="AA168" s="211"/>
      <c r="AB168" s="99"/>
      <c r="AJ168" s="566">
        <f>SUM(Y157:AJ157)</f>
        <v>536.60226602009868</v>
      </c>
      <c r="AL168" s="158"/>
    </row>
    <row r="169" spans="1:38" x14ac:dyDescent="0.2">
      <c r="A169" s="595" t="s">
        <v>196</v>
      </c>
      <c r="B169" s="52"/>
      <c r="C169" s="52"/>
      <c r="D169" s="541"/>
      <c r="E169" s="541"/>
      <c r="F169" s="541"/>
      <c r="G169" s="541"/>
      <c r="H169" s="541"/>
      <c r="I169" s="541"/>
      <c r="J169" s="541"/>
      <c r="K169" s="541"/>
      <c r="L169" s="541"/>
      <c r="M169" s="572">
        <f>M$70*$O$21</f>
        <v>1589.8660558720501</v>
      </c>
      <c r="N169" s="541"/>
      <c r="O169" s="211"/>
      <c r="P169" s="99"/>
      <c r="Y169" s="571">
        <f>SUM(N157:Y157)</f>
        <v>911.74788512386499</v>
      </c>
      <c r="AA169" s="211"/>
      <c r="AB169" s="99"/>
      <c r="AK169" s="571">
        <f>SUM(Z157:AK157)</f>
        <v>501.11998654399281</v>
      </c>
      <c r="AL169" s="158"/>
    </row>
    <row r="170" spans="1:38" x14ac:dyDescent="0.2">
      <c r="A170" s="671" t="s">
        <v>197</v>
      </c>
      <c r="B170" s="70"/>
      <c r="C170" s="210"/>
      <c r="D170" s="541"/>
      <c r="E170" s="541"/>
      <c r="F170" s="541"/>
      <c r="G170" s="541"/>
      <c r="H170" s="541"/>
      <c r="I170" s="541"/>
      <c r="J170" s="541"/>
      <c r="K170" s="541"/>
      <c r="L170" s="541"/>
      <c r="M170" s="541"/>
      <c r="N170" s="573">
        <f>N$70*$O$21</f>
        <v>1683.387588570406</v>
      </c>
      <c r="O170" s="211"/>
      <c r="P170" s="99"/>
      <c r="Z170" s="574">
        <f>SUM(O157:Z157)</f>
        <v>878.98491593221559</v>
      </c>
      <c r="AA170" s="211"/>
      <c r="AB170" s="99"/>
      <c r="AL170" s="672">
        <f>SUM(AA157:AL157)</f>
        <v>465.63770706788699</v>
      </c>
    </row>
    <row r="171" spans="1:38" ht="13.5" thickBot="1" x14ac:dyDescent="0.25">
      <c r="A171" s="501"/>
      <c r="B171" s="627"/>
      <c r="C171" s="628"/>
      <c r="D171" s="629"/>
      <c r="E171" s="629"/>
      <c r="F171" s="629"/>
      <c r="G171" s="629"/>
      <c r="H171" s="629"/>
      <c r="I171" s="629"/>
      <c r="J171" s="629"/>
      <c r="K171" s="629"/>
      <c r="L171" s="629"/>
      <c r="M171" s="629"/>
      <c r="N171" s="629"/>
      <c r="O171" s="629"/>
      <c r="P171" s="629"/>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59"/>
    </row>
    <row r="172" spans="1:38" x14ac:dyDescent="0.2">
      <c r="A172" s="663" t="s">
        <v>234</v>
      </c>
      <c r="B172" s="653"/>
      <c r="C172" s="654"/>
      <c r="D172" s="655"/>
      <c r="E172" s="655"/>
      <c r="F172" s="655"/>
      <c r="G172" s="655"/>
      <c r="H172" s="655"/>
      <c r="I172" s="655"/>
      <c r="J172" s="655"/>
      <c r="K172" s="655"/>
      <c r="L172" s="655"/>
      <c r="M172" s="655"/>
      <c r="N172" s="655"/>
      <c r="O172" s="655"/>
      <c r="P172" s="655"/>
      <c r="Q172" s="656"/>
      <c r="R172" s="656"/>
      <c r="S172" s="656"/>
      <c r="T172" s="656"/>
      <c r="U172" s="656"/>
      <c r="V172" s="656"/>
      <c r="W172" s="656"/>
      <c r="X172" s="656"/>
      <c r="Y172" s="656"/>
      <c r="Z172" s="656"/>
      <c r="AA172" s="656"/>
      <c r="AB172" s="656"/>
      <c r="AC172" s="656"/>
      <c r="AD172" s="656"/>
      <c r="AE172" s="656"/>
      <c r="AF172" s="656"/>
      <c r="AG172" s="656"/>
      <c r="AH172" s="656"/>
      <c r="AI172" s="656"/>
      <c r="AJ172" s="656"/>
      <c r="AK172" s="656"/>
      <c r="AL172" s="664"/>
    </row>
    <row r="173" spans="1:38" x14ac:dyDescent="0.2">
      <c r="A173" s="665" t="s">
        <v>229</v>
      </c>
      <c r="B173" s="542">
        <f>B71+B89+B107</f>
        <v>25000</v>
      </c>
      <c r="C173" s="542">
        <f t="shared" ref="C173:AL173" si="305">C71+C89+C107</f>
        <v>25000</v>
      </c>
      <c r="D173" s="542">
        <f t="shared" si="305"/>
        <v>25000</v>
      </c>
      <c r="E173" s="542">
        <f t="shared" si="305"/>
        <v>25000</v>
      </c>
      <c r="F173" s="542">
        <f t="shared" si="305"/>
        <v>25000</v>
      </c>
      <c r="G173" s="542">
        <f t="shared" si="305"/>
        <v>25000</v>
      </c>
      <c r="H173" s="542">
        <f t="shared" si="305"/>
        <v>25000</v>
      </c>
      <c r="I173" s="542">
        <f t="shared" si="305"/>
        <v>25000</v>
      </c>
      <c r="J173" s="542">
        <f t="shared" si="305"/>
        <v>25000</v>
      </c>
      <c r="K173" s="542">
        <f t="shared" si="305"/>
        <v>25000</v>
      </c>
      <c r="L173" s="542">
        <f t="shared" si="305"/>
        <v>25000</v>
      </c>
      <c r="M173" s="542">
        <f t="shared" si="305"/>
        <v>25000</v>
      </c>
      <c r="N173" s="542">
        <f t="shared" si="305"/>
        <v>25000</v>
      </c>
      <c r="O173" s="542">
        <f t="shared" si="305"/>
        <v>21875</v>
      </c>
      <c r="P173" s="542">
        <f t="shared" si="305"/>
        <v>21875</v>
      </c>
      <c r="Q173" s="542">
        <f t="shared" si="305"/>
        <v>21875</v>
      </c>
      <c r="R173" s="542">
        <f t="shared" si="305"/>
        <v>21875</v>
      </c>
      <c r="S173" s="542">
        <f t="shared" si="305"/>
        <v>21875</v>
      </c>
      <c r="T173" s="542">
        <f t="shared" si="305"/>
        <v>21875</v>
      </c>
      <c r="U173" s="542">
        <f t="shared" si="305"/>
        <v>18750</v>
      </c>
      <c r="V173" s="542">
        <f t="shared" si="305"/>
        <v>18750</v>
      </c>
      <c r="W173" s="542">
        <f t="shared" si="305"/>
        <v>18750</v>
      </c>
      <c r="X173" s="542">
        <f t="shared" si="305"/>
        <v>18750</v>
      </c>
      <c r="Y173" s="542">
        <f t="shared" si="305"/>
        <v>18750</v>
      </c>
      <c r="Z173" s="542">
        <f t="shared" si="305"/>
        <v>18750</v>
      </c>
      <c r="AA173" s="542">
        <f t="shared" si="305"/>
        <v>15625</v>
      </c>
      <c r="AB173" s="542">
        <f t="shared" si="305"/>
        <v>15625</v>
      </c>
      <c r="AC173" s="542">
        <f t="shared" si="305"/>
        <v>15625</v>
      </c>
      <c r="AD173" s="542">
        <f t="shared" si="305"/>
        <v>15625</v>
      </c>
      <c r="AE173" s="542">
        <f t="shared" si="305"/>
        <v>15625</v>
      </c>
      <c r="AF173" s="542">
        <f t="shared" si="305"/>
        <v>15625</v>
      </c>
      <c r="AG173" s="542">
        <f t="shared" si="305"/>
        <v>12500</v>
      </c>
      <c r="AH173" s="542">
        <f t="shared" si="305"/>
        <v>12500</v>
      </c>
      <c r="AI173" s="542">
        <f t="shared" si="305"/>
        <v>12500</v>
      </c>
      <c r="AJ173" s="542">
        <f t="shared" si="305"/>
        <v>12500</v>
      </c>
      <c r="AK173" s="542">
        <f t="shared" si="305"/>
        <v>12500</v>
      </c>
      <c r="AL173" s="666">
        <f t="shared" si="305"/>
        <v>12500</v>
      </c>
    </row>
    <row r="174" spans="1:38" x14ac:dyDescent="0.2">
      <c r="A174" s="584" t="s">
        <v>205</v>
      </c>
      <c r="B174" s="542">
        <f>B72+B90+B108+B156</f>
        <v>2158.0393367569673</v>
      </c>
      <c r="C174" s="542">
        <f t="shared" ref="C174:AL174" si="306">C72+C90+C108+C156</f>
        <v>371.82325424044365</v>
      </c>
      <c r="D174" s="542">
        <f t="shared" si="306"/>
        <v>371.82325424044365</v>
      </c>
      <c r="E174" s="542">
        <f t="shared" si="306"/>
        <v>371.82325424044365</v>
      </c>
      <c r="F174" s="542">
        <f t="shared" si="306"/>
        <v>379.30940592900441</v>
      </c>
      <c r="G174" s="542">
        <f t="shared" si="306"/>
        <v>379.30940592900441</v>
      </c>
      <c r="H174" s="542">
        <f t="shared" si="306"/>
        <v>379.30940592900441</v>
      </c>
      <c r="I174" s="542">
        <f t="shared" si="306"/>
        <v>386.9462810230138</v>
      </c>
      <c r="J174" s="542">
        <f t="shared" si="306"/>
        <v>386.9462810230138</v>
      </c>
      <c r="K174" s="542">
        <f t="shared" si="306"/>
        <v>386.9462810230138</v>
      </c>
      <c r="L174" s="542">
        <f t="shared" si="306"/>
        <v>394.73691413169377</v>
      </c>
      <c r="M174" s="542">
        <f t="shared" si="306"/>
        <v>394.73691413169377</v>
      </c>
      <c r="N174" s="542">
        <f t="shared" si="306"/>
        <v>3519.736914131694</v>
      </c>
      <c r="O174" s="542">
        <f t="shared" si="306"/>
        <v>402.68440096196417</v>
      </c>
      <c r="P174" s="542">
        <f t="shared" si="306"/>
        <v>402.68440096196417</v>
      </c>
      <c r="Q174" s="542">
        <f t="shared" si="306"/>
        <v>402.68440096196417</v>
      </c>
      <c r="R174" s="542">
        <f t="shared" si="306"/>
        <v>410.79189954856162</v>
      </c>
      <c r="S174" s="542">
        <f t="shared" si="306"/>
        <v>410.79189954856162</v>
      </c>
      <c r="T174" s="542">
        <f t="shared" si="306"/>
        <v>3535.7918995485616</v>
      </c>
      <c r="U174" s="542">
        <f t="shared" si="306"/>
        <v>419.06263150892437</v>
      </c>
      <c r="V174" s="542">
        <f t="shared" si="306"/>
        <v>419.06263150892437</v>
      </c>
      <c r="W174" s="542">
        <f t="shared" si="306"/>
        <v>419.06263150892437</v>
      </c>
      <c r="X174" s="542">
        <f t="shared" si="306"/>
        <v>427.49988332334306</v>
      </c>
      <c r="Y174" s="542">
        <f t="shared" si="306"/>
        <v>427.49988332334306</v>
      </c>
      <c r="Z174" s="542">
        <f t="shared" si="306"/>
        <v>3552.4998833233431</v>
      </c>
      <c r="AA174" s="542">
        <f t="shared" si="306"/>
        <v>436.10700764088512</v>
      </c>
      <c r="AB174" s="542">
        <f t="shared" si="306"/>
        <v>436.10700764088512</v>
      </c>
      <c r="AC174" s="542">
        <f t="shared" si="306"/>
        <v>436.10700764088512</v>
      </c>
      <c r="AD174" s="542">
        <f t="shared" si="306"/>
        <v>444.88742461161274</v>
      </c>
      <c r="AE174" s="542">
        <f t="shared" si="306"/>
        <v>444.88742461161274</v>
      </c>
      <c r="AF174" s="542">
        <f t="shared" si="306"/>
        <v>3569.8874246116129</v>
      </c>
      <c r="AG174" s="542">
        <f t="shared" si="306"/>
        <v>453.8446232456227</v>
      </c>
      <c r="AH174" s="542">
        <f t="shared" si="306"/>
        <v>453.8446232456227</v>
      </c>
      <c r="AI174" s="542">
        <f t="shared" si="306"/>
        <v>453.8446232456227</v>
      </c>
      <c r="AJ174" s="542">
        <f t="shared" si="306"/>
        <v>462.98216279944887</v>
      </c>
      <c r="AK174" s="542">
        <f t="shared" si="306"/>
        <v>462.98216279944887</v>
      </c>
      <c r="AL174" s="666">
        <f t="shared" si="306"/>
        <v>3587.9821627994488</v>
      </c>
    </row>
    <row r="175" spans="1:38" x14ac:dyDescent="0.2">
      <c r="A175" s="667" t="s">
        <v>224</v>
      </c>
      <c r="B175" s="549">
        <f>B174</f>
        <v>2158.0393367569673</v>
      </c>
      <c r="C175" s="210"/>
      <c r="D175" s="211"/>
      <c r="E175" s="211"/>
      <c r="F175" s="211"/>
      <c r="G175" s="211"/>
      <c r="H175" s="211"/>
      <c r="I175" s="211"/>
      <c r="J175" s="211"/>
      <c r="K175" s="211"/>
      <c r="L175" s="211"/>
      <c r="M175" s="211"/>
      <c r="N175" s="549">
        <f>SUM(C$174:N$174)</f>
        <v>7723.4475659724676</v>
      </c>
      <c r="O175" s="211"/>
      <c r="P175" s="99"/>
      <c r="Z175" s="549">
        <f>SUM(O$174:Z$174)</f>
        <v>11230.11644602838</v>
      </c>
      <c r="AL175" s="158"/>
    </row>
    <row r="176" spans="1:38" x14ac:dyDescent="0.2">
      <c r="A176" s="586" t="s">
        <v>188</v>
      </c>
      <c r="B176" s="70"/>
      <c r="C176" s="551">
        <f>B174+C174</f>
        <v>2529.8625909974107</v>
      </c>
      <c r="D176" s="211"/>
      <c r="E176" s="211"/>
      <c r="F176" s="211"/>
      <c r="G176" s="211"/>
      <c r="H176" s="211"/>
      <c r="I176" s="211"/>
      <c r="J176" s="211"/>
      <c r="K176" s="211"/>
      <c r="L176" s="211"/>
      <c r="M176" s="211"/>
      <c r="O176" s="552">
        <f>SUM(D$174:O$174)</f>
        <v>7754.3087126939881</v>
      </c>
      <c r="P176" s="99"/>
      <c r="AA176" s="552">
        <f>SUM(P$174:AA$174)</f>
        <v>11263.539052707301</v>
      </c>
      <c r="AB176" s="99"/>
      <c r="AL176" s="158"/>
    </row>
    <row r="177" spans="1:41" x14ac:dyDescent="0.2">
      <c r="A177" s="587" t="s">
        <v>199</v>
      </c>
      <c r="B177" s="52"/>
      <c r="C177" s="52"/>
      <c r="D177" s="553">
        <f>B174+C174+D174</f>
        <v>2901.6858452378542</v>
      </c>
      <c r="E177" s="541"/>
      <c r="F177" s="541"/>
      <c r="G177" s="541"/>
      <c r="H177" s="541"/>
      <c r="I177" s="541"/>
      <c r="J177" s="541"/>
      <c r="K177" s="541"/>
      <c r="L177" s="541"/>
      <c r="M177" s="541"/>
      <c r="N177" s="541"/>
      <c r="O177" s="211"/>
      <c r="P177" s="554">
        <f>SUM(E$174:P$174)</f>
        <v>7785.1698594155087</v>
      </c>
      <c r="AA177" s="211"/>
      <c r="AB177" s="554">
        <f>SUM(Q$174:AB$174)</f>
        <v>11296.961659386223</v>
      </c>
      <c r="AL177" s="158"/>
    </row>
    <row r="178" spans="1:41" x14ac:dyDescent="0.2">
      <c r="A178" s="588" t="s">
        <v>198</v>
      </c>
      <c r="B178" s="70"/>
      <c r="C178" s="210"/>
      <c r="D178" s="541"/>
      <c r="E178" s="556">
        <f>SUM(B174:E174)</f>
        <v>3273.5090994782977</v>
      </c>
      <c r="F178" s="541"/>
      <c r="G178" s="541"/>
      <c r="H178" s="541"/>
      <c r="I178" s="541"/>
      <c r="J178" s="541"/>
      <c r="K178" s="541"/>
      <c r="L178" s="541"/>
      <c r="M178" s="541"/>
      <c r="N178" s="541"/>
      <c r="O178" s="211"/>
      <c r="P178" s="99"/>
      <c r="Q178" s="555">
        <f>SUM(F$174:Q$174)</f>
        <v>7816.0310061370301</v>
      </c>
      <c r="AA178" s="211"/>
      <c r="AB178" s="99"/>
      <c r="AC178" s="555">
        <f>SUM(R$174:AC$174)</f>
        <v>11330.384266065144</v>
      </c>
      <c r="AL178" s="158"/>
      <c r="AO178" t="s">
        <v>0</v>
      </c>
    </row>
    <row r="179" spans="1:41" x14ac:dyDescent="0.2">
      <c r="A179" s="589" t="s">
        <v>189</v>
      </c>
      <c r="B179" s="70"/>
      <c r="C179" s="210"/>
      <c r="D179" s="541"/>
      <c r="E179" s="541"/>
      <c r="F179" s="557">
        <f>SUM(B174:F174)</f>
        <v>3652.8185054073019</v>
      </c>
      <c r="G179" s="541"/>
      <c r="H179" s="541"/>
      <c r="I179" s="541"/>
      <c r="J179" s="541"/>
      <c r="K179" s="541"/>
      <c r="L179" s="541"/>
      <c r="M179" s="541"/>
      <c r="N179" s="541"/>
      <c r="O179" s="211"/>
      <c r="P179" s="99"/>
      <c r="R179" s="558">
        <f>SUM(G$174:R$174)</f>
        <v>7847.5134997565865</v>
      </c>
      <c r="AA179" s="211"/>
      <c r="AB179" s="99"/>
      <c r="AD179" s="558">
        <f>SUM(S$174:AD$174)</f>
        <v>11364.479791128193</v>
      </c>
      <c r="AL179" s="158"/>
    </row>
    <row r="180" spans="1:41" x14ac:dyDescent="0.2">
      <c r="A180" s="590" t="s">
        <v>190</v>
      </c>
      <c r="B180" s="52"/>
      <c r="C180" s="52"/>
      <c r="D180" s="541"/>
      <c r="E180" s="541"/>
      <c r="F180" s="541"/>
      <c r="G180" s="560">
        <f>SUM(B174:G174)</f>
        <v>4032.1279113363062</v>
      </c>
      <c r="H180" s="541"/>
      <c r="I180" s="541"/>
      <c r="J180" s="541"/>
      <c r="K180" s="541"/>
      <c r="L180" s="541"/>
      <c r="M180" s="541"/>
      <c r="N180" s="541"/>
      <c r="O180" s="211"/>
      <c r="P180" s="99"/>
      <c r="S180" s="559">
        <f>SUM(H$174:S$174)</f>
        <v>7878.9959933761438</v>
      </c>
      <c r="AA180" s="211"/>
      <c r="AB180" s="99"/>
      <c r="AE180" s="559">
        <f>SUM(T$174:AE$174)</f>
        <v>11398.575316191242</v>
      </c>
      <c r="AL180" s="158"/>
    </row>
    <row r="181" spans="1:41" x14ac:dyDescent="0.2">
      <c r="A181" s="590" t="s">
        <v>191</v>
      </c>
      <c r="B181" s="70"/>
      <c r="C181" s="210"/>
      <c r="D181" s="541"/>
      <c r="E181" s="541"/>
      <c r="F181" s="541"/>
      <c r="G181" s="541"/>
      <c r="H181" s="561">
        <f>SUM(B174:H174)</f>
        <v>4411.4373172653104</v>
      </c>
      <c r="I181" s="541"/>
      <c r="J181" s="541"/>
      <c r="K181" s="541"/>
      <c r="L181" s="541"/>
      <c r="M181" s="541"/>
      <c r="N181" s="541"/>
      <c r="O181" s="211"/>
      <c r="P181" s="99"/>
      <c r="T181" s="562">
        <f>SUM(I$174:T$174)</f>
        <v>11035.4784869957</v>
      </c>
      <c r="AA181" s="211"/>
      <c r="AB181" s="99"/>
      <c r="AF181" s="562">
        <f>SUM(U$174:AF$174)</f>
        <v>11432.670841254298</v>
      </c>
      <c r="AL181" s="158"/>
    </row>
    <row r="182" spans="1:41" x14ac:dyDescent="0.2">
      <c r="A182" s="591" t="s">
        <v>192</v>
      </c>
      <c r="B182" s="52"/>
      <c r="C182" s="52"/>
      <c r="D182" s="541"/>
      <c r="E182" s="541"/>
      <c r="F182" s="541"/>
      <c r="G182" s="541"/>
      <c r="H182" s="541"/>
      <c r="I182" s="567">
        <f>SUM(B174:I174)</f>
        <v>4798.3835982883238</v>
      </c>
      <c r="J182" s="541"/>
      <c r="K182" s="541"/>
      <c r="L182" s="541"/>
      <c r="M182" s="541"/>
      <c r="N182" s="541"/>
      <c r="O182" s="211"/>
      <c r="P182" s="99"/>
      <c r="U182" s="563">
        <f>SUM(J$174:U$174)</f>
        <v>11067.594837481611</v>
      </c>
      <c r="AA182" s="211"/>
      <c r="AB182" s="99"/>
      <c r="AG182" s="563">
        <f>SUM(V$174:AG$174)</f>
        <v>11467.452832990995</v>
      </c>
      <c r="AL182" s="158"/>
    </row>
    <row r="183" spans="1:41" x14ac:dyDescent="0.2">
      <c r="A183" s="592" t="s">
        <v>193</v>
      </c>
      <c r="B183" s="70"/>
      <c r="C183" s="210"/>
      <c r="D183" s="541"/>
      <c r="E183" s="541"/>
      <c r="F183" s="541"/>
      <c r="G183" s="541"/>
      <c r="H183" s="541"/>
      <c r="I183" s="541"/>
      <c r="J183" s="568">
        <f>SUM(B174:J174)</f>
        <v>5185.3298793113372</v>
      </c>
      <c r="K183" s="541"/>
      <c r="L183" s="541"/>
      <c r="M183" s="541"/>
      <c r="N183" s="541"/>
      <c r="O183" s="211"/>
      <c r="P183" s="99"/>
      <c r="V183" s="564">
        <f>SUM(K$174:V$174)</f>
        <v>11099.711187967523</v>
      </c>
      <c r="AA183" s="211"/>
      <c r="AB183" s="99"/>
      <c r="AH183" s="564">
        <f>SUM(W$174:AH$174)</f>
        <v>11502.234824727693</v>
      </c>
      <c r="AL183" s="158"/>
    </row>
    <row r="184" spans="1:41" x14ac:dyDescent="0.2">
      <c r="A184" s="593" t="s">
        <v>194</v>
      </c>
      <c r="B184" s="52"/>
      <c r="C184" s="52"/>
      <c r="D184" s="541"/>
      <c r="E184" s="541"/>
      <c r="F184" s="541"/>
      <c r="G184" s="541"/>
      <c r="H184" s="541"/>
      <c r="I184" s="541"/>
      <c r="J184" s="541"/>
      <c r="K184" s="569">
        <f>SUM(B174:K174)</f>
        <v>5572.2761603343506</v>
      </c>
      <c r="L184" s="541"/>
      <c r="M184" s="541"/>
      <c r="N184" s="541"/>
      <c r="O184" s="211"/>
      <c r="P184" s="99"/>
      <c r="W184" s="565">
        <f>SUM(L$174:W$174)</f>
        <v>11131.827538453435</v>
      </c>
      <c r="AA184" s="211"/>
      <c r="AB184" s="99"/>
      <c r="AI184" s="565">
        <f>SUM(X$174:AI$174)</f>
        <v>11537.016816464391</v>
      </c>
      <c r="AL184" s="158"/>
    </row>
    <row r="185" spans="1:41" x14ac:dyDescent="0.2">
      <c r="A185" s="594" t="s">
        <v>195</v>
      </c>
      <c r="B185" s="70"/>
      <c r="C185" s="210"/>
      <c r="D185" s="541"/>
      <c r="E185" s="541"/>
      <c r="F185" s="541"/>
      <c r="G185" s="541"/>
      <c r="H185" s="541"/>
      <c r="I185" s="541"/>
      <c r="J185" s="541"/>
      <c r="K185" s="541"/>
      <c r="L185" s="570">
        <f>SUM(B174:L174)</f>
        <v>5967.0130744660446</v>
      </c>
      <c r="M185" s="541"/>
      <c r="N185" s="541"/>
      <c r="O185" s="211"/>
      <c r="P185" s="99"/>
      <c r="X185" s="566">
        <f>SUM(M$174:X$174)</f>
        <v>11164.590507645084</v>
      </c>
      <c r="AA185" s="211"/>
      <c r="AB185" s="99"/>
      <c r="AJ185" s="566">
        <f>SUM(Y$174:AJ$174)</f>
        <v>11572.499095940497</v>
      </c>
      <c r="AL185" s="158"/>
    </row>
    <row r="186" spans="1:41" x14ac:dyDescent="0.2">
      <c r="A186" s="595" t="s">
        <v>196</v>
      </c>
      <c r="B186" s="52"/>
      <c r="C186" s="52"/>
      <c r="D186" s="541"/>
      <c r="E186" s="541"/>
      <c r="F186" s="541"/>
      <c r="G186" s="541"/>
      <c r="H186" s="541"/>
      <c r="I186" s="541"/>
      <c r="J186" s="541"/>
      <c r="K186" s="541"/>
      <c r="L186" s="541"/>
      <c r="M186" s="572">
        <f>SUM(B174:M174)</f>
        <v>6361.7499885977386</v>
      </c>
      <c r="N186" s="541"/>
      <c r="O186" s="211"/>
      <c r="P186" s="99"/>
      <c r="Y186" s="571">
        <f>SUM(N$174:Y$174)</f>
        <v>11197.353476836732</v>
      </c>
      <c r="AA186" s="211"/>
      <c r="AB186" s="99"/>
      <c r="AK186" s="571">
        <f>SUM(Z$174:AK$174)</f>
        <v>11607.981375416604</v>
      </c>
      <c r="AL186" s="158"/>
    </row>
    <row r="187" spans="1:41" ht="13.5" thickBot="1" x14ac:dyDescent="0.25">
      <c r="A187" s="596" t="s">
        <v>197</v>
      </c>
      <c r="B187" s="597"/>
      <c r="C187" s="213"/>
      <c r="D187" s="598"/>
      <c r="E187" s="598"/>
      <c r="F187" s="598"/>
      <c r="G187" s="598"/>
      <c r="H187" s="598"/>
      <c r="I187" s="598"/>
      <c r="J187" s="598"/>
      <c r="K187" s="598"/>
      <c r="L187" s="598"/>
      <c r="M187" s="598"/>
      <c r="N187" s="599">
        <f>SUM(B174:N174)</f>
        <v>9881.4869027294335</v>
      </c>
      <c r="O187" s="318"/>
      <c r="P187" s="600"/>
      <c r="Q187" s="166"/>
      <c r="R187" s="166"/>
      <c r="S187" s="166"/>
      <c r="T187" s="166"/>
      <c r="U187" s="166"/>
      <c r="V187" s="166"/>
      <c r="W187" s="166"/>
      <c r="X187" s="166"/>
      <c r="Y187" s="166"/>
      <c r="Z187" s="601">
        <f>SUM(O$174:Z$174)</f>
        <v>11230.11644602838</v>
      </c>
      <c r="AA187" s="318"/>
      <c r="AB187" s="600"/>
      <c r="AC187" s="166"/>
      <c r="AD187" s="166"/>
      <c r="AE187" s="166"/>
      <c r="AF187" s="166"/>
      <c r="AG187" s="166"/>
      <c r="AH187" s="166"/>
      <c r="AI187" s="166"/>
      <c r="AJ187" s="166"/>
      <c r="AK187" s="166"/>
      <c r="AL187" s="602">
        <f>SUM(AA$174:AL$174)</f>
        <v>11643.463654892708</v>
      </c>
    </row>
    <row r="188" spans="1:41" x14ac:dyDescent="0.2">
      <c r="A188" s="606" t="s">
        <v>223</v>
      </c>
      <c r="B188" s="549">
        <f>B76+B94+B112+B158</f>
        <v>1334.0113442233305</v>
      </c>
      <c r="C188" s="210"/>
      <c r="D188" s="211"/>
      <c r="E188" s="211"/>
      <c r="F188" s="211"/>
      <c r="G188" s="211"/>
      <c r="H188" s="211"/>
      <c r="I188" s="211"/>
      <c r="J188" s="211"/>
      <c r="K188" s="211"/>
      <c r="L188" s="211"/>
      <c r="M188" s="211"/>
      <c r="N188" s="549">
        <f>N76+N94+N112+N158</f>
        <v>2385.6537959881289</v>
      </c>
      <c r="O188" s="211"/>
      <c r="P188" s="99"/>
      <c r="Z188" s="549">
        <f>Z76+Z94+Z112+Z158</f>
        <v>1793.0474159322157</v>
      </c>
      <c r="AL188" s="158"/>
    </row>
    <row r="189" spans="1:41" x14ac:dyDescent="0.2">
      <c r="A189" s="586" t="s">
        <v>188</v>
      </c>
      <c r="B189" s="70"/>
      <c r="C189" s="551">
        <f>C77+C95+C113+C159</f>
        <v>1471.2963481272418</v>
      </c>
      <c r="D189" s="211"/>
      <c r="E189" s="211"/>
      <c r="F189" s="211"/>
      <c r="G189" s="211"/>
      <c r="H189" s="211"/>
      <c r="I189" s="211"/>
      <c r="J189" s="211"/>
      <c r="K189" s="211"/>
      <c r="L189" s="211"/>
      <c r="M189" s="211"/>
      <c r="O189" s="552">
        <f>O77+O95+O113+O159</f>
        <v>2343.0738992666084</v>
      </c>
      <c r="P189" s="99"/>
      <c r="AA189" s="552">
        <f>AA77+AA95+AA113+AA159</f>
        <v>1736.1873092532946</v>
      </c>
      <c r="AB189" s="99"/>
      <c r="AL189" s="158"/>
    </row>
    <row r="190" spans="1:41" x14ac:dyDescent="0.2">
      <c r="A190" s="587" t="s">
        <v>199</v>
      </c>
      <c r="B190" s="52"/>
      <c r="C190" s="52"/>
      <c r="D190" s="553">
        <f>D78+D96+D114+D160</f>
        <v>1681.4815407168478</v>
      </c>
      <c r="E190" s="541"/>
      <c r="F190" s="541"/>
      <c r="G190" s="541"/>
      <c r="H190" s="541"/>
      <c r="I190" s="541"/>
      <c r="J190" s="541"/>
      <c r="K190" s="541"/>
      <c r="L190" s="541"/>
      <c r="M190" s="541"/>
      <c r="N190" s="541"/>
      <c r="O190" s="211"/>
      <c r="P190" s="554">
        <f>P78+P96+P114+P160</f>
        <v>2300.4940025450878</v>
      </c>
      <c r="AA190" s="211"/>
      <c r="AB190" s="554">
        <f>AB78+AB96+AB114+AB160</f>
        <v>1679.3272025743736</v>
      </c>
      <c r="AL190" s="158"/>
    </row>
    <row r="191" spans="1:41" x14ac:dyDescent="0.2">
      <c r="A191" s="588" t="s">
        <v>198</v>
      </c>
      <c r="B191" s="70"/>
      <c r="C191" s="210"/>
      <c r="D191" s="541"/>
      <c r="E191" s="556">
        <f>E79+E97+E115+E161</f>
        <v>1891.6667333064538</v>
      </c>
      <c r="F191" s="541"/>
      <c r="G191" s="541"/>
      <c r="H191" s="541"/>
      <c r="I191" s="541"/>
      <c r="J191" s="541"/>
      <c r="K191" s="541"/>
      <c r="L191" s="541"/>
      <c r="M191" s="541"/>
      <c r="N191" s="541"/>
      <c r="O191" s="211"/>
      <c r="P191" s="99"/>
      <c r="Q191" s="555">
        <f>Q79+Q97+Q115+Q161</f>
        <v>2257.9141058235673</v>
      </c>
      <c r="AA191" s="211"/>
      <c r="AB191" s="99"/>
      <c r="AC191" s="555">
        <f>AC79+AC97+AC115+AC161</f>
        <v>1622.467095895453</v>
      </c>
      <c r="AL191" s="158"/>
      <c r="AO191" t="s">
        <v>0</v>
      </c>
    </row>
    <row r="192" spans="1:41" x14ac:dyDescent="0.2">
      <c r="A192" s="589" t="s">
        <v>189</v>
      </c>
      <c r="B192" s="70"/>
      <c r="C192" s="210"/>
      <c r="D192" s="541"/>
      <c r="E192" s="541"/>
      <c r="F192" s="557">
        <f>F80+F98+F116+F162</f>
        <v>2026.9904090104526</v>
      </c>
      <c r="G192" s="541"/>
      <c r="H192" s="541"/>
      <c r="I192" s="541"/>
      <c r="J192" s="541"/>
      <c r="K192" s="541"/>
      <c r="L192" s="541"/>
      <c r="M192" s="541"/>
      <c r="N192" s="541"/>
      <c r="O192" s="211"/>
      <c r="P192" s="99"/>
      <c r="R192" s="558">
        <f>R80+R98+R116+R162</f>
        <v>2214.71286220401</v>
      </c>
      <c r="AA192" s="211"/>
      <c r="AB192" s="99"/>
      <c r="AD192" s="558">
        <f>AD80+AD98+AD116+AD162</f>
        <v>1564.9340708324019</v>
      </c>
      <c r="AL192" s="158"/>
    </row>
    <row r="193" spans="1:38" x14ac:dyDescent="0.2">
      <c r="A193" s="590" t="s">
        <v>190</v>
      </c>
      <c r="B193" s="52"/>
      <c r="C193" s="52"/>
      <c r="D193" s="541"/>
      <c r="E193" s="541"/>
      <c r="F193" s="541"/>
      <c r="G193" s="560">
        <f>G81+G99+G117+G163</f>
        <v>2229.6894499114978</v>
      </c>
      <c r="H193" s="541"/>
      <c r="I193" s="541"/>
      <c r="J193" s="541"/>
      <c r="K193" s="541"/>
      <c r="L193" s="541"/>
      <c r="M193" s="541"/>
      <c r="N193" s="541"/>
      <c r="O193" s="211"/>
      <c r="P193" s="99"/>
      <c r="S193" s="559">
        <f>S81+S99+S117+S163</f>
        <v>2171.5116185844527</v>
      </c>
      <c r="AA193" s="211"/>
      <c r="AB193" s="99"/>
      <c r="AE193" s="559">
        <f>AE81+AE99+AE117+AE163</f>
        <v>1507.4010457693507</v>
      </c>
      <c r="AL193" s="158"/>
    </row>
    <row r="194" spans="1:38" x14ac:dyDescent="0.2">
      <c r="A194" s="590" t="s">
        <v>191</v>
      </c>
      <c r="B194" s="70"/>
      <c r="C194" s="210"/>
      <c r="D194" s="541"/>
      <c r="E194" s="541"/>
      <c r="F194" s="541"/>
      <c r="G194" s="541"/>
      <c r="H194" s="561">
        <f>H82+H100+H118+H164</f>
        <v>2432.3884908125428</v>
      </c>
      <c r="I194" s="541"/>
      <c r="J194" s="541"/>
      <c r="K194" s="541"/>
      <c r="L194" s="541"/>
      <c r="M194" s="541"/>
      <c r="N194" s="541"/>
      <c r="O194" s="211"/>
      <c r="P194" s="99"/>
      <c r="T194" s="562">
        <f>T82+T100+T118+T164</f>
        <v>2128.3103749648953</v>
      </c>
      <c r="AA194" s="211"/>
      <c r="AB194" s="99"/>
      <c r="AF194" s="562">
        <f>AF82+AF100+AF118+AF164</f>
        <v>1449.8680207062998</v>
      </c>
      <c r="AL194" s="158"/>
    </row>
    <row r="195" spans="1:38" x14ac:dyDescent="0.2">
      <c r="A195" s="591" t="s">
        <v>192</v>
      </c>
      <c r="B195" s="52"/>
      <c r="C195" s="52"/>
      <c r="D195" s="541"/>
      <c r="E195" s="541"/>
      <c r="F195" s="541"/>
      <c r="G195" s="541"/>
      <c r="H195" s="541"/>
      <c r="I195" s="567">
        <f>I83+I101+I119+I165</f>
        <v>2535.8081554914661</v>
      </c>
      <c r="J195" s="541"/>
      <c r="K195" s="541"/>
      <c r="L195" s="541"/>
      <c r="M195" s="541"/>
      <c r="N195" s="541"/>
      <c r="O195" s="211"/>
      <c r="P195" s="99"/>
      <c r="U195" s="563">
        <f>U83+U101+U119+U165</f>
        <v>2072.7565244789848</v>
      </c>
      <c r="AA195" s="211"/>
      <c r="AB195" s="99"/>
      <c r="AG195" s="563">
        <f>AG83+AG101+AG119+AG165</f>
        <v>1391.6485289696013</v>
      </c>
      <c r="AL195" s="158"/>
    </row>
    <row r="196" spans="1:38" x14ac:dyDescent="0.2">
      <c r="A196" s="592" t="s">
        <v>193</v>
      </c>
      <c r="B196" s="70"/>
      <c r="C196" s="210"/>
      <c r="D196" s="541"/>
      <c r="E196" s="541"/>
      <c r="F196" s="541"/>
      <c r="G196" s="541"/>
      <c r="H196" s="541"/>
      <c r="I196" s="541"/>
      <c r="J196" s="568">
        <f>J84+J102+J120+J166</f>
        <v>2730.8703212985019</v>
      </c>
      <c r="K196" s="541"/>
      <c r="L196" s="541"/>
      <c r="M196" s="541"/>
      <c r="N196" s="541"/>
      <c r="O196" s="211"/>
      <c r="P196" s="99"/>
      <c r="V196" s="564">
        <f>V84+V102+V120+V166</f>
        <v>2017.2026739930743</v>
      </c>
      <c r="AA196" s="211"/>
      <c r="AB196" s="99"/>
      <c r="AG196">
        <f>AG84+AG102+AG120+AG166</f>
        <v>0</v>
      </c>
      <c r="AH196" s="564">
        <f>AH84+AH102+AH120+AH166</f>
        <v>1333.4290372329028</v>
      </c>
      <c r="AL196" s="158"/>
    </row>
    <row r="197" spans="1:38" x14ac:dyDescent="0.2">
      <c r="A197" s="593" t="s">
        <v>194</v>
      </c>
      <c r="B197" s="52"/>
      <c r="C197" s="52"/>
      <c r="D197" s="541"/>
      <c r="E197" s="541"/>
      <c r="F197" s="541"/>
      <c r="G197" s="541"/>
      <c r="H197" s="541"/>
      <c r="I197" s="541"/>
      <c r="J197" s="541"/>
      <c r="K197" s="569">
        <f>K85+K103+K121+K167</f>
        <v>2925.9324871055378</v>
      </c>
      <c r="L197" s="541"/>
      <c r="M197" s="541"/>
      <c r="N197" s="541"/>
      <c r="O197" s="211"/>
      <c r="P197" s="99"/>
      <c r="W197" s="565">
        <f>W85+W103+W121+W167</f>
        <v>1961.6488235071638</v>
      </c>
      <c r="AA197" s="211"/>
      <c r="AB197" s="99"/>
      <c r="AI197" s="565">
        <f>AI85+AI103+AI121+AI167</f>
        <v>1275.2095454962046</v>
      </c>
      <c r="AL197" s="158"/>
    </row>
    <row r="198" spans="1:38" x14ac:dyDescent="0.2">
      <c r="A198" s="594" t="s">
        <v>195</v>
      </c>
      <c r="B198" s="70"/>
      <c r="C198" s="210"/>
      <c r="D198" s="541"/>
      <c r="E198" s="541"/>
      <c r="F198" s="541"/>
      <c r="G198" s="541"/>
      <c r="H198" s="541"/>
      <c r="I198" s="541"/>
      <c r="J198" s="541"/>
      <c r="K198" s="541"/>
      <c r="L198" s="570">
        <f>L86+L104+L122+L168</f>
        <v>2996.3445231736941</v>
      </c>
      <c r="M198" s="541"/>
      <c r="N198" s="541"/>
      <c r="O198" s="211"/>
      <c r="P198" s="99"/>
      <c r="X198" s="566">
        <f>X86+X104+X122+X168</f>
        <v>1905.4483543155145</v>
      </c>
      <c r="AA198" s="211"/>
      <c r="AB198" s="99"/>
      <c r="AJ198" s="566">
        <f>AJ86+AJ104+AJ122+AJ168</f>
        <v>1216.2897660200988</v>
      </c>
      <c r="AL198" s="158"/>
    </row>
    <row r="199" spans="1:38" x14ac:dyDescent="0.2">
      <c r="A199" s="595" t="s">
        <v>196</v>
      </c>
      <c r="B199" s="52"/>
      <c r="C199" s="52"/>
      <c r="D199" s="541"/>
      <c r="E199" s="541"/>
      <c r="F199" s="541"/>
      <c r="G199" s="541"/>
      <c r="H199" s="541"/>
      <c r="I199" s="541"/>
      <c r="J199" s="541"/>
      <c r="K199" s="541"/>
      <c r="L199" s="541"/>
      <c r="M199" s="572">
        <f>M87+M105+M123+M169</f>
        <v>3183.6160558720503</v>
      </c>
      <c r="N199" s="541"/>
      <c r="O199" s="211"/>
      <c r="P199" s="99"/>
      <c r="Y199" s="571">
        <f>Y87+Y105+Y123+Y169</f>
        <v>1849.247885123865</v>
      </c>
      <c r="AA199" s="211"/>
      <c r="AB199" s="99"/>
      <c r="AK199" s="571">
        <f>AK87+AK105+AK123+AK169</f>
        <v>1157.3699865439928</v>
      </c>
      <c r="AL199" s="158"/>
    </row>
    <row r="200" spans="1:38" ht="13.5" thickBot="1" x14ac:dyDescent="0.25">
      <c r="A200" s="596" t="s">
        <v>197</v>
      </c>
      <c r="B200" s="597"/>
      <c r="C200" s="213"/>
      <c r="D200" s="598"/>
      <c r="E200" s="598"/>
      <c r="F200" s="598"/>
      <c r="G200" s="598"/>
      <c r="H200" s="598"/>
      <c r="I200" s="598"/>
      <c r="J200" s="598"/>
      <c r="K200" s="598"/>
      <c r="L200" s="598"/>
      <c r="M200" s="598"/>
      <c r="N200" s="599">
        <f>N88+N106+N124+N170</f>
        <v>3370.887588570406</v>
      </c>
      <c r="O200" s="318"/>
      <c r="P200" s="600"/>
      <c r="Q200" s="166"/>
      <c r="R200" s="166"/>
      <c r="S200" s="166"/>
      <c r="T200" s="166"/>
      <c r="U200" s="166"/>
      <c r="V200" s="166"/>
      <c r="W200" s="166"/>
      <c r="X200" s="166"/>
      <c r="Y200" s="166"/>
      <c r="Z200" s="601">
        <f>Z88+Z106+Z124+Z170</f>
        <v>1793.0474159322157</v>
      </c>
      <c r="AA200" s="318"/>
      <c r="AB200" s="600"/>
      <c r="AC200" s="166"/>
      <c r="AD200" s="166"/>
      <c r="AE200" s="166"/>
      <c r="AF200" s="166"/>
      <c r="AG200" s="166"/>
      <c r="AH200" s="166"/>
      <c r="AI200" s="166"/>
      <c r="AJ200" s="166"/>
      <c r="AK200" s="166"/>
      <c r="AL200" s="602">
        <f>AL88+AL106+AL124+AL170</f>
        <v>1098.450207067887</v>
      </c>
    </row>
    <row r="201" spans="1:38" x14ac:dyDescent="0.2">
      <c r="B201" s="222"/>
      <c r="C201" s="233"/>
      <c r="D201" s="7"/>
      <c r="E201" s="7"/>
      <c r="F201" s="7"/>
      <c r="G201" s="7"/>
      <c r="H201" s="7"/>
      <c r="I201" s="7"/>
      <c r="J201" s="7"/>
      <c r="K201" s="7"/>
      <c r="L201" s="7"/>
      <c r="M201" s="7"/>
      <c r="N201" s="7"/>
      <c r="O201" s="7"/>
      <c r="P201" s="7"/>
      <c r="AL201" t="s">
        <v>222</v>
      </c>
    </row>
    <row r="202" spans="1:38" x14ac:dyDescent="0.2">
      <c r="B202" s="222"/>
      <c r="C202" s="222"/>
      <c r="D202" s="99"/>
      <c r="E202" s="99"/>
      <c r="F202" s="99"/>
      <c r="G202" s="99"/>
      <c r="H202" s="99"/>
      <c r="I202" s="99"/>
      <c r="J202" s="99"/>
      <c r="K202" s="99"/>
      <c r="L202" s="99"/>
      <c r="M202" s="99"/>
      <c r="N202" s="99"/>
      <c r="O202" s="99"/>
      <c r="P202" s="99"/>
    </row>
    <row r="203" spans="1:38" x14ac:dyDescent="0.2">
      <c r="B203" s="222"/>
      <c r="C203" s="233"/>
      <c r="D203" s="7"/>
      <c r="E203" s="7"/>
      <c r="F203" s="7"/>
      <c r="G203" s="7"/>
      <c r="H203" s="7"/>
      <c r="I203" s="7"/>
      <c r="J203" s="7"/>
      <c r="K203" s="7"/>
      <c r="L203" s="7"/>
      <c r="M203" s="7"/>
      <c r="N203" s="7"/>
      <c r="O203" s="7"/>
      <c r="P203" s="7"/>
    </row>
    <row r="204" spans="1:38" x14ac:dyDescent="0.2">
      <c r="B204" s="222"/>
      <c r="C204" s="222"/>
      <c r="D204" s="99"/>
      <c r="E204" s="99"/>
      <c r="F204" s="99"/>
      <c r="G204" s="99"/>
      <c r="H204" s="99"/>
      <c r="I204" s="99"/>
      <c r="J204" s="99"/>
      <c r="K204" s="99"/>
      <c r="L204" s="99"/>
      <c r="M204" s="99"/>
      <c r="N204" s="99"/>
      <c r="O204" s="99"/>
      <c r="P204" s="99"/>
    </row>
    <row r="205" spans="1:38" x14ac:dyDescent="0.2">
      <c r="B205" s="222"/>
      <c r="C205" s="233"/>
      <c r="D205" s="7"/>
      <c r="E205" s="7"/>
      <c r="F205" s="7"/>
      <c r="G205" s="7"/>
      <c r="H205" s="7"/>
      <c r="I205" s="7"/>
      <c r="J205" s="7"/>
      <c r="K205" s="7"/>
      <c r="L205" s="7"/>
      <c r="M205" s="7"/>
      <c r="N205" s="7"/>
      <c r="O205" s="7"/>
      <c r="P205" s="7"/>
    </row>
    <row r="206" spans="1:38" x14ac:dyDescent="0.2">
      <c r="B206" s="222"/>
      <c r="C206" s="222"/>
      <c r="D206" s="99"/>
      <c r="E206" s="99"/>
      <c r="F206" s="99"/>
      <c r="G206" s="99"/>
      <c r="H206" s="99"/>
      <c r="I206" s="99"/>
      <c r="J206" s="99"/>
      <c r="K206" s="99"/>
      <c r="L206" s="99"/>
      <c r="M206" s="99"/>
      <c r="N206" s="99"/>
      <c r="O206" s="99"/>
      <c r="P206" s="99"/>
    </row>
    <row r="207" spans="1:38" x14ac:dyDescent="0.2">
      <c r="B207" s="222"/>
      <c r="C207" s="233"/>
      <c r="D207" s="7"/>
      <c r="E207" s="7"/>
      <c r="F207" s="7"/>
      <c r="G207" s="7"/>
      <c r="H207" s="7"/>
      <c r="I207" s="7"/>
      <c r="J207" s="7"/>
      <c r="K207" s="7"/>
      <c r="L207" s="7"/>
      <c r="M207" s="7"/>
      <c r="N207" s="7"/>
      <c r="O207" s="7"/>
      <c r="P207" s="7"/>
    </row>
    <row r="208" spans="1:38" x14ac:dyDescent="0.2">
      <c r="B208" s="222"/>
      <c r="C208" s="222"/>
      <c r="D208" s="99"/>
      <c r="E208" s="99"/>
      <c r="F208" s="99"/>
      <c r="G208" s="99"/>
      <c r="H208" s="99"/>
      <c r="I208" s="99"/>
      <c r="J208" s="99"/>
      <c r="K208" s="99"/>
      <c r="L208" s="99"/>
      <c r="M208" s="99"/>
      <c r="N208" s="99"/>
      <c r="O208" s="99"/>
      <c r="P208" s="99"/>
    </row>
    <row r="209" spans="2:16" x14ac:dyDescent="0.2">
      <c r="B209" s="222"/>
      <c r="C209" s="233"/>
      <c r="D209" s="7"/>
      <c r="E209" s="7"/>
      <c r="F209" s="7"/>
      <c r="G209" s="7"/>
      <c r="H209" s="7"/>
      <c r="I209" s="7"/>
      <c r="J209" s="7"/>
      <c r="K209" s="7"/>
      <c r="L209" s="7"/>
      <c r="M209" s="7"/>
      <c r="N209" s="7"/>
      <c r="O209" s="7"/>
      <c r="P209" s="7"/>
    </row>
    <row r="210" spans="2:16" x14ac:dyDescent="0.2">
      <c r="B210" s="222"/>
      <c r="C210" s="222"/>
      <c r="D210" s="99"/>
      <c r="E210" s="99"/>
      <c r="F210" s="99"/>
      <c r="G210" s="99"/>
      <c r="H210" s="99"/>
      <c r="I210" s="99"/>
      <c r="J210" s="99"/>
      <c r="K210" s="99"/>
      <c r="L210" s="99"/>
      <c r="M210" s="99"/>
      <c r="N210" s="99"/>
      <c r="O210" s="99"/>
      <c r="P210" s="99"/>
    </row>
    <row r="211" spans="2:16" x14ac:dyDescent="0.2">
      <c r="B211" s="222"/>
      <c r="C211" s="233"/>
      <c r="D211" s="7"/>
      <c r="E211" s="7"/>
      <c r="F211" s="7"/>
      <c r="G211" s="7"/>
      <c r="H211" s="7"/>
      <c r="I211" s="7"/>
      <c r="J211" s="7"/>
      <c r="K211" s="7"/>
      <c r="L211" s="7"/>
      <c r="M211" s="7"/>
      <c r="N211" s="7"/>
      <c r="O211" s="7"/>
      <c r="P211" s="7"/>
    </row>
    <row r="212" spans="2:16" x14ac:dyDescent="0.2">
      <c r="B212" s="222"/>
      <c r="C212" s="222"/>
      <c r="D212" s="99"/>
      <c r="E212" s="99"/>
      <c r="F212" s="99"/>
      <c r="G212" s="99"/>
      <c r="H212" s="99"/>
      <c r="I212" s="99"/>
      <c r="J212" s="99"/>
      <c r="K212" s="99"/>
      <c r="L212" s="99"/>
      <c r="M212" s="99"/>
      <c r="N212" s="99"/>
      <c r="O212" s="99"/>
      <c r="P212" s="99"/>
    </row>
    <row r="213" spans="2:16" x14ac:dyDescent="0.2">
      <c r="B213" s="222"/>
      <c r="C213" s="233"/>
      <c r="D213" s="7"/>
      <c r="E213" s="7"/>
      <c r="F213" s="7"/>
      <c r="G213" s="7"/>
      <c r="H213" s="7"/>
      <c r="I213" s="7"/>
      <c r="J213" s="7"/>
      <c r="K213" s="7"/>
      <c r="L213" s="7"/>
      <c r="M213" s="7"/>
      <c r="N213" s="7"/>
      <c r="O213" s="7"/>
      <c r="P213" s="7"/>
    </row>
    <row r="214" spans="2:16" x14ac:dyDescent="0.2">
      <c r="B214" s="70"/>
      <c r="C214" s="52"/>
      <c r="D214" s="98"/>
      <c r="E214" s="98"/>
      <c r="F214" s="98"/>
      <c r="G214" s="98"/>
      <c r="H214" s="98"/>
      <c r="I214" s="98"/>
      <c r="J214" s="98"/>
      <c r="K214" s="98"/>
      <c r="L214" s="98"/>
      <c r="M214" s="98"/>
      <c r="N214" s="98"/>
      <c r="O214" s="98"/>
      <c r="P214" s="98"/>
    </row>
    <row r="215" spans="2:16" x14ac:dyDescent="0.2">
      <c r="B215" s="52"/>
      <c r="C215" s="52"/>
      <c r="D215" s="52"/>
      <c r="E215" s="52"/>
      <c r="F215" s="52"/>
      <c r="G215" s="52"/>
      <c r="H215" s="52"/>
      <c r="I215" s="52"/>
      <c r="J215" s="52"/>
      <c r="K215" s="52"/>
      <c r="L215" s="52"/>
      <c r="M215" s="52"/>
      <c r="N215" s="52"/>
      <c r="O215" s="52"/>
      <c r="P215" s="52"/>
    </row>
    <row r="216" spans="2:16" x14ac:dyDescent="0.2">
      <c r="B216" s="222"/>
      <c r="C216" s="52"/>
      <c r="D216" s="52"/>
      <c r="E216" s="7"/>
      <c r="F216" s="7"/>
      <c r="G216" s="7"/>
      <c r="H216" s="7"/>
      <c r="I216" s="7"/>
      <c r="J216" s="7"/>
      <c r="K216" s="7"/>
      <c r="L216" s="7"/>
      <c r="M216" s="7"/>
      <c r="N216" s="7"/>
      <c r="O216" s="7"/>
      <c r="P216" s="52"/>
    </row>
  </sheetData>
  <sheetProtection algorithmName="SHA-512" hashValue="hYRpG0Qd7Zz4d/VsnkT2NRkFgpLU7SQe26AQhs0dOzWShAvf54nOaM4Sb+gzuDzoH8E8gYwYESZjwH42uQQN0g==" saltValue="Jl2yVcXHzGZZbTJDueADPQ==" spinCount="100000" sheet="1" objects="1" scenarios="1" selectLockedCells="1" selectUnlockedCells="1"/>
  <mergeCells count="4">
    <mergeCell ref="G13:I13"/>
    <mergeCell ref="C22:E22"/>
    <mergeCell ref="G31:I31"/>
    <mergeCell ref="G22:I22"/>
  </mergeCells>
  <pageMargins left="0.7" right="0.7" top="0.75" bottom="0.75" header="0.3" footer="0.3"/>
  <pageSetup paperSize="9" orientation="portrait" verticalDpi="4"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J170"/>
  <sheetViews>
    <sheetView showGridLines="0" showZeros="0" defaultGridColor="0" colorId="55" zoomScaleNormal="100" workbookViewId="0">
      <selection activeCell="E78" sqref="E78"/>
    </sheetView>
  </sheetViews>
  <sheetFormatPr defaultRowHeight="12.75" x14ac:dyDescent="0.2"/>
  <cols>
    <col min="1" max="1" width="5.7109375" customWidth="1"/>
    <col min="2" max="2" width="2.7109375" customWidth="1"/>
    <col min="3" max="3" width="26.28515625" customWidth="1"/>
    <col min="4" max="4" width="7.5703125" customWidth="1"/>
    <col min="5" max="5" width="10" customWidth="1"/>
    <col min="6" max="6" width="10.85546875" customWidth="1"/>
    <col min="7" max="7" width="5.140625" customWidth="1"/>
    <col min="8" max="8" width="6.7109375" customWidth="1"/>
    <col min="9" max="9" width="4.85546875" customWidth="1"/>
    <col min="10" max="10" width="5.140625" customWidth="1"/>
    <col min="11" max="11" width="10.85546875" customWidth="1"/>
    <col min="12" max="12" width="5.140625" customWidth="1"/>
    <col min="13" max="13" width="2.5703125" customWidth="1"/>
    <col min="14" max="21" width="9.7109375" customWidth="1"/>
    <col min="22" max="22" width="9.7109375" style="1217" customWidth="1"/>
    <col min="23" max="23" width="9.7109375" style="753" customWidth="1"/>
    <col min="24" max="24" width="9.7109375" customWidth="1"/>
    <col min="37" max="37" width="10.28515625" bestFit="1" customWidth="1"/>
    <col min="38" max="38" width="12.5703125" customWidth="1"/>
    <col min="39" max="40" width="9.7109375" bestFit="1" customWidth="1"/>
  </cols>
  <sheetData>
    <row r="2" spans="2:28" ht="15" customHeight="1" x14ac:dyDescent="0.2">
      <c r="B2" s="1685" t="s">
        <v>244</v>
      </c>
      <c r="C2" s="1686"/>
      <c r="D2" s="1686"/>
      <c r="E2" s="1686"/>
      <c r="F2" s="1686"/>
      <c r="G2" s="1686"/>
      <c r="H2" s="1686"/>
      <c r="I2" s="1686"/>
      <c r="J2" s="1686"/>
      <c r="K2" s="1686"/>
      <c r="L2" s="1686"/>
      <c r="N2" s="1759" t="s">
        <v>247</v>
      </c>
      <c r="O2" s="1759"/>
      <c r="Q2" s="1759" t="s">
        <v>248</v>
      </c>
      <c r="R2" s="1759"/>
      <c r="S2" s="1759"/>
    </row>
    <row r="3" spans="2:28" ht="15" customHeight="1" x14ac:dyDescent="0.2"/>
    <row r="4" spans="2:28" ht="15" customHeight="1" x14ac:dyDescent="0.2">
      <c r="B4" s="1797" t="s">
        <v>368</v>
      </c>
      <c r="C4" s="1797"/>
      <c r="D4" s="1797"/>
      <c r="E4" s="1797"/>
      <c r="F4" s="1797"/>
      <c r="G4" s="1797"/>
      <c r="H4" s="1797"/>
      <c r="I4" s="1797"/>
      <c r="J4" s="1797"/>
      <c r="K4" s="1797"/>
      <c r="L4" s="1797"/>
      <c r="AB4" s="300"/>
    </row>
    <row r="5" spans="2:28" ht="12" customHeight="1" x14ac:dyDescent="0.2">
      <c r="B5" s="107" t="str">
        <f>'K1 Kostnader'!C5</f>
        <v>Tjänsten erbjuds av:</v>
      </c>
    </row>
    <row r="6" spans="2:28" ht="12" customHeight="1" x14ac:dyDescent="0.2">
      <c r="B6" s="759" t="str">
        <f>Startsidan!G35</f>
        <v xml:space="preserve">Karlebynejdens Utveckling Ab
</v>
      </c>
      <c r="C6" s="760"/>
      <c r="D6" s="760"/>
      <c r="E6" s="760"/>
      <c r="F6" s="760"/>
      <c r="G6" s="52"/>
      <c r="H6" s="52"/>
      <c r="I6" s="52"/>
      <c r="J6" s="52"/>
      <c r="K6" s="1800"/>
      <c r="L6" s="1800"/>
    </row>
    <row r="7" spans="2:28" ht="12" customHeight="1" x14ac:dyDescent="0.2">
      <c r="B7" s="518"/>
      <c r="C7" s="300"/>
      <c r="D7" s="300"/>
      <c r="E7" s="300"/>
      <c r="F7" s="300"/>
      <c r="G7" s="52"/>
      <c r="H7" s="52"/>
      <c r="I7" s="52"/>
      <c r="J7" s="52"/>
      <c r="K7" s="519"/>
      <c r="L7" s="519"/>
    </row>
    <row r="8" spans="2:28" ht="12" customHeight="1" x14ac:dyDescent="0.2">
      <c r="B8" s="963" t="s">
        <v>246</v>
      </c>
      <c r="C8" s="305"/>
      <c r="D8" s="437"/>
      <c r="E8" s="53"/>
      <c r="F8" s="78" t="s">
        <v>366</v>
      </c>
      <c r="G8" s="304"/>
      <c r="H8" s="305"/>
      <c r="I8" s="305"/>
      <c r="J8" s="305"/>
      <c r="K8" s="78" t="s">
        <v>367</v>
      </c>
    </row>
    <row r="9" spans="2:28" ht="13.5" customHeight="1" x14ac:dyDescent="0.2">
      <c r="B9" s="1727" t="str">
        <f>'K1 Kostnader'!C9</f>
        <v>Lunchrestaurang Ab</v>
      </c>
      <c r="C9" s="1727"/>
      <c r="D9" s="1727"/>
      <c r="E9" s="1728"/>
      <c r="F9" s="1744">
        <v>0</v>
      </c>
      <c r="G9" s="1745"/>
      <c r="H9" s="1745"/>
      <c r="I9" s="1745"/>
      <c r="J9" s="1746"/>
      <c r="K9" s="1732">
        <v>0</v>
      </c>
      <c r="L9" s="1733"/>
    </row>
    <row r="10" spans="2:28" ht="6" customHeight="1" x14ac:dyDescent="0.2">
      <c r="N10" s="1772"/>
      <c r="O10" s="1772"/>
      <c r="P10" s="1330"/>
      <c r="Q10" s="1330"/>
      <c r="R10" s="1330"/>
      <c r="S10" s="1330"/>
      <c r="T10" s="1330"/>
      <c r="U10" s="1330"/>
      <c r="V10" s="1330"/>
      <c r="W10" s="1330"/>
      <c r="X10" s="1330"/>
    </row>
    <row r="11" spans="2:28" ht="13.5" customHeight="1" x14ac:dyDescent="0.2">
      <c r="B11" s="52"/>
      <c r="G11" s="1706"/>
      <c r="H11" s="1706"/>
      <c r="I11" s="1706"/>
      <c r="J11" s="1706"/>
      <c r="K11" s="1706"/>
      <c r="L11" s="1706"/>
      <c r="N11" s="1773" t="str">
        <f>B9</f>
        <v>Lunchrestaurang Ab</v>
      </c>
      <c r="O11" s="1773"/>
      <c r="P11" s="1773"/>
      <c r="Q11" s="1773"/>
      <c r="R11" s="1773"/>
      <c r="S11" s="1773"/>
      <c r="T11" s="1330"/>
      <c r="U11" s="1330"/>
      <c r="V11" s="1330"/>
      <c r="W11" s="1330"/>
      <c r="X11" s="1330"/>
    </row>
    <row r="12" spans="2:28" ht="6" customHeight="1" x14ac:dyDescent="0.2">
      <c r="B12" s="52"/>
      <c r="C12" s="6"/>
      <c r="D12" s="6"/>
      <c r="E12" s="6"/>
      <c r="N12" s="1774"/>
      <c r="O12" s="1774"/>
      <c r="P12" s="1774"/>
      <c r="Q12" s="1774"/>
      <c r="R12" s="1774"/>
      <c r="S12" s="1774"/>
      <c r="T12" s="1330"/>
      <c r="U12" s="1330"/>
      <c r="V12" s="1330"/>
      <c r="W12" s="1330"/>
      <c r="X12" s="1330"/>
    </row>
    <row r="13" spans="2:28" ht="12.75" customHeight="1" x14ac:dyDescent="0.2">
      <c r="B13" s="1747" t="s">
        <v>369</v>
      </c>
      <c r="C13" s="1748"/>
      <c r="D13" s="1748"/>
      <c r="E13" s="1748"/>
      <c r="F13" s="1748"/>
      <c r="G13" s="1748"/>
      <c r="H13" s="1748"/>
      <c r="I13" s="1748"/>
      <c r="J13" s="1748"/>
      <c r="K13" s="1748"/>
      <c r="L13" s="1749"/>
      <c r="M13" s="754"/>
      <c r="N13" s="1330"/>
      <c r="O13" s="1330"/>
      <c r="P13" s="1330"/>
      <c r="Q13" s="1330"/>
      <c r="R13" s="1330"/>
      <c r="S13" s="1330"/>
      <c r="T13" s="1330"/>
      <c r="U13" s="1330"/>
      <c r="V13" s="1330"/>
      <c r="W13" s="1330"/>
      <c r="X13" s="1330"/>
    </row>
    <row r="14" spans="2:28" ht="9" customHeight="1" x14ac:dyDescent="0.2">
      <c r="B14" s="1750"/>
      <c r="C14" s="1751"/>
      <c r="D14" s="1751"/>
      <c r="E14" s="1751"/>
      <c r="F14" s="1751"/>
      <c r="G14" s="1751"/>
      <c r="H14" s="1751"/>
      <c r="I14" s="1751"/>
      <c r="J14" s="1751"/>
      <c r="K14" s="1751"/>
      <c r="L14" s="1752"/>
      <c r="M14" s="754"/>
      <c r="N14" s="1312"/>
      <c r="O14" s="1312"/>
      <c r="P14" s="1312"/>
      <c r="Q14" s="1312"/>
      <c r="R14" s="1312"/>
      <c r="S14" s="1312"/>
      <c r="T14" s="1312"/>
      <c r="U14" s="1312"/>
      <c r="V14" s="1312"/>
      <c r="W14" s="1312"/>
      <c r="X14" s="1312"/>
    </row>
    <row r="15" spans="2:28" ht="15" customHeight="1" x14ac:dyDescent="0.2">
      <c r="B15" s="1845" t="s">
        <v>370</v>
      </c>
      <c r="C15" s="1846"/>
      <c r="D15" s="1219"/>
      <c r="E15" s="1220" t="s">
        <v>371</v>
      </c>
      <c r="F15" s="1847" t="s">
        <v>814</v>
      </c>
      <c r="G15" s="1848"/>
      <c r="H15" s="1848"/>
      <c r="I15" s="1848"/>
      <c r="J15" s="1849"/>
      <c r="K15" s="1740" t="s">
        <v>371</v>
      </c>
      <c r="L15" s="1741"/>
      <c r="M15" s="754"/>
      <c r="N15" s="1302" t="s">
        <v>351</v>
      </c>
      <c r="O15" s="132"/>
      <c r="P15" s="132"/>
      <c r="Q15" s="132"/>
      <c r="R15" s="132"/>
      <c r="S15" s="132"/>
      <c r="T15" s="132"/>
      <c r="U15" s="132"/>
      <c r="V15" s="132"/>
      <c r="W15" s="132"/>
      <c r="X15" s="133"/>
    </row>
    <row r="16" spans="2:28" x14ac:dyDescent="0.2">
      <c r="B16" s="1753" t="s">
        <v>372</v>
      </c>
      <c r="C16" s="1754"/>
      <c r="D16" s="499" t="s">
        <v>373</v>
      </c>
      <c r="E16" s="891">
        <f>E17+E18+E19</f>
        <v>0</v>
      </c>
      <c r="F16" s="637" t="s">
        <v>641</v>
      </c>
      <c r="G16" s="63"/>
      <c r="H16" s="160"/>
      <c r="I16" s="162"/>
      <c r="J16" s="161"/>
      <c r="K16" s="1755">
        <f>SUM(K18:K20)</f>
        <v>25000</v>
      </c>
      <c r="L16" s="1756"/>
      <c r="N16" s="746"/>
      <c r="O16" s="1284"/>
      <c r="P16" s="1284"/>
      <c r="Q16" s="1284"/>
      <c r="R16" s="1284"/>
      <c r="S16" s="1284"/>
      <c r="T16" s="1284"/>
      <c r="U16" s="1284"/>
      <c r="V16" s="1284"/>
      <c r="W16" s="1284"/>
      <c r="X16" s="1285"/>
    </row>
    <row r="17" spans="1:24" x14ac:dyDescent="0.2">
      <c r="B17" s="1715" t="s">
        <v>845</v>
      </c>
      <c r="C17" s="1716"/>
      <c r="D17" s="268">
        <v>0</v>
      </c>
      <c r="E17" s="892">
        <v>0</v>
      </c>
      <c r="F17" s="1742" t="s">
        <v>378</v>
      </c>
      <c r="G17" s="1743"/>
      <c r="H17" s="638" t="s">
        <v>379</v>
      </c>
      <c r="I17" s="1734" t="s">
        <v>380</v>
      </c>
      <c r="J17" s="1735"/>
      <c r="K17" s="1737" t="s">
        <v>381</v>
      </c>
      <c r="L17" s="1738"/>
      <c r="N17" s="746"/>
      <c r="O17" s="1284"/>
      <c r="P17" s="1284"/>
      <c r="Q17" s="1284"/>
      <c r="R17" s="1284"/>
      <c r="S17" s="1284"/>
      <c r="T17" s="1284"/>
      <c r="U17" s="1284"/>
      <c r="V17" s="1284"/>
      <c r="W17" s="1284"/>
      <c r="X17" s="1285"/>
    </row>
    <row r="18" spans="1:24" x14ac:dyDescent="0.2">
      <c r="B18" s="1712" t="s">
        <v>612</v>
      </c>
      <c r="C18" s="1713"/>
      <c r="D18" s="268">
        <v>0</v>
      </c>
      <c r="E18" s="892">
        <v>0</v>
      </c>
      <c r="F18" s="1736" t="s">
        <v>618</v>
      </c>
      <c r="G18" s="1736"/>
      <c r="H18" s="896">
        <v>0</v>
      </c>
      <c r="I18" s="897">
        <v>0</v>
      </c>
      <c r="J18" s="1381">
        <v>0</v>
      </c>
      <c r="K18" s="1739">
        <v>0</v>
      </c>
      <c r="L18" s="1739"/>
      <c r="N18" s="746"/>
      <c r="O18" s="1284"/>
      <c r="P18" s="1284"/>
      <c r="Q18" s="1284"/>
      <c r="R18" s="1284"/>
      <c r="S18" s="1284"/>
      <c r="T18" s="1284"/>
      <c r="U18" s="1284"/>
      <c r="V18" s="1284"/>
      <c r="W18" s="1284"/>
      <c r="X18" s="1285"/>
    </row>
    <row r="19" spans="1:24" x14ac:dyDescent="0.2">
      <c r="A19" s="168"/>
      <c r="B19" s="1712" t="s">
        <v>613</v>
      </c>
      <c r="C19" s="1713"/>
      <c r="D19" s="268">
        <v>0</v>
      </c>
      <c r="E19" s="892">
        <v>0</v>
      </c>
      <c r="F19" s="1818" t="s">
        <v>619</v>
      </c>
      <c r="G19" s="1818"/>
      <c r="H19" s="896">
        <v>4.4999999999999998E-2</v>
      </c>
      <c r="I19" s="897">
        <v>1</v>
      </c>
      <c r="J19" s="1381">
        <v>5</v>
      </c>
      <c r="K19" s="1725">
        <v>25000</v>
      </c>
      <c r="L19" s="1726"/>
      <c r="N19" s="746"/>
      <c r="O19" s="1284"/>
      <c r="P19" s="1284"/>
      <c r="Q19" s="1284"/>
      <c r="R19" s="1284"/>
      <c r="S19" s="1284"/>
      <c r="T19" s="1284"/>
      <c r="U19" s="1284"/>
      <c r="V19" s="1284"/>
      <c r="W19" s="1284"/>
      <c r="X19" s="1285"/>
    </row>
    <row r="20" spans="1:24" x14ac:dyDescent="0.2">
      <c r="B20" s="1717" t="s">
        <v>482</v>
      </c>
      <c r="C20" s="1719"/>
      <c r="D20" s="499" t="s">
        <v>373</v>
      </c>
      <c r="E20" s="891">
        <f>SUM(E21:E26)</f>
        <v>38600</v>
      </c>
      <c r="F20" s="1818" t="s">
        <v>0</v>
      </c>
      <c r="G20" s="1818"/>
      <c r="H20" s="896">
        <v>0</v>
      </c>
      <c r="I20" s="897">
        <v>0</v>
      </c>
      <c r="J20" s="1381">
        <v>0</v>
      </c>
      <c r="K20" s="1725">
        <v>0</v>
      </c>
      <c r="L20" s="1726"/>
      <c r="M20">
        <v>0</v>
      </c>
      <c r="N20" s="746"/>
      <c r="O20" s="1336">
        <v>0</v>
      </c>
      <c r="P20" s="1284"/>
      <c r="Q20" s="1284"/>
      <c r="R20" s="1284"/>
      <c r="S20" s="1284"/>
      <c r="T20" s="1284"/>
      <c r="U20" s="1284"/>
      <c r="V20" s="1284"/>
      <c r="W20" s="1284"/>
      <c r="X20" s="1285"/>
    </row>
    <row r="21" spans="1:24" x14ac:dyDescent="0.2">
      <c r="A21" s="168"/>
      <c r="B21" s="1722" t="s">
        <v>872</v>
      </c>
      <c r="C21" s="1724"/>
      <c r="D21" s="268">
        <v>0</v>
      </c>
      <c r="E21" s="892">
        <v>20000</v>
      </c>
      <c r="F21" s="1717" t="s">
        <v>642</v>
      </c>
      <c r="G21" s="1719"/>
      <c r="H21" s="896">
        <v>0</v>
      </c>
      <c r="I21" s="1725">
        <v>0</v>
      </c>
      <c r="J21" s="1726"/>
      <c r="K21" s="1725">
        <v>0</v>
      </c>
      <c r="L21" s="1726"/>
      <c r="N21" s="746"/>
      <c r="O21" s="1284"/>
      <c r="P21" s="1284"/>
      <c r="Q21" s="1284"/>
      <c r="R21" s="1284"/>
      <c r="S21" s="1284"/>
      <c r="T21" s="1284"/>
      <c r="U21" s="1284"/>
      <c r="V21" s="1284"/>
      <c r="W21" s="1284"/>
      <c r="X21" s="1285"/>
    </row>
    <row r="22" spans="1:24" x14ac:dyDescent="0.2">
      <c r="A22" s="2"/>
      <c r="B22" s="1722" t="s">
        <v>868</v>
      </c>
      <c r="C22" s="1724"/>
      <c r="D22" s="268">
        <v>0</v>
      </c>
      <c r="E22" s="892">
        <v>10000</v>
      </c>
      <c r="F22" s="1781" t="s">
        <v>643</v>
      </c>
      <c r="G22" s="1782"/>
      <c r="H22" s="896">
        <v>0.08</v>
      </c>
      <c r="I22" s="1725">
        <v>4</v>
      </c>
      <c r="J22" s="1726"/>
      <c r="K22" s="1725">
        <v>20000</v>
      </c>
      <c r="L22" s="1726"/>
      <c r="N22" s="746"/>
      <c r="O22" s="1284"/>
      <c r="P22" s="1284"/>
      <c r="Q22" s="1284"/>
      <c r="R22" s="1284"/>
      <c r="S22" s="1284"/>
      <c r="T22" s="1284"/>
      <c r="U22" s="1284"/>
      <c r="V22" s="1284"/>
      <c r="W22" s="1284"/>
      <c r="X22" s="1285"/>
    </row>
    <row r="23" spans="1:24" x14ac:dyDescent="0.2">
      <c r="A23" s="168"/>
      <c r="B23" s="1722" t="s">
        <v>869</v>
      </c>
      <c r="C23" s="1724"/>
      <c r="D23" s="268">
        <v>0</v>
      </c>
      <c r="E23" s="892">
        <v>5000</v>
      </c>
      <c r="F23" s="1717" t="s">
        <v>644</v>
      </c>
      <c r="G23" s="1718"/>
      <c r="H23" s="1718"/>
      <c r="I23" s="1718"/>
      <c r="J23" s="1719"/>
      <c r="K23" s="1714">
        <f>SUM(K24:K26)</f>
        <v>0</v>
      </c>
      <c r="L23" s="1714"/>
      <c r="N23" s="746"/>
      <c r="O23" s="1284"/>
      <c r="P23" s="1284"/>
      <c r="Q23" s="1284"/>
      <c r="R23" s="1284"/>
      <c r="S23" s="1284"/>
      <c r="T23" s="1284"/>
      <c r="U23" s="1284"/>
      <c r="V23" s="1284"/>
      <c r="W23" s="1284"/>
      <c r="X23" s="1285"/>
    </row>
    <row r="24" spans="1:24" x14ac:dyDescent="0.2">
      <c r="B24" s="1221" t="s">
        <v>374</v>
      </c>
      <c r="C24" s="748"/>
      <c r="D24" s="291"/>
      <c r="E24" s="269">
        <v>0</v>
      </c>
      <c r="F24" s="1723" t="s">
        <v>635</v>
      </c>
      <c r="G24" s="1723"/>
      <c r="H24" s="1723"/>
      <c r="I24" s="1723"/>
      <c r="J24" s="1724"/>
      <c r="K24" s="1757">
        <f>IF('Kauppa AT lainat ja avustukset'!E53&lt;0,0,'Kauppa AT lainat ja avustukset'!E53)</f>
        <v>0</v>
      </c>
      <c r="L24" s="1758"/>
      <c r="N24" s="746"/>
      <c r="O24" s="1284"/>
      <c r="P24" s="1284"/>
      <c r="Q24" s="1284"/>
      <c r="R24" s="1284"/>
      <c r="S24" s="1284"/>
      <c r="T24" s="1284"/>
      <c r="U24" s="1284"/>
      <c r="V24" s="1284"/>
      <c r="W24" s="1284"/>
      <c r="X24" s="1285"/>
    </row>
    <row r="25" spans="1:24" x14ac:dyDescent="0.2">
      <c r="A25" s="168"/>
      <c r="B25" s="1712" t="s">
        <v>375</v>
      </c>
      <c r="C25" s="1713"/>
      <c r="D25" s="291"/>
      <c r="E25" s="892">
        <v>3600</v>
      </c>
      <c r="F25" s="1832" t="s">
        <v>622</v>
      </c>
      <c r="G25" s="1833"/>
      <c r="H25" s="1833"/>
      <c r="I25" s="1833"/>
      <c r="J25" s="1834"/>
      <c r="K25" s="1739">
        <v>0</v>
      </c>
      <c r="L25" s="1739"/>
      <c r="N25" s="746"/>
      <c r="O25" s="1284"/>
      <c r="P25" s="1284"/>
      <c r="Q25" s="1284"/>
      <c r="R25" s="1284"/>
      <c r="S25" s="1284"/>
      <c r="T25" s="1284"/>
      <c r="U25" s="1284"/>
      <c r="V25" s="1284"/>
      <c r="W25" s="1284"/>
      <c r="X25" s="1285"/>
    </row>
    <row r="26" spans="1:24" x14ac:dyDescent="0.2">
      <c r="B26" s="1712" t="s">
        <v>404</v>
      </c>
      <c r="C26" s="1713"/>
      <c r="D26" s="268">
        <v>0</v>
      </c>
      <c r="E26" s="1206">
        <v>0</v>
      </c>
      <c r="F26" s="1729" t="s">
        <v>636</v>
      </c>
      <c r="G26" s="1730"/>
      <c r="H26" s="1730"/>
      <c r="I26" s="1730"/>
      <c r="J26" s="1731"/>
      <c r="K26" s="1739">
        <v>0</v>
      </c>
      <c r="L26" s="1739"/>
      <c r="N26" s="746"/>
      <c r="O26" s="1284"/>
      <c r="P26" s="1826">
        <v>0</v>
      </c>
      <c r="Q26" s="1826"/>
      <c r="R26" s="1284"/>
      <c r="S26" s="1284"/>
      <c r="T26" s="1284"/>
      <c r="U26" s="1284"/>
      <c r="V26" s="1284"/>
      <c r="W26" s="1284"/>
      <c r="X26" s="1285"/>
    </row>
    <row r="27" spans="1:24" x14ac:dyDescent="0.2">
      <c r="A27" s="168"/>
      <c r="B27" s="1717" t="s">
        <v>616</v>
      </c>
      <c r="C27" s="1837"/>
      <c r="D27" s="1838"/>
      <c r="E27" s="1208">
        <f>E28+E29</f>
        <v>9000</v>
      </c>
      <c r="F27" s="1844" t="s">
        <v>645</v>
      </c>
      <c r="G27" s="1844"/>
      <c r="H27" s="1844"/>
      <c r="I27" s="1844"/>
      <c r="J27" s="1844"/>
      <c r="K27" s="1714">
        <f>IF((E19+E20+E27-E26-K21-E24)*0.19355&lt;0,0,(E19+E20+E27-E26-K21-E24)*0.19355)</f>
        <v>9212.98</v>
      </c>
      <c r="L27" s="1714"/>
      <c r="N27" s="746"/>
      <c r="O27" s="1284"/>
      <c r="P27" s="1284"/>
      <c r="Q27" s="1284"/>
      <c r="R27" s="1284"/>
      <c r="S27" s="1284"/>
      <c r="T27" s="1284"/>
      <c r="U27" s="1284"/>
      <c r="V27" s="1284"/>
      <c r="W27" s="1284"/>
      <c r="X27" s="1285"/>
    </row>
    <row r="28" spans="1:24" x14ac:dyDescent="0.2">
      <c r="A28" s="2"/>
      <c r="B28" s="1722" t="s">
        <v>874</v>
      </c>
      <c r="C28" s="1723"/>
      <c r="D28" s="1724"/>
      <c r="E28" s="1206">
        <v>3500</v>
      </c>
      <c r="F28" s="1844" t="s">
        <v>646</v>
      </c>
      <c r="G28" s="1844"/>
      <c r="H28" s="1844"/>
      <c r="I28" s="1844"/>
      <c r="J28" s="1844"/>
      <c r="K28" s="1714">
        <f>SUM(K29:K32)</f>
        <v>5000</v>
      </c>
      <c r="L28" s="1714"/>
      <c r="N28" s="746"/>
      <c r="O28" s="1284"/>
      <c r="P28" s="1284"/>
      <c r="Q28" s="1284"/>
      <c r="R28" s="1284"/>
      <c r="S28" s="1284"/>
      <c r="T28" s="1284"/>
      <c r="U28" s="1284"/>
      <c r="V28" s="1284"/>
      <c r="W28" s="1284"/>
      <c r="X28" s="1285"/>
    </row>
    <row r="29" spans="1:24" x14ac:dyDescent="0.2">
      <c r="B29" s="1722" t="s">
        <v>873</v>
      </c>
      <c r="C29" s="1723"/>
      <c r="D29" s="1724"/>
      <c r="E29" s="1206">
        <v>5500</v>
      </c>
      <c r="F29" s="1791" t="s">
        <v>382</v>
      </c>
      <c r="G29" s="1792"/>
      <c r="H29" s="1792"/>
      <c r="I29" s="1792"/>
      <c r="J29" s="1793"/>
      <c r="K29" s="1739">
        <v>5000</v>
      </c>
      <c r="L29" s="1739"/>
      <c r="N29" s="746"/>
      <c r="O29" s="1284"/>
      <c r="P29" s="1284"/>
      <c r="Q29" s="1284"/>
      <c r="R29" s="1284"/>
      <c r="S29" s="1284"/>
      <c r="T29" s="1284"/>
      <c r="U29" s="1284"/>
      <c r="V29" s="1284"/>
      <c r="W29" s="1284"/>
      <c r="X29" s="1285"/>
    </row>
    <row r="30" spans="1:24" x14ac:dyDescent="0.2">
      <c r="B30" s="1717" t="s">
        <v>638</v>
      </c>
      <c r="C30" s="1718"/>
      <c r="D30" s="1719"/>
      <c r="E30" s="1206">
        <v>0</v>
      </c>
      <c r="F30" s="1729" t="s">
        <v>484</v>
      </c>
      <c r="G30" s="1730"/>
      <c r="H30" s="1730"/>
      <c r="I30" s="1730"/>
      <c r="J30" s="1731"/>
      <c r="K30" s="1739">
        <v>0</v>
      </c>
      <c r="L30" s="1739"/>
      <c r="N30" s="1337"/>
      <c r="O30" s="856"/>
      <c r="P30" s="856"/>
      <c r="Q30" s="856"/>
      <c r="R30" s="1284"/>
      <c r="S30" s="1284"/>
      <c r="T30" s="1284"/>
      <c r="U30" s="1284"/>
      <c r="V30" s="1284"/>
      <c r="W30" s="1284"/>
      <c r="X30" s="1285"/>
    </row>
    <row r="31" spans="1:24" x14ac:dyDescent="0.2">
      <c r="B31" s="637" t="s">
        <v>639</v>
      </c>
      <c r="C31" s="747"/>
      <c r="D31" s="1207"/>
      <c r="E31" s="893">
        <v>0</v>
      </c>
      <c r="F31" s="1729"/>
      <c r="G31" s="1730"/>
      <c r="H31" s="1730"/>
      <c r="I31" s="1730"/>
      <c r="J31" s="1731"/>
      <c r="K31" s="1739">
        <v>0</v>
      </c>
      <c r="L31" s="1739"/>
      <c r="N31" s="1337"/>
      <c r="O31" s="856"/>
      <c r="P31" s="856"/>
      <c r="Q31" s="856"/>
      <c r="R31" s="1284"/>
      <c r="S31" s="1284"/>
      <c r="T31" s="1284"/>
      <c r="U31" s="1284"/>
      <c r="V31" s="1284"/>
      <c r="W31" s="1284"/>
      <c r="X31" s="1285"/>
    </row>
    <row r="32" spans="1:24" x14ac:dyDescent="0.2">
      <c r="B32" s="1717" t="s">
        <v>655</v>
      </c>
      <c r="C32" s="1718"/>
      <c r="D32" s="1719"/>
      <c r="E32" s="893">
        <v>11613</v>
      </c>
      <c r="F32" s="1729"/>
      <c r="G32" s="1730"/>
      <c r="H32" s="1730"/>
      <c r="I32" s="1730"/>
      <c r="J32" s="1731"/>
      <c r="K32" s="1739">
        <v>0</v>
      </c>
      <c r="L32" s="1739"/>
      <c r="N32" s="1337"/>
      <c r="O32" s="856"/>
      <c r="P32" s="856"/>
      <c r="Q32" s="856"/>
      <c r="R32" s="1284"/>
      <c r="S32" s="1284"/>
      <c r="T32" s="1284"/>
      <c r="U32" s="1284"/>
      <c r="V32" s="1284"/>
      <c r="W32" s="1284"/>
      <c r="X32" s="1285"/>
    </row>
    <row r="33" spans="1:24" x14ac:dyDescent="0.2">
      <c r="B33" s="8"/>
      <c r="C33" s="1720" t="s">
        <v>376</v>
      </c>
      <c r="D33" s="1721"/>
      <c r="E33" s="832">
        <f>E16+E20+E27+E31+E32+E30</f>
        <v>59213</v>
      </c>
      <c r="F33" s="1798"/>
      <c r="G33" s="1799"/>
      <c r="H33" s="1835" t="s">
        <v>376</v>
      </c>
      <c r="I33" s="1835"/>
      <c r="J33" s="1836"/>
      <c r="K33" s="1777">
        <f>K16+K21+K23+K27+K28+K22</f>
        <v>59212.979999999996</v>
      </c>
      <c r="L33" s="1778"/>
      <c r="N33" s="1337"/>
      <c r="O33" s="856"/>
      <c r="P33" s="856"/>
      <c r="Q33" s="856"/>
      <c r="R33" s="1284"/>
      <c r="S33" s="1284"/>
      <c r="T33" s="1284"/>
      <c r="U33" s="1284"/>
      <c r="V33" s="1284"/>
      <c r="W33" s="1284"/>
      <c r="X33" s="1285"/>
    </row>
    <row r="34" spans="1:24" ht="3.75" customHeight="1" x14ac:dyDescent="0.2">
      <c r="B34" s="8"/>
      <c r="C34" s="306"/>
      <c r="D34" s="306"/>
      <c r="E34" s="894"/>
      <c r="F34" s="306"/>
      <c r="G34" s="306"/>
      <c r="H34" s="306"/>
      <c r="I34" s="306"/>
      <c r="J34" s="64"/>
      <c r="K34" s="894"/>
      <c r="L34" s="428"/>
      <c r="N34" s="1338"/>
      <c r="O34" s="1287"/>
      <c r="P34" s="1287"/>
      <c r="Q34" s="1287"/>
      <c r="R34" s="1287"/>
      <c r="S34" s="1287"/>
      <c r="T34" s="1287"/>
      <c r="U34" s="1287"/>
      <c r="V34" s="1287"/>
      <c r="W34" s="1287"/>
      <c r="X34" s="1292"/>
    </row>
    <row r="35" spans="1:24" ht="12.75" customHeight="1" x14ac:dyDescent="0.2">
      <c r="B35" s="1790" t="s">
        <v>621</v>
      </c>
      <c r="C35" s="1790"/>
      <c r="D35" s="1828"/>
      <c r="E35" s="895">
        <f>ROUND(E33-K33,0)</f>
        <v>0</v>
      </c>
      <c r="F35" s="1790" t="s">
        <v>483</v>
      </c>
      <c r="G35" s="1790"/>
      <c r="H35" s="1790"/>
      <c r="I35" s="1790"/>
      <c r="J35" s="1790"/>
      <c r="K35" s="1831">
        <f>K23+K27</f>
        <v>9212.98</v>
      </c>
      <c r="L35" s="1831"/>
      <c r="N35" s="1340"/>
      <c r="O35" s="1339"/>
      <c r="P35" s="1284"/>
      <c r="Q35" s="1284"/>
      <c r="R35" s="1284"/>
      <c r="S35" s="1284"/>
      <c r="T35" s="1284"/>
      <c r="U35" s="1284"/>
      <c r="V35" s="1284"/>
      <c r="W35" s="1284"/>
      <c r="X35" s="1285"/>
    </row>
    <row r="36" spans="1:24" ht="15.75" customHeight="1" x14ac:dyDescent="0.2">
      <c r="B36" s="52"/>
      <c r="C36" s="380" t="str">
        <f>IF( E35&lt;&gt;0,"FÖRSÄKRA, att FINANSIERINGSBEHOV-FINANSIERING = 0!","")</f>
        <v/>
      </c>
      <c r="E36" s="6"/>
      <c r="G36" s="94"/>
      <c r="H36" s="94"/>
      <c r="I36" s="94"/>
      <c r="J36" s="94"/>
      <c r="K36" s="95"/>
      <c r="N36" s="746"/>
      <c r="O36" s="1284"/>
      <c r="P36" s="1284"/>
      <c r="Q36" s="1284"/>
      <c r="R36" s="1284"/>
      <c r="S36" s="1284"/>
      <c r="T36" s="1284"/>
      <c r="U36" s="1284"/>
      <c r="V36" s="1284"/>
      <c r="W36" s="1284"/>
      <c r="X36" s="1285"/>
    </row>
    <row r="37" spans="1:24" ht="13.5" customHeight="1" x14ac:dyDescent="0.2">
      <c r="B37" s="1222" t="s">
        <v>0</v>
      </c>
      <c r="C37" s="1829" t="s">
        <v>383</v>
      </c>
      <c r="D37" s="1223"/>
      <c r="E37" s="1223"/>
      <c r="F37" s="1779" t="s">
        <v>354</v>
      </c>
      <c r="G37" s="1780"/>
      <c r="H37" s="1779" t="s">
        <v>355</v>
      </c>
      <c r="I37" s="1819"/>
      <c r="J37" s="1780"/>
      <c r="K37" s="1819" t="s">
        <v>356</v>
      </c>
      <c r="L37" s="1780"/>
      <c r="M37" s="754"/>
      <c r="N37" s="746"/>
      <c r="O37" s="1284"/>
      <c r="P37" s="1284"/>
      <c r="Q37" s="1284"/>
      <c r="R37" s="1284"/>
      <c r="S37" s="1284"/>
      <c r="T37" s="1284"/>
      <c r="U37" s="1284"/>
      <c r="V37" s="1284"/>
      <c r="W37" s="1284"/>
      <c r="X37" s="1285"/>
    </row>
    <row r="38" spans="1:24" x14ac:dyDescent="0.2">
      <c r="B38" s="1224" t="s">
        <v>0</v>
      </c>
      <c r="C38" s="1830"/>
      <c r="D38" s="1225"/>
      <c r="E38" s="1225"/>
      <c r="F38" s="1824">
        <f>'K1 Kostnader'!F12</f>
        <v>2023</v>
      </c>
      <c r="G38" s="1825"/>
      <c r="H38" s="1794">
        <f>'K1 Kostnader'!G12</f>
        <v>2024</v>
      </c>
      <c r="I38" s="1795"/>
      <c r="J38" s="1796"/>
      <c r="K38" s="1795">
        <f>'K1 Kostnader'!H12</f>
        <v>2025</v>
      </c>
      <c r="L38" s="1796"/>
      <c r="M38" s="754"/>
      <c r="N38" s="746"/>
      <c r="O38" s="1284"/>
      <c r="P38" s="1284"/>
      <c r="Q38" s="1284"/>
      <c r="R38" s="1284"/>
      <c r="S38" s="1284"/>
      <c r="T38" s="1284"/>
      <c r="U38" s="1284"/>
      <c r="V38" s="1284"/>
      <c r="W38" s="1284"/>
      <c r="X38" s="1285"/>
    </row>
    <row r="39" spans="1:24" x14ac:dyDescent="0.2">
      <c r="B39" s="1227"/>
      <c r="C39" s="647" t="s">
        <v>384</v>
      </c>
      <c r="D39" s="648"/>
      <c r="E39" s="648"/>
      <c r="F39" s="1783">
        <f>'K1 Kostnader'!F13</f>
        <v>12</v>
      </c>
      <c r="G39" s="1784"/>
      <c r="H39" s="1841">
        <f>'K1 Kostnader'!G13</f>
        <v>12</v>
      </c>
      <c r="I39" s="1839"/>
      <c r="J39" s="1840"/>
      <c r="K39" s="1839">
        <f>'K1 Kostnader'!H13</f>
        <v>12</v>
      </c>
      <c r="L39" s="1840"/>
      <c r="M39" s="754"/>
      <c r="N39" s="746"/>
      <c r="O39" s="1284"/>
      <c r="P39" s="1284"/>
      <c r="Q39" s="1284"/>
      <c r="R39" s="1284"/>
      <c r="S39" s="1284"/>
      <c r="T39" s="1284"/>
      <c r="U39" s="1284"/>
      <c r="V39" s="1284"/>
      <c r="W39" s="1284"/>
      <c r="X39" s="1285"/>
    </row>
    <row r="40" spans="1:24" x14ac:dyDescent="0.2">
      <c r="B40" s="1228"/>
      <c r="C40" s="1198" t="s">
        <v>385</v>
      </c>
      <c r="D40" s="1229"/>
      <c r="E40" s="1229"/>
      <c r="F40" s="1241">
        <f>Lönekostnader!C11+'K1 Kostnader'!F19</f>
        <v>3.0833333333333335</v>
      </c>
      <c r="G40" s="1242" t="s">
        <v>78</v>
      </c>
      <c r="H40" s="1842">
        <f>Lönekostnader!D11+'K1 Kostnader'!G19</f>
        <v>3.0833333333333335</v>
      </c>
      <c r="I40" s="1843"/>
      <c r="J40" s="1241" t="s">
        <v>78</v>
      </c>
      <c r="K40" s="1249">
        <f>Lönekostnader!E11+'K1 Kostnader'!H19</f>
        <v>3.0833333333333335</v>
      </c>
      <c r="L40" s="1230" t="s">
        <v>78</v>
      </c>
      <c r="M40" s="754"/>
      <c r="N40" s="746"/>
      <c r="O40" s="1284"/>
      <c r="P40" s="1284"/>
      <c r="Q40" s="1284"/>
      <c r="R40" s="1284"/>
      <c r="S40" s="1284"/>
      <c r="T40" s="1284"/>
      <c r="U40" s="1284"/>
      <c r="V40" s="1284"/>
      <c r="W40" s="1284"/>
      <c r="X40" s="1285"/>
    </row>
    <row r="41" spans="1:24" x14ac:dyDescent="0.2">
      <c r="B41" s="1231">
        <v>1</v>
      </c>
      <c r="C41" s="164" t="s">
        <v>386</v>
      </c>
      <c r="D41" s="1226"/>
      <c r="E41" s="1226"/>
      <c r="F41" s="1243">
        <f>'K2 Försäljning'!C205</f>
        <v>308818</v>
      </c>
      <c r="G41" s="1232"/>
      <c r="H41" s="1785">
        <f>'K2 Försäljning'!D205</f>
        <v>348894.99</v>
      </c>
      <c r="I41" s="1786"/>
      <c r="J41" s="1232"/>
      <c r="K41" s="1250">
        <f>'K2 Försäljning'!E205</f>
        <v>386284.56422500004</v>
      </c>
      <c r="L41" s="1232"/>
      <c r="M41" s="754"/>
      <c r="N41" s="746"/>
      <c r="O41" s="1284"/>
      <c r="P41" s="1284"/>
      <c r="Q41" s="1284"/>
      <c r="R41" s="1284"/>
      <c r="S41" s="1284"/>
      <c r="T41" s="1284"/>
      <c r="U41" s="1284"/>
      <c r="V41" s="1284"/>
      <c r="W41" s="1284"/>
      <c r="X41" s="1285"/>
    </row>
    <row r="42" spans="1:24" x14ac:dyDescent="0.2">
      <c r="B42" s="970"/>
      <c r="C42" s="270" t="s">
        <v>387</v>
      </c>
      <c r="D42" s="271"/>
      <c r="E42" s="271"/>
      <c r="F42" s="1209">
        <f>-(F41-F43)</f>
        <v>-37925.017543859605</v>
      </c>
      <c r="G42" s="1210"/>
      <c r="H42" s="1757">
        <f>-(H41-H43)</f>
        <v>-42846.753157894767</v>
      </c>
      <c r="I42" s="1768"/>
      <c r="J42" s="1210"/>
      <c r="K42" s="1203">
        <f>-(K41-K43)</f>
        <v>-47438.455255701847</v>
      </c>
      <c r="L42" s="1210"/>
      <c r="M42" s="754"/>
      <c r="N42" s="746"/>
      <c r="O42" s="1284"/>
      <c r="P42" s="1284"/>
      <c r="Q42" s="1284"/>
      <c r="R42" s="1284"/>
      <c r="S42" s="1284"/>
      <c r="T42" s="1284"/>
      <c r="U42" s="1284"/>
      <c r="V42" s="1284"/>
      <c r="W42" s="1284"/>
      <c r="X42" s="1285"/>
    </row>
    <row r="43" spans="1:24" x14ac:dyDescent="0.2">
      <c r="B43" s="970">
        <v>2</v>
      </c>
      <c r="C43" s="272" t="s">
        <v>388</v>
      </c>
      <c r="D43" s="273"/>
      <c r="E43" s="273"/>
      <c r="F43" s="1205">
        <f>'K2 Försäljning'!C206</f>
        <v>270892.98245614039</v>
      </c>
      <c r="G43" s="1233">
        <v>100</v>
      </c>
      <c r="H43" s="1777">
        <f>'K2 Försäljning'!D206</f>
        <v>306048.23684210522</v>
      </c>
      <c r="I43" s="1789"/>
      <c r="J43" s="1233">
        <v>100</v>
      </c>
      <c r="K43" s="1200">
        <f>'K2 Försäljning'!E206</f>
        <v>338846.10896929819</v>
      </c>
      <c r="L43" s="1233">
        <v>100</v>
      </c>
      <c r="M43" s="754"/>
      <c r="N43" s="746"/>
      <c r="O43" s="1284"/>
      <c r="P43" s="1284"/>
      <c r="Q43" s="1284"/>
      <c r="R43" s="1284"/>
      <c r="S43" s="1284"/>
      <c r="T43" s="1284"/>
      <c r="U43" s="1284"/>
      <c r="V43" s="1284"/>
      <c r="W43" s="1284"/>
      <c r="X43" s="1285"/>
    </row>
    <row r="44" spans="1:24" x14ac:dyDescent="0.2">
      <c r="B44" s="970">
        <v>3</v>
      </c>
      <c r="C44" s="270" t="s">
        <v>389</v>
      </c>
      <c r="D44" s="271"/>
      <c r="E44" s="271"/>
      <c r="F44" s="1209">
        <f>-'K2 Försäljning'!C208</f>
        <v>-131764.08282611289</v>
      </c>
      <c r="G44" s="1234">
        <f>IF(F$43=0,0,F44/F$43)*-100</f>
        <v>48.640640902333629</v>
      </c>
      <c r="H44" s="1757">
        <f>-'K2 Försäljning'!D208</f>
        <v>-148001.71291323547</v>
      </c>
      <c r="I44" s="1768"/>
      <c r="J44" s="1234">
        <f>IF(H$43=0,0,H44/H$43)*-100</f>
        <v>48.358949700334897</v>
      </c>
      <c r="K44" s="1203">
        <f>-'K2 Försäljning'!E208</f>
        <v>-162513.64490004772</v>
      </c>
      <c r="L44" s="1234">
        <f>IF(K$43=0,0,K44/K$43)*-100</f>
        <v>47.96090042007021</v>
      </c>
      <c r="M44" s="754"/>
      <c r="N44" s="746"/>
      <c r="O44" s="1284"/>
      <c r="P44" s="1284"/>
      <c r="Q44" s="1284"/>
      <c r="R44" s="1284"/>
      <c r="S44" s="1284"/>
      <c r="T44" s="1284"/>
      <c r="U44" s="1284"/>
      <c r="V44" s="1284"/>
      <c r="W44" s="1284"/>
      <c r="X44" s="1285"/>
    </row>
    <row r="45" spans="1:24" x14ac:dyDescent="0.2">
      <c r="B45" s="970">
        <v>4</v>
      </c>
      <c r="C45" s="270" t="s">
        <v>390</v>
      </c>
      <c r="D45" s="271"/>
      <c r="E45" s="271"/>
      <c r="F45" s="1244">
        <f>-('K1 Kostnader'!F14+'K1 Kostnader'!F28+'K1 Kostnader'!F29+'K1 Kostnader'!F36+'AT1 Palkat, alv'!E15+'AT1 Palkat, alv'!E31)</f>
        <v>-99249.257699999987</v>
      </c>
      <c r="G45" s="1234">
        <f>IF(F$43=0,0,F45/F$43)*-100</f>
        <v>36.637810547960278</v>
      </c>
      <c r="H45" s="1775">
        <f>-('K1 Kostnader'!G14+'K1 Kostnader'!G28+'K1 Kostnader'!G29+'K1 Kostnader'!G36+'AT1 Palkat, alv'!R15+'AT1 Palkat, alv'!R31)</f>
        <v>-97273.245184500003</v>
      </c>
      <c r="I45" s="1776"/>
      <c r="J45" s="1234">
        <f>IF(H$43=0,0,H45/H$43)*-100</f>
        <v>31.783631949065828</v>
      </c>
      <c r="K45" s="1251">
        <f>-('K1 Kostnader'!H14+'K1 Kostnader'!H28+'K1 Kostnader'!H29+'K1 Kostnader'!H36+'AT1 Palkat, alv'!T15+'AT1 Palkat, alv'!T31)</f>
        <v>-104047.96230811499</v>
      </c>
      <c r="L45" s="1234">
        <f>IF(K$43=0,0,K45/K$43)*-100</f>
        <v>30.706553669631326</v>
      </c>
      <c r="M45" s="754"/>
      <c r="N45" s="746"/>
      <c r="O45" s="1284"/>
      <c r="P45" s="1284"/>
      <c r="Q45" s="1284"/>
      <c r="R45" s="1284"/>
      <c r="S45" s="1284"/>
      <c r="T45" s="1284"/>
      <c r="U45" s="1284"/>
      <c r="V45" s="1284"/>
      <c r="W45" s="1284"/>
      <c r="X45" s="1285"/>
    </row>
    <row r="46" spans="1:24" s="8" customFormat="1" x14ac:dyDescent="0.2">
      <c r="A46"/>
      <c r="B46" s="970">
        <v>5</v>
      </c>
      <c r="C46" s="270" t="s">
        <v>391</v>
      </c>
      <c r="D46" s="271"/>
      <c r="E46" s="271"/>
      <c r="F46" s="902">
        <f>-('K1 Kostnader'!F48+'K1 Kostnader'!F59)</f>
        <v>-21600</v>
      </c>
      <c r="G46" s="1234">
        <f>IF(F$43=0,0,F46/F$43)*-100</f>
        <v>7.9736284802051678</v>
      </c>
      <c r="H46" s="1787">
        <f>-('K1 Kostnader'!G48++'K1 Kostnader'!G59)</f>
        <v>-22248</v>
      </c>
      <c r="I46" s="1788"/>
      <c r="J46" s="1234">
        <f>IF(H$43=0,0,H46/H$43)*-100</f>
        <v>7.269442304115632</v>
      </c>
      <c r="K46" s="1202">
        <f>-('K1 Kostnader'!H48++'K1 Kostnader'!H59)</f>
        <v>-22915.439999999999</v>
      </c>
      <c r="L46" s="1234">
        <f>IF(K$43=0,0,K46/K$43)*-100</f>
        <v>6.7627868207500343</v>
      </c>
      <c r="M46" s="1286"/>
      <c r="N46" s="746"/>
      <c r="O46" s="1284"/>
      <c r="P46" s="1284"/>
      <c r="Q46" s="1284"/>
      <c r="R46" s="1284"/>
      <c r="S46" s="1284"/>
      <c r="T46" s="1284"/>
      <c r="U46" s="1284"/>
      <c r="V46" s="1284"/>
      <c r="W46" s="1284"/>
      <c r="X46" s="1285"/>
    </row>
    <row r="47" spans="1:24" x14ac:dyDescent="0.2">
      <c r="B47" s="970">
        <v>6</v>
      </c>
      <c r="C47" s="270" t="s">
        <v>392</v>
      </c>
      <c r="D47" s="271"/>
      <c r="E47" s="271"/>
      <c r="F47" s="902">
        <f>-'K1 Kostnader'!F88</f>
        <v>-1200</v>
      </c>
      <c r="G47" s="1234">
        <f>IF(F$43=0,0,F47/F$43)*-100</f>
        <v>0.44297936001139826</v>
      </c>
      <c r="H47" s="1787">
        <f>-('K1 Kostnader'!G88)</f>
        <v>-1236</v>
      </c>
      <c r="I47" s="1788"/>
      <c r="J47" s="1234">
        <f>IF(H$43=0,0,H47/H$43)*-100</f>
        <v>0.40385790578420183</v>
      </c>
      <c r="K47" s="1202">
        <f>-'K1 Kostnader'!H88</f>
        <v>-1273.08</v>
      </c>
      <c r="L47" s="1234">
        <f>IF(K$43=0,0,K47/K$43)*-100</f>
        <v>0.37571037893055748</v>
      </c>
      <c r="M47" s="754"/>
      <c r="N47" s="746"/>
      <c r="O47" s="1284"/>
      <c r="P47" s="1284"/>
      <c r="Q47" s="1284"/>
      <c r="R47" s="1284"/>
      <c r="S47" s="1284"/>
      <c r="T47" s="1284"/>
      <c r="U47" s="1284"/>
      <c r="V47" s="1284"/>
      <c r="W47" s="1284"/>
      <c r="X47" s="1285"/>
    </row>
    <row r="48" spans="1:24" x14ac:dyDescent="0.2">
      <c r="B48" s="970">
        <v>7</v>
      </c>
      <c r="C48" s="270" t="s">
        <v>393</v>
      </c>
      <c r="D48" s="271"/>
      <c r="E48" s="271"/>
      <c r="F48" s="902">
        <f>-('K1 Kostnader'!F41+'K1 Kostnader'!F47-'K1 Kostnader'!F48+'K1 Kostnader'!F61+'K1 Kostnader'!F68+'K1 Kostnader'!F73+'K1 Kostnader'!F78+'K1 Kostnader'!F82+'K1 Kostnader'!F87+'K1 Kostnader'!F94+'K1 Kostnader'!F97+'K1 Kostnader'!F101+'K1 Kostnader'!F105+'K1 Kostnader'!F110+'K1 Kostnader'!F113+'K1 Kostnader'!F114+'K1 Kostnader'!F115+'K1 Kostnader'!F116+'K1 Kostnader'!F117)</f>
        <v>-13376</v>
      </c>
      <c r="G48" s="1234">
        <f>IF(F$43=0,0,F48/F$43)*-100</f>
        <v>4.9377432662603855</v>
      </c>
      <c r="H48" s="1787">
        <f>-('K1 Kostnader'!G41+'K1 Kostnader'!G47-'K1 Kostnader'!G48+'K1 Kostnader'!G61+'K1 Kostnader'!G68+'K1 Kostnader'!G73+'K1 Kostnader'!G78+'K1 Kostnader'!G82+'K1 Kostnader'!G87+'K1 Kostnader'!G94+'K1 Kostnader'!G97+'K1 Kostnader'!G101+'K1 Kostnader'!G105+'K1 Kostnader'!G110+'K1 Kostnader'!G113+'K1 Kostnader'!G114+'K1 Kostnader'!G115+'K1 Kostnader'!G116+'K1 Kostnader'!G117)</f>
        <v>-13748.3</v>
      </c>
      <c r="I48" s="1788"/>
      <c r="J48" s="1234">
        <f>IF(H$43=0,0,H48/H$43)*-100</f>
        <v>4.4922003609166188</v>
      </c>
      <c r="K48" s="1202">
        <f>-('K1 Kostnader'!H41+'K1 Kostnader'!H47-'K1 Kostnader'!H48+'K1 Kostnader'!H61+'K1 Kostnader'!H68+'K1 Kostnader'!H73+'K1 Kostnader'!H78+'K1 Kostnader'!H82+'K1 Kostnader'!H87+'K1 Kostnader'!H94+'K1 Kostnader'!H97+'K1 Kostnader'!H101+'K1 Kostnader'!H105+'K1 Kostnader'!H110+'K1 Kostnader'!H113+'K1 Kostnader'!H114+'K1 Kostnader'!H115+'K1 Kostnader'!H116+'K1 Kostnader'!H117)</f>
        <v>-14131.769000000004</v>
      </c>
      <c r="L48" s="1234">
        <f>IF(K$43=0,0,K48/K$43)*-100</f>
        <v>4.1705566703970742</v>
      </c>
      <c r="M48" s="754"/>
      <c r="N48" s="746"/>
      <c r="O48" s="1284"/>
      <c r="P48" s="1284"/>
      <c r="Q48" s="1284"/>
      <c r="R48" s="1284"/>
      <c r="S48" s="1284"/>
      <c r="T48" s="1284"/>
      <c r="U48" s="1284"/>
      <c r="V48" s="1284"/>
      <c r="W48" s="1284"/>
      <c r="X48" s="1285"/>
    </row>
    <row r="49" spans="2:36" ht="12.75" customHeight="1" x14ac:dyDescent="0.2">
      <c r="B49" s="970">
        <v>8</v>
      </c>
      <c r="C49" s="272" t="s">
        <v>394</v>
      </c>
      <c r="D49" s="273"/>
      <c r="E49" s="273"/>
      <c r="F49" s="1205">
        <f>F43+F44+F45+F46+F47+F48</f>
        <v>3703.6419300275156</v>
      </c>
      <c r="G49" s="1233">
        <f>IF(F$43=0,0,F49/F$43)*100</f>
        <v>1.3671974432291405</v>
      </c>
      <c r="H49" s="1777">
        <f>H43+H44+H45+H46+H47+H48</f>
        <v>23540.978744369746</v>
      </c>
      <c r="I49" s="1789">
        <f>I43+I44+I45+I46+I47+I48</f>
        <v>0</v>
      </c>
      <c r="J49" s="1233">
        <f>IF(H$43=0,0,H49/H$43)*100</f>
        <v>7.6919177797828269</v>
      </c>
      <c r="K49" s="1200">
        <f>K43+K44+K45+K46+K47+K48</f>
        <v>33964.212761135481</v>
      </c>
      <c r="L49" s="1233">
        <f>IF(K$43=0,0,K49/K$43)*100</f>
        <v>10.023492040220795</v>
      </c>
      <c r="M49" s="754"/>
      <c r="N49" s="746"/>
      <c r="O49" s="1284"/>
      <c r="P49" s="1284"/>
      <c r="Q49" s="1284"/>
      <c r="R49" s="1284"/>
      <c r="S49" s="1284"/>
      <c r="T49" s="1284"/>
      <c r="U49" s="1284"/>
      <c r="V49" s="1284"/>
      <c r="W49" s="1284"/>
      <c r="X49" s="1285"/>
    </row>
    <row r="50" spans="2:36" x14ac:dyDescent="0.2">
      <c r="B50" s="970">
        <v>9</v>
      </c>
      <c r="C50" s="270" t="s">
        <v>395</v>
      </c>
      <c r="D50" s="271"/>
      <c r="E50" s="271"/>
      <c r="F50" s="1209">
        <f>-IF($F39=6,'Kauppa AT lainat ja avustukset'!B188,IF($F39=7,'Kauppa AT lainat ja avustukset'!C189,IF($F39=8,'Kauppa AT lainat ja avustukset'!D190,IF($F39=9,'Kauppa AT lainat ja avustukset'!E191,IF($F39=10,'Kauppa AT lainat ja avustukset'!F192,IF($F39=11,'Kauppa AT lainat ja avustukset'!G193,IF($F39=12,'Kauppa AT lainat ja avustukset'!H194,IF($F39=13,'Kauppa AT lainat ja avustukset'!I195,IF($F39=14,'Kauppa AT lainat ja avustukset'!J196,IF($F39=15,'Kauppa AT lainat ja avustukset'!K197,IF($F39=16,'Kauppa AT lainat ja avustukset'!L198,IF($F39=17,'Kauppa AT lainat ja avustukset'!M199,'Kauppa AT lainat ja avustukset'!N200))))))))))))</f>
        <v>-2432.3884908125428</v>
      </c>
      <c r="G50" s="1234">
        <f>IF(F$43=0,0,F50/F$43)*-100</f>
        <v>0.89791491413269242</v>
      </c>
      <c r="H50" s="1757">
        <f>-IF($F39=6,'Kauppa AT lainat ja avustukset'!N188,IF($F39=7,'Kauppa AT lainat ja avustukset'!O189,IF($F39=8,'Kauppa AT lainat ja avustukset'!P190,IF($F39=9,'Kauppa AT lainat ja avustukset'!Q191,IF($F39=10,'Kauppa AT lainat ja avustukset'!R192,IF($F39=11,'Kauppa AT lainat ja avustukset'!S193,IF($F39=12,'Kauppa AT lainat ja avustukset'!T194,IF($F39=13,'Kauppa AT lainat ja avustukset'!U195,IF($F39=14,'Kauppa AT lainat ja avustukset'!V196,IF($F39=15,'Kauppa AT lainat ja avustukset'!W197,IF($F39=16,'Kauppa AT lainat ja avustukset'!X198,IF($F39=17,'Kauppa AT lainat ja avustukset'!Y199,'Kauppa AT lainat ja avustukset'!Z200))))))))))))</f>
        <v>-2128.3103749648953</v>
      </c>
      <c r="I50" s="1768">
        <f>-IF($F39=6,'Kauppa AT lainat ja avustukset'!E188,IF($F39=7,'Kauppa AT lainat ja avustukset'!F189,IF($F39=8,'Kauppa AT lainat ja avustukset'!G190,IF($F39=9,'Kauppa AT lainat ja avustukset'!H191,IF($F39=10,'Kauppa AT lainat ja avustukset'!I192,IF($F39=11,'Kauppa AT lainat ja avustukset'!J193,IF($F39=12,'Kauppa AT lainat ja avustukset'!K194,IF($F39=13,'Kauppa AT lainat ja avustukset'!L195,IF($F39=14,'Kauppa AT lainat ja avustukset'!M196,IF($F39=15,'Kauppa AT lainat ja avustukset'!N197,IF($F39=16,'Kauppa AT lainat ja avustukset'!O198,IF($F39=17,'Kauppa AT lainat ja avustukset'!P199,'Kauppa AT lainat ja avustukset'!Q200))))))))))))</f>
        <v>0</v>
      </c>
      <c r="J50" s="1234">
        <f>IF(H$43=0,0,H50/H$43)*-100</f>
        <v>0.69541664311659535</v>
      </c>
      <c r="K50" s="1203">
        <f>-IF($F39=6,'Kauppa AT lainat ja avustukset'!Z188,IF($F39=7,'Kauppa AT lainat ja avustukset'!AA189,IF($F39=8,'Kauppa AT lainat ja avustukset'!AB190,IF($F39=9,'Kauppa AT lainat ja avustukset'!AC191,IF($F39=10,'Kauppa AT lainat ja avustukset'!AD192,IF($F39=11,'Kauppa AT lainat ja avustukset'!AE193,IF($F39=12,'Kauppa AT lainat ja avustukset'!AF194,IF($F39=13,'Kauppa AT lainat ja avustukset'!AG195,IF($F39=14,'Kauppa AT lainat ja avustukset'!AH196,IF($F39=15,'Kauppa AT lainat ja avustukset'!AI197,IF($F39=16,'Kauppa AT lainat ja avustukset'!AJ198,IF($F39=17,'Kauppa AT lainat ja avustukset'!AK199,'Kauppa AT lainat ja avustukset'!AL200))))))))))))</f>
        <v>-1449.8680207062998</v>
      </c>
      <c r="L50" s="1234">
        <f>IF(K$43=0,0,K50/K$43)*-100</f>
        <v>0.4278839220307139</v>
      </c>
      <c r="M50" s="1331"/>
      <c r="N50" s="746"/>
      <c r="O50" s="1284"/>
      <c r="P50" s="1284"/>
      <c r="Q50" s="1284"/>
      <c r="R50" s="1284"/>
      <c r="S50" s="1284"/>
      <c r="T50" s="1284"/>
      <c r="U50" s="1284"/>
      <c r="V50" s="1284"/>
      <c r="W50" s="1284"/>
      <c r="X50" s="1285"/>
    </row>
    <row r="51" spans="2:36" x14ac:dyDescent="0.2">
      <c r="B51" s="970">
        <v>10</v>
      </c>
      <c r="C51" s="270" t="s">
        <v>396</v>
      </c>
      <c r="D51" s="271"/>
      <c r="E51" s="271"/>
      <c r="F51" s="1209">
        <f>-IF(F52*(F49+F50+F54+0.5*'K1 Kostnader'!F87)&lt;0,0,F52*(F49+F50+F54+0.5*'K1 Kostnader'!F87))</f>
        <v>0</v>
      </c>
      <c r="G51" s="1234">
        <f>IF(F$43=0,0,F51/F$43)*-100</f>
        <v>0</v>
      </c>
      <c r="H51" s="1757">
        <f>-IF(H52*(H49+H50+H54+0.5*'K1 Kostnader'!G87)&lt;0,0,H52*(H49+H50+H54+0.5*'K1 Kostnader'!G87))</f>
        <v>-3379.3078674293574</v>
      </c>
      <c r="I51" s="1768"/>
      <c r="J51" s="1234">
        <f>IF(H$43=0,0,H51/H$43)*-100</f>
        <v>1.1041749177508877</v>
      </c>
      <c r="K51" s="1203">
        <f>-IF(K52*(K49+K50+K54+0.5*'K1 Kostnader'!H87)&lt;0,0,K52*(K49+K50+K54+0.5*'K1 Kostnader'!H87))</f>
        <v>-5780.2883029245459</v>
      </c>
      <c r="L51" s="1234">
        <f>IF(K$43=0,0,K51/K$43)*-100</f>
        <v>1.7058741859267683</v>
      </c>
      <c r="M51" s="1332"/>
      <c r="N51" s="746"/>
      <c r="O51" s="1284"/>
      <c r="P51" s="1284"/>
      <c r="Q51" s="1284"/>
      <c r="R51" s="1284"/>
      <c r="S51" s="1284"/>
      <c r="T51" s="1284"/>
      <c r="U51" s="1284"/>
      <c r="V51" s="1284"/>
      <c r="W51" s="1284"/>
      <c r="X51" s="1285"/>
    </row>
    <row r="52" spans="2:36" x14ac:dyDescent="0.2">
      <c r="B52" s="970"/>
      <c r="C52" s="1195" t="s">
        <v>397</v>
      </c>
      <c r="D52" s="1196"/>
      <c r="E52" s="1196"/>
      <c r="F52" s="1245">
        <v>0.2</v>
      </c>
      <c r="G52" s="1246"/>
      <c r="H52" s="1852">
        <f>F52</f>
        <v>0.2</v>
      </c>
      <c r="I52" s="1853"/>
      <c r="J52" s="1246"/>
      <c r="K52" s="1252">
        <f>H52</f>
        <v>0.2</v>
      </c>
      <c r="L52" s="1235"/>
      <c r="M52" s="1332"/>
      <c r="N52" s="746"/>
      <c r="O52" s="1284"/>
      <c r="P52" s="1284"/>
      <c r="Q52" s="1284"/>
      <c r="R52" s="1284"/>
      <c r="S52" s="1284"/>
      <c r="T52" s="1284"/>
      <c r="U52" s="1284"/>
      <c r="V52" s="1284"/>
      <c r="W52" s="1284"/>
      <c r="X52" s="1285"/>
    </row>
    <row r="53" spans="2:36" x14ac:dyDescent="0.2">
      <c r="B53" s="970">
        <v>11</v>
      </c>
      <c r="C53" s="272" t="s">
        <v>398</v>
      </c>
      <c r="D53" s="273"/>
      <c r="E53" s="273"/>
      <c r="F53" s="1205">
        <f>SUM(F49:F51)</f>
        <v>1271.2534392149728</v>
      </c>
      <c r="G53" s="1233">
        <f>IF(F$43=0,0,F53/F$43)*100</f>
        <v>0.46928252909644802</v>
      </c>
      <c r="H53" s="1777">
        <f>SUM(H49:J51)</f>
        <v>18042.852011316143</v>
      </c>
      <c r="I53" s="1789"/>
      <c r="J53" s="1233">
        <f>IF(H$43=0,0,H53/H$43)*100</f>
        <v>5.8954275304728236</v>
      </c>
      <c r="K53" s="1200">
        <f>SUM(K49:K51)</f>
        <v>26734.056437504634</v>
      </c>
      <c r="L53" s="1233">
        <f>IF(K$43=0,0,K53/K$43)*100</f>
        <v>7.8897339322633115</v>
      </c>
      <c r="M53" s="1333"/>
      <c r="N53" s="746"/>
      <c r="O53" s="1284"/>
      <c r="P53" s="1284"/>
      <c r="Q53" s="1284"/>
      <c r="R53" s="1284"/>
      <c r="S53" s="1284"/>
      <c r="T53" s="1284"/>
      <c r="U53" s="1284"/>
      <c r="V53" s="1284"/>
      <c r="W53" s="1284"/>
      <c r="X53" s="1285"/>
    </row>
    <row r="54" spans="2:36" x14ac:dyDescent="0.2">
      <c r="B54" s="970">
        <v>12</v>
      </c>
      <c r="C54" s="270" t="s">
        <v>399</v>
      </c>
      <c r="D54" s="274"/>
      <c r="E54" s="274"/>
      <c r="F54" s="1209">
        <f>IF($E33=0,0,-('Kauppa AT lainat ja avustukset'!F5+'Kauppa AT lainat ja avustukset'!F9))</f>
        <v>-5645.1612903225814</v>
      </c>
      <c r="G54" s="1234">
        <f>IF(F$43=0,0,F54/F$43)*-100</f>
        <v>2.0839082796235133</v>
      </c>
      <c r="H54" s="1757">
        <f>IF($E33=0,0,-('Kauppa AT lainat ja avustukset'!G5+'Kauppa AT lainat ja avustukset'!G9))</f>
        <v>-4516.1290322580653</v>
      </c>
      <c r="I54" s="1768"/>
      <c r="J54" s="1234">
        <f>IF(H$43=0,0,H54/H$43)*-100</f>
        <v>1.4756265479117929</v>
      </c>
      <c r="K54" s="1203">
        <f>IF($E33=0,0,-('Kauppa AT lainat ja avustukset'!H5+'Kauppa AT lainat ja avustukset'!H9))</f>
        <v>-3612.9032258064526</v>
      </c>
      <c r="L54" s="1234">
        <f>IF(K$43=0,0,K54/K$43)*-100</f>
        <v>1.0662371885562383</v>
      </c>
      <c r="M54" s="1334"/>
      <c r="N54" s="746"/>
      <c r="O54" s="1284"/>
      <c r="P54" s="1284"/>
      <c r="Q54" s="1284"/>
      <c r="R54" s="1284"/>
      <c r="S54" s="1284"/>
      <c r="T54" s="1284"/>
      <c r="U54" s="1284"/>
      <c r="V54" s="1284"/>
      <c r="W54" s="1284"/>
      <c r="X54" s="1285"/>
    </row>
    <row r="55" spans="2:36" x14ac:dyDescent="0.2">
      <c r="B55" s="970"/>
      <c r="C55" s="270" t="s">
        <v>400</v>
      </c>
      <c r="D55" s="274"/>
      <c r="E55" s="274"/>
      <c r="F55" s="1247">
        <v>7.0000000000000007E-2</v>
      </c>
      <c r="G55" s="1236"/>
      <c r="H55" s="1763">
        <v>7.0000000000000007E-2</v>
      </c>
      <c r="I55" s="1764"/>
      <c r="J55" s="1236"/>
      <c r="K55" s="1201">
        <v>7.0000000000000007E-2</v>
      </c>
      <c r="L55" s="1236"/>
      <c r="M55" s="1333"/>
      <c r="N55" s="746"/>
      <c r="O55" s="1284"/>
      <c r="P55" s="1284"/>
      <c r="Q55" s="1284"/>
      <c r="R55" s="1284"/>
      <c r="S55" s="1284"/>
      <c r="T55" s="1284"/>
      <c r="U55" s="1284"/>
      <c r="V55" s="1284"/>
      <c r="W55" s="1284"/>
      <c r="X55" s="1285"/>
    </row>
    <row r="56" spans="2:36" x14ac:dyDescent="0.2">
      <c r="B56" s="970"/>
      <c r="C56" s="270" t="s">
        <v>401</v>
      </c>
      <c r="D56" s="274"/>
      <c r="E56" s="274"/>
      <c r="F56" s="1247">
        <v>0.2</v>
      </c>
      <c r="G56" s="1236"/>
      <c r="H56" s="1763">
        <v>0.2</v>
      </c>
      <c r="I56" s="1764"/>
      <c r="J56" s="1236"/>
      <c r="K56" s="1201">
        <v>0.2</v>
      </c>
      <c r="L56" s="1236"/>
      <c r="M56" s="1335"/>
      <c r="N56" s="746"/>
      <c r="O56" s="1284"/>
      <c r="P56" s="1284"/>
      <c r="Q56" s="1284"/>
      <c r="R56" s="1284"/>
      <c r="S56" s="1284"/>
      <c r="T56" s="1284"/>
      <c r="U56" s="1284"/>
      <c r="V56" s="1284"/>
      <c r="W56" s="1284"/>
      <c r="X56" s="1285"/>
    </row>
    <row r="57" spans="2:36" x14ac:dyDescent="0.2">
      <c r="B57" s="970">
        <v>13</v>
      </c>
      <c r="C57" s="272" t="s">
        <v>402</v>
      </c>
      <c r="D57" s="273"/>
      <c r="E57" s="273"/>
      <c r="F57" s="1205">
        <f>F53+F54</f>
        <v>-4373.9078511076086</v>
      </c>
      <c r="G57" s="1233">
        <f>IF(F$43=0,0,F57/F$43)*100</f>
        <v>-1.6146257505270656</v>
      </c>
      <c r="H57" s="1777">
        <f>H53+H54</f>
        <v>13526.722979058079</v>
      </c>
      <c r="I57" s="1789"/>
      <c r="J57" s="1233">
        <f>IF(H$43=0,0,H57/H$43)*100</f>
        <v>4.4198009825610312</v>
      </c>
      <c r="K57" s="1200">
        <f>K53+K54</f>
        <v>23121.153211698183</v>
      </c>
      <c r="L57" s="1233">
        <f>IF(K$43=0,0,K57/K$43)*100</f>
        <v>6.8234967437070733</v>
      </c>
      <c r="M57" s="1335"/>
      <c r="N57" s="746"/>
      <c r="O57" s="1284"/>
      <c r="P57" s="1284"/>
      <c r="Q57" s="1284"/>
      <c r="R57" s="1284"/>
      <c r="S57" s="1284"/>
      <c r="T57" s="1284"/>
      <c r="U57" s="1284"/>
      <c r="V57" s="1284"/>
      <c r="W57" s="1284"/>
      <c r="X57" s="1285"/>
      <c r="AJ57" s="4"/>
    </row>
    <row r="58" spans="2:36" x14ac:dyDescent="0.2">
      <c r="B58" s="1237">
        <v>14</v>
      </c>
      <c r="C58" s="1238" t="s">
        <v>403</v>
      </c>
      <c r="D58" s="1239"/>
      <c r="E58" s="1239"/>
      <c r="F58" s="1248">
        <f>F57</f>
        <v>-4373.9078511076086</v>
      </c>
      <c r="G58" s="1240">
        <f>IF(F$43=0,0,F58/F$43)*100</f>
        <v>-1.6146257505270656</v>
      </c>
      <c r="H58" s="1850">
        <f t="shared" ref="H58:I58" si="0">H57</f>
        <v>13526.722979058079</v>
      </c>
      <c r="I58" s="1851">
        <f t="shared" si="0"/>
        <v>0</v>
      </c>
      <c r="J58" s="1240">
        <f>IF(H$43=0,0,H58/H$43)*100</f>
        <v>4.4198009825610312</v>
      </c>
      <c r="K58" s="1253">
        <f>K57</f>
        <v>23121.153211698183</v>
      </c>
      <c r="L58" s="1240">
        <f>IF(K$43=0,0,K58/K$43)*100</f>
        <v>6.8234967437070733</v>
      </c>
      <c r="M58" s="1335"/>
      <c r="N58" s="1325"/>
      <c r="O58" s="1272"/>
      <c r="P58" s="1272"/>
      <c r="Q58" s="1272"/>
      <c r="R58" s="1272"/>
      <c r="S58" s="1272"/>
      <c r="T58" s="1272"/>
      <c r="U58" s="1272"/>
      <c r="V58" s="1272"/>
      <c r="W58" s="1272"/>
      <c r="X58" s="1293"/>
    </row>
    <row r="59" spans="2:36" ht="6" customHeight="1" x14ac:dyDescent="0.2">
      <c r="B59" s="61"/>
      <c r="C59" s="62"/>
      <c r="D59" s="62"/>
      <c r="E59" s="62"/>
      <c r="F59" s="899"/>
      <c r="G59" s="900"/>
      <c r="H59" s="898"/>
      <c r="I59" s="898"/>
      <c r="J59" s="898"/>
      <c r="K59" s="898"/>
      <c r="L59" s="898"/>
      <c r="M59" s="34"/>
      <c r="N59" s="84"/>
      <c r="O59" s="84"/>
      <c r="P59" s="19"/>
    </row>
    <row r="60" spans="2:36" ht="25.5" customHeight="1" x14ac:dyDescent="0.2">
      <c r="B60" s="650">
        <v>15</v>
      </c>
      <c r="C60" s="1861" t="s">
        <v>656</v>
      </c>
      <c r="D60" s="1862"/>
      <c r="E60" s="1862"/>
      <c r="F60" s="1755">
        <f>IF($F39=6,'Kauppa AT lainat ja avustukset'!B175,IF($F39=7,'Kauppa AT lainat ja avustukset'!C176,IF($F39=8,'Kauppa AT lainat ja avustukset'!D177,IF($F39=9,'Kauppa AT lainat ja avustukset'!E178,IF($F39=10,'Kauppa AT lainat ja avustukset'!F179,IF($F39=11,'Kauppa AT lainat ja avustukset'!G180,IF($F39=12,'Kauppa AT lainat ja avustukset'!H181,IF($F39=13,'Kauppa AT lainat ja avustukset'!I182,IF($F39=14,'Kauppa AT lainat ja avustukset'!J183,IF($F39=15,'Kauppa AT lainat ja avustukset'!K184,IF($F39=16,'Kauppa AT lainat ja avustukset'!L185,IF($F39=17,'Kauppa AT lainat ja avustukset'!M186,'Kauppa AT lainat ja avustukset'!N187))))))))))))</f>
        <v>4411.4373172653104</v>
      </c>
      <c r="G60" s="1756"/>
      <c r="H60" s="1755">
        <f>IF($F39=6,'Kauppa AT lainat ja avustukset'!N175,IF($F39=7,'Kauppa AT lainat ja avustukset'!O176,IF($F39=8,'Kauppa AT lainat ja avustukset'!P177,IF($F39=9,'Kauppa AT lainat ja avustukset'!Q178,IF($F39=10,'Kauppa AT lainat ja avustukset'!R179,IF($F39=11,'Kauppa AT lainat ja avustukset'!S180,IF($F39=12,'Kauppa AT lainat ja avustukset'!T181,IF($F39=13,'Kauppa AT lainat ja avustukset'!U182,IF($F39=14,'Kauppa AT lainat ja avustukset'!V183,IF($F39=15,'Kauppa AT lainat ja avustukset'!W184,IF($F39=16,'Kauppa AT lainat ja avustukset'!X185,IF($F39=17,'Kauppa AT lainat ja avustukset'!Y186,'Kauppa AT lainat ja avustukset'!Z187))))))))))))</f>
        <v>11035.4784869957</v>
      </c>
      <c r="I60" s="1769"/>
      <c r="J60" s="1756"/>
      <c r="K60" s="1769">
        <f>IF($F39=6,'Kauppa AT lainat ja avustukset'!Z175,IF($H39=7,'Kauppa AT lainat ja avustukset'!AA176,IF($H39=8,'Kauppa AT lainat ja avustukset'!AB177,IF($H39=9,'Kauppa AT lainat ja avustukset'!AC178,IF($H39=10,'Kauppa AT lainat ja avustukset'!AD179,IF($H39=11,'Kauppa AT lainat ja avustukset'!AE180,IF($H39=12,'Kauppa AT lainat ja avustukset'!AF181,IF($H39=13,'Kauppa AT lainat ja avustukset'!AG182,IF($H39=14,'Kauppa AT lainat ja avustukset'!AH183,IF($H39=15,'Kauppa AT lainat ja avustukset'!AI184,IF($H39=16,'Kauppa AT lainat ja avustukset'!AJ185,IF($H39=17,'Kauppa AT lainat ja avustukset'!AK186,'Kauppa AT lainat ja avustukset'!AL187))))))))))))</f>
        <v>11432.670841254298</v>
      </c>
      <c r="L60" s="1756"/>
      <c r="M60" s="755"/>
      <c r="N60" s="84"/>
      <c r="O60" s="84"/>
      <c r="P60" s="19"/>
    </row>
    <row r="61" spans="2:36" ht="9" customHeight="1" x14ac:dyDescent="0.2">
      <c r="B61" s="61"/>
      <c r="C61" s="62"/>
      <c r="D61" s="62"/>
      <c r="E61" s="62"/>
      <c r="F61" s="37"/>
      <c r="G61" s="37"/>
      <c r="H61" s="37"/>
      <c r="I61" s="37"/>
      <c r="J61" s="37"/>
      <c r="K61" s="37"/>
      <c r="L61" s="389"/>
      <c r="M61" s="34"/>
      <c r="N61" s="84"/>
      <c r="O61" s="84"/>
      <c r="P61" s="19"/>
    </row>
    <row r="62" spans="2:36" x14ac:dyDescent="0.2">
      <c r="B62" s="1254" t="s">
        <v>427</v>
      </c>
      <c r="C62" s="1255"/>
      <c r="D62" s="1255"/>
      <c r="E62" s="1255"/>
      <c r="F62" s="1256"/>
      <c r="G62" s="1256"/>
      <c r="H62" s="1257"/>
      <c r="I62" s="1257"/>
      <c r="J62" s="1258"/>
      <c r="K62" s="1258"/>
      <c r="L62" s="1259"/>
      <c r="M62" s="34"/>
      <c r="N62" s="84"/>
      <c r="O62" s="84"/>
      <c r="P62" s="19"/>
    </row>
    <row r="63" spans="2:36" ht="12" customHeight="1" x14ac:dyDescent="0.2">
      <c r="B63" s="1260">
        <v>16</v>
      </c>
      <c r="C63" s="340" t="s">
        <v>405</v>
      </c>
      <c r="D63" s="341"/>
      <c r="E63" s="761">
        <f>'K1 Kostnader'!F$47-'K1 Kostnader'!F$48</f>
        <v>5750</v>
      </c>
      <c r="F63" s="639" t="s">
        <v>815</v>
      </c>
      <c r="G63" s="340"/>
      <c r="H63" s="271"/>
      <c r="I63" s="271"/>
      <c r="J63" s="276"/>
      <c r="K63" s="1761">
        <f>'K1 Kostnader'!F$78+'K1 Kostnader'!F$82</f>
        <v>966</v>
      </c>
      <c r="L63" s="1762"/>
    </row>
    <row r="64" spans="2:36" ht="12" customHeight="1" x14ac:dyDescent="0.2">
      <c r="B64" s="1261">
        <v>17</v>
      </c>
      <c r="C64" s="271" t="s">
        <v>406</v>
      </c>
      <c r="D64" s="275"/>
      <c r="E64" s="1199">
        <f>'K1 Kostnader'!F$41</f>
        <v>1250</v>
      </c>
      <c r="F64" s="366" t="s">
        <v>816</v>
      </c>
      <c r="G64" s="271"/>
      <c r="H64" s="271"/>
      <c r="I64" s="271"/>
      <c r="J64" s="276"/>
      <c r="K64" s="1761">
        <f>'K1 Kostnader'!F$97+'K1 Kostnader'!F$110+'K1 Kostnader'!F$113</f>
        <v>2000</v>
      </c>
      <c r="L64" s="1762"/>
    </row>
    <row r="65" spans="2:14" ht="12" customHeight="1" x14ac:dyDescent="0.2">
      <c r="B65" s="1261">
        <v>18</v>
      </c>
      <c r="C65" s="271" t="s">
        <v>407</v>
      </c>
      <c r="D65" s="275"/>
      <c r="E65" s="1199">
        <f>'K1 Kostnader'!F$61</f>
        <v>0</v>
      </c>
      <c r="F65" s="366" t="s">
        <v>817</v>
      </c>
      <c r="G65" s="271"/>
      <c r="H65" s="271"/>
      <c r="I65" s="271"/>
      <c r="J65" s="276"/>
      <c r="K65" s="1761">
        <f>'K1 Kostnader'!F$101</f>
        <v>0</v>
      </c>
      <c r="L65" s="1762"/>
    </row>
    <row r="66" spans="2:14" ht="12" customHeight="1" x14ac:dyDescent="0.2">
      <c r="B66" s="1261">
        <v>19</v>
      </c>
      <c r="C66" s="271" t="s">
        <v>408</v>
      </c>
      <c r="D66" s="275"/>
      <c r="E66" s="1199">
        <f>'K1 Kostnader'!F$68</f>
        <v>360</v>
      </c>
      <c r="F66" s="1860" t="s">
        <v>818</v>
      </c>
      <c r="G66" s="1858"/>
      <c r="H66" s="1858"/>
      <c r="I66" s="1858"/>
      <c r="J66" s="1859"/>
      <c r="K66" s="1761">
        <f>'K1 Kostnader'!F$105</f>
        <v>1050</v>
      </c>
      <c r="L66" s="1762"/>
      <c r="N66" s="50">
        <v>0</v>
      </c>
    </row>
    <row r="67" spans="2:14" ht="12" customHeight="1" x14ac:dyDescent="0.2">
      <c r="B67" s="1261">
        <v>20</v>
      </c>
      <c r="C67" s="1858" t="s">
        <v>409</v>
      </c>
      <c r="D67" s="1859"/>
      <c r="E67" s="1199">
        <f>'K1 Kostnader'!F$73</f>
        <v>2000</v>
      </c>
      <c r="F67" s="1855" t="s">
        <v>819</v>
      </c>
      <c r="G67" s="1856"/>
      <c r="H67" s="1856"/>
      <c r="I67" s="1856"/>
      <c r="J67" s="1857"/>
      <c r="K67" s="1761">
        <f>'K1 Kostnader'!F$87+'K1 Kostnader'!F$94+'K1 Kostnader'!F$114+'K1 Kostnader'!F$115+'K1 Kostnader'!F116+'K1 Kostnader'!F117</f>
        <v>0</v>
      </c>
      <c r="L67" s="1762"/>
    </row>
    <row r="68" spans="2:14" ht="12" customHeight="1" x14ac:dyDescent="0.2">
      <c r="B68" s="61"/>
      <c r="C68" s="8"/>
      <c r="D68" s="167"/>
      <c r="E68" s="334"/>
      <c r="F68" s="332"/>
      <c r="G68" s="167"/>
      <c r="H68" s="167"/>
      <c r="I68" s="167"/>
      <c r="J68" s="335"/>
      <c r="K68" s="336"/>
      <c r="L68" s="336"/>
    </row>
    <row r="69" spans="2:14" x14ac:dyDescent="0.2">
      <c r="B69" s="61"/>
      <c r="C69" s="62"/>
      <c r="D69" s="62"/>
      <c r="E69" s="37"/>
      <c r="F69" s="61"/>
      <c r="G69" s="61"/>
      <c r="H69" s="61"/>
      <c r="I69" s="61"/>
      <c r="J69" s="37"/>
      <c r="K69" s="37"/>
      <c r="M69" s="50"/>
    </row>
    <row r="70" spans="2:14" x14ac:dyDescent="0.2">
      <c r="B70" s="61"/>
      <c r="C70" s="62"/>
      <c r="D70" s="62"/>
      <c r="E70" s="37"/>
      <c r="F70" s="61"/>
      <c r="G70" s="61"/>
      <c r="H70" s="61"/>
      <c r="I70" s="61"/>
      <c r="J70" s="37"/>
      <c r="K70" s="37"/>
      <c r="M70" s="50"/>
    </row>
    <row r="71" spans="2:14" ht="12.75" customHeight="1" x14ac:dyDescent="0.2">
      <c r="B71" s="1807" t="str">
        <f>B8</f>
        <v>Företagets namn</v>
      </c>
      <c r="C71" s="1807"/>
      <c r="F71" s="1807" t="str">
        <f>F8</f>
        <v>Utförare</v>
      </c>
      <c r="G71" s="1807"/>
      <c r="H71" s="305"/>
      <c r="I71" s="305"/>
      <c r="J71" s="305"/>
      <c r="K71" s="1807" t="str">
        <f>K8</f>
        <v>Datum</v>
      </c>
      <c r="L71" s="1807"/>
      <c r="M71" s="50"/>
    </row>
    <row r="72" spans="2:14" x14ac:dyDescent="0.2">
      <c r="B72" s="1823" t="str">
        <f>B9</f>
        <v>Lunchrestaurang Ab</v>
      </c>
      <c r="C72" s="1823"/>
      <c r="D72" s="1823"/>
      <c r="E72" s="1823"/>
      <c r="F72" s="1854">
        <f>F9</f>
        <v>0</v>
      </c>
      <c r="G72" s="1854"/>
      <c r="H72" s="1854"/>
      <c r="I72" s="1854"/>
      <c r="J72" s="1854"/>
      <c r="K72" s="1865">
        <f>K9</f>
        <v>0</v>
      </c>
      <c r="L72" s="1865"/>
      <c r="M72" s="50"/>
    </row>
    <row r="73" spans="2:14" ht="6" customHeight="1" x14ac:dyDescent="0.2">
      <c r="B73" s="301"/>
      <c r="C73" s="301"/>
      <c r="D73" s="301"/>
      <c r="E73" s="301"/>
      <c r="F73" s="302"/>
      <c r="G73" s="302"/>
      <c r="H73" s="302"/>
      <c r="I73" s="302"/>
      <c r="J73" s="302"/>
      <c r="K73" s="303"/>
      <c r="L73" s="303"/>
      <c r="M73" s="50"/>
    </row>
    <row r="74" spans="2:14" ht="15.75" customHeight="1" x14ac:dyDescent="0.2">
      <c r="B74" s="301"/>
      <c r="C74" s="522" t="s">
        <v>410</v>
      </c>
      <c r="D74" s="301"/>
      <c r="E74" s="301"/>
      <c r="F74" s="301"/>
      <c r="G74" s="301"/>
      <c r="H74" s="301"/>
      <c r="I74" s="301"/>
      <c r="J74" s="301"/>
      <c r="K74" s="303"/>
      <c r="L74" s="303"/>
      <c r="M74" s="50"/>
    </row>
    <row r="75" spans="2:14" ht="13.5" customHeight="1" x14ac:dyDescent="0.2">
      <c r="B75" s="301"/>
      <c r="C75" s="301"/>
      <c r="D75" s="301"/>
      <c r="E75" s="1077">
        <f>E84</f>
        <v>2023</v>
      </c>
      <c r="F75" s="1077">
        <f>F84</f>
        <v>2024</v>
      </c>
      <c r="G75" s="1863">
        <f>G84</f>
        <v>2025</v>
      </c>
      <c r="H75" s="1864"/>
      <c r="I75" s="302"/>
      <c r="J75" s="302"/>
      <c r="K75" s="303"/>
      <c r="L75" s="303"/>
      <c r="M75" s="50"/>
    </row>
    <row r="76" spans="2:14" ht="13.5" customHeight="1" x14ac:dyDescent="0.2">
      <c r="B76" s="301"/>
      <c r="C76" s="1820" t="s">
        <v>411</v>
      </c>
      <c r="D76" s="1821"/>
      <c r="E76" s="829">
        <f>'K1 Kostnader'!F123</f>
        <v>139128.8996300275</v>
      </c>
      <c r="F76" s="829">
        <f>'K1 Kostnader'!G123</f>
        <v>158046.52392886975</v>
      </c>
      <c r="G76" s="1766">
        <f>'K1 Kostnader'!H123</f>
        <v>176332.46406925048</v>
      </c>
      <c r="H76" s="1767"/>
      <c r="I76" s="425"/>
      <c r="J76" s="302"/>
      <c r="K76" s="303"/>
      <c r="L76" s="303"/>
      <c r="M76" s="50"/>
    </row>
    <row r="77" spans="2:14" ht="13.5" customHeight="1" x14ac:dyDescent="0.2">
      <c r="B77" s="301"/>
      <c r="C77" s="1821" t="s">
        <v>412</v>
      </c>
      <c r="D77" s="1822"/>
      <c r="E77" s="829">
        <f>'K1 Kostnader'!F124</f>
        <v>9317.6025680669118</v>
      </c>
      <c r="F77" s="829">
        <f>'K1 Kostnader'!G124</f>
        <v>8367.8671869797981</v>
      </c>
      <c r="G77" s="1766">
        <f>'K1 Kostnader'!H124</f>
        <v>16721.42472149033</v>
      </c>
      <c r="H77" s="1767"/>
      <c r="I77" s="425"/>
      <c r="J77" s="302"/>
      <c r="K77" s="303"/>
      <c r="L77" s="303"/>
      <c r="M77" s="50"/>
    </row>
    <row r="78" spans="2:14" ht="13.5" customHeight="1" x14ac:dyDescent="0.2">
      <c r="B78" s="301"/>
      <c r="C78" s="426" t="s">
        <v>413</v>
      </c>
      <c r="D78" s="427"/>
      <c r="E78" s="500">
        <f>'K1 Kostnader'!F125</f>
        <v>6.6971007409994204E-2</v>
      </c>
      <c r="F78" s="500">
        <f>'K1 Kostnader'!G125</f>
        <v>5.2945594619631317E-2</v>
      </c>
      <c r="G78" s="1770">
        <f>'K1 Kostnader'!H125</f>
        <v>9.4828963059935351E-2</v>
      </c>
      <c r="H78" s="1771"/>
      <c r="I78" s="425"/>
      <c r="J78" s="302"/>
      <c r="K78" s="303"/>
      <c r="L78" s="303"/>
      <c r="M78" s="50"/>
    </row>
    <row r="79" spans="2:14" ht="13.5" customHeight="1" x14ac:dyDescent="0.2">
      <c r="B79" s="301"/>
      <c r="C79" s="1821" t="s">
        <v>414</v>
      </c>
      <c r="D79" s="1822"/>
      <c r="E79" s="829">
        <f>'K1 Kostnader'!F127</f>
        <v>270892.98245614039</v>
      </c>
      <c r="F79" s="829">
        <f>'K1 Kostnader'!G127</f>
        <v>306048.23684210522</v>
      </c>
      <c r="G79" s="1766">
        <f>'K1 Kostnader'!H127</f>
        <v>338846.10896929819</v>
      </c>
      <c r="H79" s="1767"/>
      <c r="I79" s="425"/>
      <c r="J79" s="302"/>
      <c r="K79" s="303"/>
      <c r="L79" s="303"/>
      <c r="M79" s="50"/>
    </row>
    <row r="80" spans="2:14" ht="12.75" customHeight="1" x14ac:dyDescent="0.2">
      <c r="B80" s="301"/>
      <c r="C80" s="1820" t="s">
        <v>415</v>
      </c>
      <c r="D80" s="1821"/>
      <c r="E80" s="830">
        <f>F43/F40</f>
        <v>87857.183499288774</v>
      </c>
      <c r="F80" s="829">
        <f>H43/H40</f>
        <v>99258.887624466559</v>
      </c>
      <c r="G80" s="1827">
        <f>K43/K40</f>
        <v>109896.035341394</v>
      </c>
      <c r="H80" s="1827"/>
      <c r="I80" s="425"/>
      <c r="J80" s="302"/>
      <c r="K80" s="303"/>
      <c r="L80" s="303"/>
      <c r="M80" s="50"/>
    </row>
    <row r="81" spans="1:18" ht="12.75" customHeight="1" x14ac:dyDescent="0.2">
      <c r="B81" s="301"/>
      <c r="C81" s="1820" t="s">
        <v>416</v>
      </c>
      <c r="D81" s="1821"/>
      <c r="E81" s="830">
        <f>-F45/F40</f>
        <v>32188.948443243236</v>
      </c>
      <c r="F81" s="829">
        <f>-H45/H40</f>
        <v>31548.079519297298</v>
      </c>
      <c r="G81" s="1827">
        <f>-K45/K40</f>
        <v>33745.285072902159</v>
      </c>
      <c r="H81" s="1827"/>
      <c r="I81" s="425"/>
      <c r="J81" s="302"/>
      <c r="K81" s="303"/>
      <c r="L81" s="303"/>
      <c r="M81" s="50"/>
    </row>
    <row r="82" spans="1:18" ht="6" customHeight="1" x14ac:dyDescent="0.2">
      <c r="B82" s="301"/>
      <c r="C82" s="424"/>
      <c r="D82" s="424"/>
      <c r="E82" s="301"/>
      <c r="F82" s="302"/>
      <c r="G82" s="302"/>
      <c r="H82" s="302"/>
      <c r="I82" s="302"/>
      <c r="J82" s="302"/>
      <c r="K82" s="303"/>
      <c r="L82" s="303"/>
      <c r="M82" s="50"/>
    </row>
    <row r="83" spans="1:18" s="524" customFormat="1" ht="15.75" customHeight="1" x14ac:dyDescent="0.2">
      <c r="B83" s="525"/>
      <c r="C83" s="526" t="s">
        <v>608</v>
      </c>
      <c r="D83" s="525"/>
      <c r="E83" s="527"/>
      <c r="F83" s="528"/>
      <c r="G83" s="525"/>
      <c r="H83" s="525"/>
      <c r="I83" s="525"/>
      <c r="J83" s="529"/>
      <c r="K83" s="530"/>
      <c r="L83" s="530"/>
    </row>
    <row r="84" spans="1:18" ht="12" customHeight="1" x14ac:dyDescent="0.2">
      <c r="B84" s="61"/>
      <c r="C84" s="77" t="s">
        <v>417</v>
      </c>
      <c r="D84" s="167"/>
      <c r="E84" s="1078">
        <f>F38</f>
        <v>2023</v>
      </c>
      <c r="F84" s="1078">
        <f>H38</f>
        <v>2024</v>
      </c>
      <c r="G84" s="1765">
        <f>K38</f>
        <v>2025</v>
      </c>
      <c r="H84" s="1765"/>
      <c r="I84" s="167"/>
      <c r="J84" s="335"/>
      <c r="K84" s="336"/>
      <c r="L84" s="336"/>
    </row>
    <row r="85" spans="1:18" ht="12" customHeight="1" x14ac:dyDescent="0.2">
      <c r="A85" s="168"/>
      <c r="B85" s="337"/>
      <c r="C85" s="339" t="s">
        <v>418</v>
      </c>
      <c r="D85" s="338"/>
      <c r="E85" s="901">
        <v>1</v>
      </c>
      <c r="F85" s="901">
        <v>1</v>
      </c>
      <c r="G85" s="1760">
        <v>1</v>
      </c>
      <c r="H85" s="1760"/>
      <c r="I85" s="338"/>
      <c r="J85" s="335"/>
      <c r="K85" s="336"/>
      <c r="L85" s="336"/>
    </row>
    <row r="86" spans="1:18" ht="12" customHeight="1" x14ac:dyDescent="0.2">
      <c r="A86" s="2"/>
      <c r="B86" s="337"/>
      <c r="C86" s="339" t="s">
        <v>419</v>
      </c>
      <c r="D86" s="338"/>
      <c r="E86" s="901">
        <v>1</v>
      </c>
      <c r="F86" s="901">
        <v>1</v>
      </c>
      <c r="G86" s="1760">
        <v>1</v>
      </c>
      <c r="H86" s="1760"/>
      <c r="I86" s="338"/>
      <c r="J86" s="335"/>
      <c r="K86" s="336"/>
      <c r="L86" s="336"/>
    </row>
    <row r="87" spans="1:18" ht="12" customHeight="1" x14ac:dyDescent="0.2">
      <c r="A87" s="168"/>
      <c r="B87" s="337"/>
      <c r="C87" s="339" t="s">
        <v>420</v>
      </c>
      <c r="D87" s="338"/>
      <c r="E87" s="902">
        <f>E$85*F$43+E$86*(F$44+F$45+F$46+F$47+F$48)+F$50+F51</f>
        <v>1271.2534392149728</v>
      </c>
      <c r="F87" s="902">
        <f>F85*H$43+F86*(H$44+H$45+H$46+H$47+H$48)+H$50+H51</f>
        <v>18033.360501975505</v>
      </c>
      <c r="G87" s="1761">
        <f>G$85*K$43+G$86*(K$44+K$45+K$46+K$47+K$48)+K$50+K51</f>
        <v>26734.056437504576</v>
      </c>
      <c r="H87" s="1762"/>
      <c r="I87" s="338"/>
      <c r="J87" s="335"/>
      <c r="K87" s="336"/>
      <c r="L87" s="336"/>
      <c r="R87">
        <v>0</v>
      </c>
    </row>
    <row r="88" spans="1:18" ht="16.899999999999999" customHeight="1" x14ac:dyDescent="0.2">
      <c r="B88" s="61"/>
      <c r="C88" s="77" t="s">
        <v>421</v>
      </c>
      <c r="D88" s="167"/>
      <c r="E88" s="903"/>
      <c r="F88" s="904"/>
      <c r="G88" s="167"/>
      <c r="H88" s="167"/>
      <c r="I88" s="167"/>
      <c r="J88" s="335"/>
      <c r="K88" s="336"/>
      <c r="L88" s="336"/>
    </row>
    <row r="89" spans="1:18" ht="12" customHeight="1" x14ac:dyDescent="0.2">
      <c r="A89" s="168"/>
      <c r="B89" s="337"/>
      <c r="C89" s="339" t="s">
        <v>418</v>
      </c>
      <c r="D89" s="338"/>
      <c r="E89" s="901">
        <v>1</v>
      </c>
      <c r="F89" s="901">
        <v>1</v>
      </c>
      <c r="G89" s="1760">
        <v>1</v>
      </c>
      <c r="H89" s="1760"/>
      <c r="I89" s="338"/>
      <c r="J89" s="335"/>
      <c r="K89" s="336"/>
      <c r="L89" s="336"/>
    </row>
    <row r="90" spans="1:18" ht="12" customHeight="1" x14ac:dyDescent="0.2">
      <c r="B90" s="337"/>
      <c r="C90" s="339" t="s">
        <v>419</v>
      </c>
      <c r="D90" s="338"/>
      <c r="E90" s="901">
        <v>1</v>
      </c>
      <c r="F90" s="901">
        <v>1</v>
      </c>
      <c r="G90" s="1760">
        <v>1</v>
      </c>
      <c r="H90" s="1760"/>
      <c r="I90" s="338"/>
      <c r="J90" s="335"/>
      <c r="K90" s="336"/>
      <c r="L90" s="336"/>
    </row>
    <row r="91" spans="1:18" ht="12" customHeight="1" x14ac:dyDescent="0.2">
      <c r="A91" s="168"/>
      <c r="B91" s="337"/>
      <c r="C91" s="339" t="s">
        <v>420</v>
      </c>
      <c r="D91" s="338"/>
      <c r="E91" s="902">
        <f>E89*F$43+E$90*(F$44+F$45+F$46+F$47+F$48)+F$50+F51</f>
        <v>1271.2534392149728</v>
      </c>
      <c r="F91" s="902">
        <f>F89*H$43+F90*(H$44+H$45+H$46+H$47+H$48)+H$50+H51</f>
        <v>18033.360501975505</v>
      </c>
      <c r="G91" s="1761">
        <f>G$89*K$43+G$90*(K$44+K$45+K$46+K$47+K$48)+K$50+K51</f>
        <v>26734.056437504576</v>
      </c>
      <c r="H91" s="1762"/>
      <c r="I91" s="338"/>
      <c r="J91" s="335"/>
      <c r="K91" s="336"/>
      <c r="L91" s="336"/>
    </row>
    <row r="92" spans="1:18" ht="6" customHeight="1" x14ac:dyDescent="0.2">
      <c r="B92" s="61"/>
      <c r="C92" s="62"/>
      <c r="D92" s="62"/>
      <c r="E92" s="37"/>
      <c r="F92" s="61"/>
      <c r="G92" s="61"/>
      <c r="H92" s="61"/>
      <c r="I92" s="61"/>
      <c r="J92" s="37"/>
      <c r="K92" s="37"/>
      <c r="M92" s="50"/>
    </row>
    <row r="93" spans="1:18" ht="15.75" customHeight="1" x14ac:dyDescent="0.2">
      <c r="B93" s="61"/>
      <c r="C93" s="523" t="s">
        <v>422</v>
      </c>
      <c r="D93" s="62"/>
      <c r="E93" s="37"/>
      <c r="F93" s="513"/>
      <c r="G93" s="514"/>
      <c r="H93" s="640"/>
      <c r="I93" s="641"/>
      <c r="J93" s="641"/>
      <c r="K93" s="641"/>
      <c r="L93" s="641"/>
      <c r="M93" s="50"/>
    </row>
    <row r="94" spans="1:18" ht="32.25" customHeight="1" x14ac:dyDescent="0.2">
      <c r="B94" s="1807" t="s">
        <v>425</v>
      </c>
      <c r="C94" s="1807"/>
      <c r="D94" s="62"/>
      <c r="E94" s="37"/>
      <c r="F94" s="1813" t="s">
        <v>424</v>
      </c>
      <c r="G94" s="1813"/>
      <c r="H94" s="1808" t="s">
        <v>423</v>
      </c>
      <c r="I94" s="1808"/>
      <c r="J94" s="1808"/>
      <c r="K94" s="1808"/>
      <c r="L94" s="1808"/>
      <c r="M94" s="50"/>
    </row>
    <row r="95" spans="1:18" ht="12.75" customHeight="1" x14ac:dyDescent="0.2">
      <c r="B95" s="1801" t="s">
        <v>705</v>
      </c>
      <c r="C95" s="1802"/>
      <c r="D95" s="1802"/>
      <c r="E95" s="1803"/>
      <c r="F95" s="1809">
        <v>39</v>
      </c>
      <c r="G95" s="1810"/>
      <c r="H95" s="1814" t="str">
        <f>IF(F95=0,0,LOOKUP(F95,'Ekonomiska parametrar'!B7:B74,'Ekonomiska parametrar'!C7:C74))</f>
        <v>Restauranger och motsvarande verksamhet</v>
      </c>
      <c r="I95" s="1815"/>
      <c r="J95" s="1815"/>
      <c r="K95" s="1815"/>
      <c r="L95" s="1815"/>
      <c r="M95" s="642"/>
    </row>
    <row r="96" spans="1:18" x14ac:dyDescent="0.2">
      <c r="B96" s="1804"/>
      <c r="C96" s="1805"/>
      <c r="D96" s="1805"/>
      <c r="E96" s="1806"/>
      <c r="F96" s="1811"/>
      <c r="G96" s="1812"/>
      <c r="H96" s="1816"/>
      <c r="I96" s="1817"/>
      <c r="J96" s="1817"/>
      <c r="K96" s="1817"/>
      <c r="L96" s="1817"/>
      <c r="M96" s="642"/>
    </row>
    <row r="97" spans="3:12" ht="13.15" customHeight="1" x14ac:dyDescent="0.2">
      <c r="C97" s="1"/>
      <c r="D97" s="1"/>
      <c r="E97" s="1"/>
      <c r="F97" s="1"/>
      <c r="G97" s="1"/>
      <c r="H97" s="1"/>
      <c r="I97" s="1"/>
      <c r="J97" s="1"/>
      <c r="K97" s="1"/>
      <c r="L97" s="1"/>
    </row>
    <row r="98" spans="3:12" x14ac:dyDescent="0.2">
      <c r="C98" s="1"/>
      <c r="D98" s="1"/>
      <c r="E98" s="1"/>
      <c r="F98" s="1"/>
      <c r="G98" s="1"/>
      <c r="H98" s="1"/>
      <c r="I98" s="1"/>
      <c r="J98" s="1"/>
      <c r="K98" s="1"/>
      <c r="L98" s="1"/>
    </row>
    <row r="99" spans="3:12" x14ac:dyDescent="0.2">
      <c r="C99" s="1"/>
      <c r="D99" s="1"/>
      <c r="E99" s="1"/>
      <c r="F99" s="1"/>
      <c r="G99" s="1"/>
      <c r="H99" s="1"/>
      <c r="I99" s="1"/>
      <c r="J99" s="1"/>
      <c r="K99" s="1"/>
      <c r="L99" s="1"/>
    </row>
    <row r="100" spans="3:12" x14ac:dyDescent="0.2">
      <c r="C100" s="8"/>
      <c r="D100" s="8"/>
      <c r="E100" s="8"/>
      <c r="F100" s="64"/>
      <c r="G100" s="8"/>
      <c r="H100" s="8"/>
      <c r="I100" s="8"/>
      <c r="J100" s="8"/>
      <c r="K100" s="8"/>
    </row>
    <row r="131" spans="3:6" ht="21" customHeight="1" x14ac:dyDescent="0.25">
      <c r="C131" s="749" t="str">
        <f>IF(E35&lt;&gt;0,"KONTROLLERA, ATT CELL E35=0 (Finansieringsbehov - Finansiering, differens=0)","")</f>
        <v/>
      </c>
    </row>
    <row r="132" spans="3:6" x14ac:dyDescent="0.2">
      <c r="C132" s="379" t="s">
        <v>426</v>
      </c>
    </row>
    <row r="133" spans="3:6" x14ac:dyDescent="0.2">
      <c r="C133" s="108" t="s">
        <v>347</v>
      </c>
    </row>
    <row r="134" spans="3:6" x14ac:dyDescent="0.2">
      <c r="C134" s="108" t="s">
        <v>348</v>
      </c>
    </row>
    <row r="136" spans="3:6" x14ac:dyDescent="0.2">
      <c r="D136" s="378"/>
      <c r="E136" s="378"/>
      <c r="F136" s="378"/>
    </row>
    <row r="163" spans="2:11" x14ac:dyDescent="0.2">
      <c r="B163" s="61"/>
      <c r="C163" s="61"/>
      <c r="D163" s="61"/>
      <c r="E163" s="61"/>
      <c r="F163" s="75"/>
      <c r="G163" s="65"/>
      <c r="H163" s="65"/>
      <c r="I163" s="65"/>
      <c r="J163" s="65"/>
      <c r="K163" s="65"/>
    </row>
    <row r="164" spans="2:11" x14ac:dyDescent="0.2">
      <c r="B164" s="61"/>
      <c r="C164" s="61"/>
      <c r="D164" s="61"/>
      <c r="E164" s="61"/>
      <c r="F164" s="76"/>
      <c r="G164" s="76"/>
      <c r="H164" s="76"/>
      <c r="I164" s="76"/>
      <c r="J164" s="76"/>
      <c r="K164" s="76"/>
    </row>
    <row r="165" spans="2:11" x14ac:dyDescent="0.2">
      <c r="B165" s="61"/>
      <c r="C165" s="61"/>
      <c r="D165" s="61"/>
      <c r="E165" s="61"/>
      <c r="F165" s="75"/>
      <c r="G165" s="75"/>
      <c r="H165" s="75"/>
      <c r="I165" s="75"/>
      <c r="J165" s="75"/>
      <c r="K165" s="75"/>
    </row>
    <row r="166" spans="2:11" x14ac:dyDescent="0.2">
      <c r="B166" s="61"/>
      <c r="C166" s="61"/>
      <c r="D166" s="61"/>
      <c r="E166" s="61"/>
      <c r="F166" s="75"/>
      <c r="G166" s="75"/>
      <c r="H166" s="75"/>
      <c r="I166" s="75"/>
      <c r="J166" s="75"/>
      <c r="K166" s="75"/>
    </row>
    <row r="167" spans="2:11" x14ac:dyDescent="0.2">
      <c r="B167" s="61"/>
      <c r="C167" s="61"/>
      <c r="D167" s="61"/>
      <c r="E167" s="61"/>
      <c r="F167" s="75"/>
      <c r="G167" s="65"/>
      <c r="H167" s="65"/>
      <c r="I167" s="65"/>
      <c r="J167" s="65"/>
      <c r="K167" s="65"/>
    </row>
    <row r="168" spans="2:11" x14ac:dyDescent="0.2">
      <c r="B168" s="61"/>
      <c r="C168" s="61"/>
      <c r="D168" s="61"/>
      <c r="E168" s="61"/>
      <c r="F168" s="76"/>
      <c r="G168" s="76"/>
      <c r="H168" s="76"/>
      <c r="I168" s="76"/>
      <c r="J168" s="76"/>
      <c r="K168" s="76"/>
    </row>
    <row r="169" spans="2:11" x14ac:dyDescent="0.2">
      <c r="B169" s="61"/>
      <c r="C169" s="61"/>
      <c r="D169" s="61"/>
      <c r="E169" s="61"/>
      <c r="F169" s="75"/>
      <c r="G169" s="75"/>
      <c r="H169" s="75"/>
      <c r="I169" s="75"/>
      <c r="J169" s="75"/>
      <c r="K169" s="75"/>
    </row>
    <row r="170" spans="2:11" x14ac:dyDescent="0.2">
      <c r="B170" s="61"/>
      <c r="C170" s="61"/>
      <c r="D170" s="61"/>
      <c r="E170" s="61"/>
      <c r="F170" s="75"/>
      <c r="G170" s="75"/>
      <c r="H170" s="75"/>
      <c r="I170" s="75"/>
      <c r="J170" s="75"/>
      <c r="K170" s="75"/>
    </row>
  </sheetData>
  <sheetProtection algorithmName="SHA-512" hashValue="Ycb9DuOReOx0obyL26IcrVaYz8VdlCNznl9mZ1fij221BoVteM0aXITTd4faf0SsmzRRCrOftdofO5eYlOK7mA==" saltValue="0dEhmZgKT1UYqvzRiorN2A==" spinCount="100000" sheet="1" objects="1" scenarios="1"/>
  <mergeCells count="146">
    <mergeCell ref="B15:C15"/>
    <mergeCell ref="F15:J15"/>
    <mergeCell ref="C81:D81"/>
    <mergeCell ref="G81:H81"/>
    <mergeCell ref="K66:L66"/>
    <mergeCell ref="G76:H76"/>
    <mergeCell ref="H58:I58"/>
    <mergeCell ref="H57:I57"/>
    <mergeCell ref="H52:I52"/>
    <mergeCell ref="C79:D79"/>
    <mergeCell ref="F72:J72"/>
    <mergeCell ref="K64:L64"/>
    <mergeCell ref="K67:L67"/>
    <mergeCell ref="H55:I55"/>
    <mergeCell ref="K63:L63"/>
    <mergeCell ref="F67:J67"/>
    <mergeCell ref="C67:D67"/>
    <mergeCell ref="F66:J66"/>
    <mergeCell ref="K65:L65"/>
    <mergeCell ref="C60:E60"/>
    <mergeCell ref="G75:H75"/>
    <mergeCell ref="F60:G60"/>
    <mergeCell ref="K72:L72"/>
    <mergeCell ref="H53:I53"/>
    <mergeCell ref="P26:Q26"/>
    <mergeCell ref="C80:D80"/>
    <mergeCell ref="G80:H80"/>
    <mergeCell ref="B35:D35"/>
    <mergeCell ref="C37:C38"/>
    <mergeCell ref="K35:L35"/>
    <mergeCell ref="F25:J25"/>
    <mergeCell ref="F30:J30"/>
    <mergeCell ref="H33:J33"/>
    <mergeCell ref="H47:I47"/>
    <mergeCell ref="B27:D27"/>
    <mergeCell ref="H44:I44"/>
    <mergeCell ref="K39:L39"/>
    <mergeCell ref="H39:J39"/>
    <mergeCell ref="F71:G71"/>
    <mergeCell ref="K71:L71"/>
    <mergeCell ref="H40:I40"/>
    <mergeCell ref="K38:L38"/>
    <mergeCell ref="H43:I43"/>
    <mergeCell ref="H42:I42"/>
    <mergeCell ref="B29:D29"/>
    <mergeCell ref="F26:J26"/>
    <mergeCell ref="F27:J27"/>
    <mergeCell ref="F28:J28"/>
    <mergeCell ref="B2:L2"/>
    <mergeCell ref="B21:C21"/>
    <mergeCell ref="B22:C22"/>
    <mergeCell ref="B4:L4"/>
    <mergeCell ref="F33:G33"/>
    <mergeCell ref="K6:L6"/>
    <mergeCell ref="B95:E96"/>
    <mergeCell ref="B94:C94"/>
    <mergeCell ref="G91:H91"/>
    <mergeCell ref="G90:H90"/>
    <mergeCell ref="H94:L94"/>
    <mergeCell ref="F95:G96"/>
    <mergeCell ref="F94:G94"/>
    <mergeCell ref="H95:L96"/>
    <mergeCell ref="F19:G19"/>
    <mergeCell ref="F20:G20"/>
    <mergeCell ref="K27:L27"/>
    <mergeCell ref="K37:L37"/>
    <mergeCell ref="H37:J37"/>
    <mergeCell ref="C76:D76"/>
    <mergeCell ref="C77:D77"/>
    <mergeCell ref="B71:C71"/>
    <mergeCell ref="B72:E72"/>
    <mergeCell ref="F38:G38"/>
    <mergeCell ref="H51:I51"/>
    <mergeCell ref="F37:G37"/>
    <mergeCell ref="F22:G22"/>
    <mergeCell ref="F21:G21"/>
    <mergeCell ref="K26:L26"/>
    <mergeCell ref="I22:J22"/>
    <mergeCell ref="F39:G39"/>
    <mergeCell ref="H41:I41"/>
    <mergeCell ref="H50:I50"/>
    <mergeCell ref="H48:I48"/>
    <mergeCell ref="H49:I49"/>
    <mergeCell ref="F35:J35"/>
    <mergeCell ref="F29:J29"/>
    <mergeCell ref="H46:I46"/>
    <mergeCell ref="H38:J38"/>
    <mergeCell ref="Q2:S2"/>
    <mergeCell ref="G85:H85"/>
    <mergeCell ref="G86:H86"/>
    <mergeCell ref="G87:H87"/>
    <mergeCell ref="G89:H89"/>
    <mergeCell ref="H56:I56"/>
    <mergeCell ref="K30:L30"/>
    <mergeCell ref="F31:J31"/>
    <mergeCell ref="K32:L32"/>
    <mergeCell ref="K31:L31"/>
    <mergeCell ref="G84:H84"/>
    <mergeCell ref="G77:H77"/>
    <mergeCell ref="H54:I54"/>
    <mergeCell ref="K60:L60"/>
    <mergeCell ref="H60:J60"/>
    <mergeCell ref="G78:H78"/>
    <mergeCell ref="K29:L29"/>
    <mergeCell ref="F23:J23"/>
    <mergeCell ref="N10:O10"/>
    <mergeCell ref="N11:S12"/>
    <mergeCell ref="H45:I45"/>
    <mergeCell ref="N2:O2"/>
    <mergeCell ref="K33:L33"/>
    <mergeCell ref="G79:H79"/>
    <mergeCell ref="B9:E9"/>
    <mergeCell ref="B18:C18"/>
    <mergeCell ref="B19:C19"/>
    <mergeCell ref="F32:J32"/>
    <mergeCell ref="K22:L22"/>
    <mergeCell ref="B23:C23"/>
    <mergeCell ref="I21:J21"/>
    <mergeCell ref="K21:L21"/>
    <mergeCell ref="K23:L23"/>
    <mergeCell ref="K9:L9"/>
    <mergeCell ref="G11:L11"/>
    <mergeCell ref="K19:L19"/>
    <mergeCell ref="I17:J17"/>
    <mergeCell ref="F18:G18"/>
    <mergeCell ref="K17:L17"/>
    <mergeCell ref="K18:L18"/>
    <mergeCell ref="K15:L15"/>
    <mergeCell ref="F17:G17"/>
    <mergeCell ref="F9:J9"/>
    <mergeCell ref="B13:L14"/>
    <mergeCell ref="B16:C16"/>
    <mergeCell ref="K16:L16"/>
    <mergeCell ref="K24:L24"/>
    <mergeCell ref="K25:L25"/>
    <mergeCell ref="B25:C25"/>
    <mergeCell ref="K28:L28"/>
    <mergeCell ref="B17:C17"/>
    <mergeCell ref="B32:D32"/>
    <mergeCell ref="C33:D33"/>
    <mergeCell ref="B26:C26"/>
    <mergeCell ref="B28:D28"/>
    <mergeCell ref="B20:C20"/>
    <mergeCell ref="F24:J24"/>
    <mergeCell ref="K20:L20"/>
    <mergeCell ref="B30:D30"/>
  </mergeCells>
  <conditionalFormatting sqref="F53">
    <cfRule type="cellIs" dxfId="40" priority="18" operator="greaterThan">
      <formula>$F$60</formula>
    </cfRule>
    <cfRule type="cellIs" dxfId="39" priority="21" operator="lessThan">
      <formula>$F$60</formula>
    </cfRule>
  </conditionalFormatting>
  <conditionalFormatting sqref="H53:I53">
    <cfRule type="cellIs" dxfId="38" priority="17" operator="greaterThan">
      <formula>$H$60</formula>
    </cfRule>
    <cfRule type="cellIs" dxfId="37" priority="20" operator="lessThan">
      <formula>$H$60</formula>
    </cfRule>
  </conditionalFormatting>
  <conditionalFormatting sqref="K53">
    <cfRule type="cellIs" dxfId="36" priority="16" operator="greaterThan">
      <formula>$K$60</formula>
    </cfRule>
    <cfRule type="cellIs" dxfId="35" priority="19" operator="lessThan">
      <formula>$K$60</formula>
    </cfRule>
  </conditionalFormatting>
  <conditionalFormatting sqref="E78">
    <cfRule type="cellIs" dxfId="34" priority="15" operator="greaterThan">
      <formula>0</formula>
    </cfRule>
  </conditionalFormatting>
  <conditionalFormatting sqref="E78:H78">
    <cfRule type="cellIs" dxfId="33" priority="13" operator="lessThan">
      <formula>0</formula>
    </cfRule>
    <cfRule type="cellIs" dxfId="32" priority="14" operator="greaterThan">
      <formula>0</formula>
    </cfRule>
  </conditionalFormatting>
  <conditionalFormatting sqref="E87">
    <cfRule type="cellIs" dxfId="31" priority="6" operator="lessThan">
      <formula>$F$60</formula>
    </cfRule>
    <cfRule type="cellIs" dxfId="30" priority="12" operator="greaterThan">
      <formula>$F$60</formula>
    </cfRule>
  </conditionalFormatting>
  <conditionalFormatting sqref="F87">
    <cfRule type="cellIs" dxfId="29" priority="5" operator="lessThan">
      <formula>$H$60</formula>
    </cfRule>
    <cfRule type="cellIs" dxfId="28" priority="11" operator="greaterThan">
      <formula>$H$60</formula>
    </cfRule>
  </conditionalFormatting>
  <conditionalFormatting sqref="G87:H87">
    <cfRule type="cellIs" dxfId="27" priority="4" operator="lessThan">
      <formula>$K$60</formula>
    </cfRule>
    <cfRule type="cellIs" dxfId="26" priority="10" operator="greaterThan">
      <formula>$K$60</formula>
    </cfRule>
  </conditionalFormatting>
  <conditionalFormatting sqref="E91">
    <cfRule type="cellIs" dxfId="25" priority="3" operator="lessThan">
      <formula>$F$60</formula>
    </cfRule>
    <cfRule type="cellIs" dxfId="24" priority="9" operator="greaterThan">
      <formula>$F$60</formula>
    </cfRule>
  </conditionalFormatting>
  <conditionalFormatting sqref="F91">
    <cfRule type="cellIs" dxfId="23" priority="2" operator="lessThan">
      <formula>$H$60</formula>
    </cfRule>
    <cfRule type="cellIs" dxfId="22" priority="8" operator="greaterThan">
      <formula>$H$60</formula>
    </cfRule>
  </conditionalFormatting>
  <conditionalFormatting sqref="G91:H91">
    <cfRule type="cellIs" dxfId="21" priority="1" operator="lessThan">
      <formula>$K$60</formula>
    </cfRule>
    <cfRule type="cellIs" dxfId="20" priority="7" operator="greaterThan">
      <formula>$K$60</formula>
    </cfRule>
  </conditionalFormatting>
  <printOptions horizontalCentered="1"/>
  <pageMargins left="0.25" right="0.25" top="0.75" bottom="0.75" header="0.3" footer="0.3"/>
  <pageSetup paperSize="9" scale="90" orientation="portrait" verticalDpi="4" r:id="rId1"/>
  <headerFooter>
    <oddFooter xml:space="preserve">&amp;C&amp;8FT5 Nyföretagets ekonomiplan </oddFooter>
  </headerFooter>
  <rowBreaks count="1" manualBreakCount="1">
    <brk id="68" min="1" max="22" man="1"/>
  </rowBreaks>
  <colBreaks count="1" manualBreakCount="1">
    <brk id="12" min="3" max="128" man="1"/>
  </colBreaks>
  <ignoredErrors>
    <ignoredError sqref="K16" formulaRange="1"/>
    <ignoredError sqref="G49 J49 L49 G51 G58"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89"/>
  <sheetViews>
    <sheetView showGridLines="0" showZeros="0" defaultGridColor="0" colorId="55" zoomScaleNormal="100" workbookViewId="0">
      <selection activeCell="D74" sqref="D74"/>
    </sheetView>
  </sheetViews>
  <sheetFormatPr defaultRowHeight="12.75" x14ac:dyDescent="0.2"/>
  <cols>
    <col min="1" max="1" width="5.7109375" customWidth="1"/>
    <col min="2" max="2" width="35.28515625" customWidth="1"/>
    <col min="3" max="5" width="9.28515625" customWidth="1"/>
    <col min="6" max="6" width="10.28515625" customWidth="1"/>
    <col min="7" max="8" width="7.7109375" customWidth="1"/>
    <col min="9" max="9" width="14.7109375" customWidth="1"/>
  </cols>
  <sheetData>
    <row r="2" spans="2:12" ht="6" customHeight="1" x14ac:dyDescent="0.2"/>
    <row r="3" spans="2:12" ht="4.5" customHeight="1" x14ac:dyDescent="0.2"/>
    <row r="4" spans="2:12" ht="15" customHeight="1" x14ac:dyDescent="0.2">
      <c r="B4" s="77"/>
    </row>
    <row r="5" spans="2:12" ht="15" customHeight="1" x14ac:dyDescent="0.3">
      <c r="B5" s="1866" t="s">
        <v>788</v>
      </c>
      <c r="C5" s="1866"/>
      <c r="D5" s="1866"/>
      <c r="E5" s="1866"/>
      <c r="F5" s="1866"/>
      <c r="G5" s="1866"/>
      <c r="H5" s="1866"/>
      <c r="I5" s="1866"/>
      <c r="J5" s="505"/>
      <c r="K5" s="505"/>
      <c r="L5" s="505"/>
    </row>
    <row r="6" spans="2:12" ht="12" customHeight="1" x14ac:dyDescent="0.2">
      <c r="B6" s="107" t="s">
        <v>0</v>
      </c>
      <c r="H6" s="118"/>
    </row>
    <row r="7" spans="2:12" ht="6" customHeight="1" x14ac:dyDescent="0.2">
      <c r="B7" s="2"/>
      <c r="C7" s="13"/>
      <c r="D7" s="14"/>
      <c r="E7" s="14"/>
      <c r="F7" s="1"/>
      <c r="G7" s="1"/>
    </row>
    <row r="8" spans="2:12" x14ac:dyDescent="0.2">
      <c r="B8" s="1046"/>
      <c r="C8" s="1047" t="s">
        <v>354</v>
      </c>
      <c r="D8" s="1047" t="s">
        <v>355</v>
      </c>
      <c r="E8" s="1047" t="s">
        <v>356</v>
      </c>
      <c r="F8" s="1048"/>
      <c r="G8" s="1048"/>
      <c r="H8" s="754"/>
      <c r="I8" s="754"/>
    </row>
    <row r="9" spans="2:12" x14ac:dyDescent="0.2">
      <c r="B9" s="1046"/>
      <c r="C9" s="1075">
        <f>IF('K3 Resultat'!B9&gt;0,'K3 Resultat'!F38,'FS3 Resultat'!F38)</f>
        <v>2023</v>
      </c>
      <c r="D9" s="1075">
        <f>C9+1</f>
        <v>2024</v>
      </c>
      <c r="E9" s="1075">
        <f>D9+1</f>
        <v>2025</v>
      </c>
      <c r="F9" s="1048"/>
      <c r="G9" s="1048"/>
      <c r="H9" s="754"/>
      <c r="I9" s="754"/>
    </row>
    <row r="10" spans="2:12" ht="12.75" customHeight="1" x14ac:dyDescent="0.2">
      <c r="B10" s="1049" t="str">
        <f>'K1 Kostnader'!D13</f>
        <v>Räkenskapsperiodens längd (månader)</v>
      </c>
      <c r="C10" s="328">
        <f>IF('K1 Kostnader'!$C9&gt;0,'K1 Kostnader'!F13,'FS1 Kostnader '!F13)</f>
        <v>12</v>
      </c>
      <c r="D10" s="328">
        <f>IF('K1 Kostnader'!$C9&gt;0,'K1 Kostnader'!G13,'FS1 Kostnader '!G13)</f>
        <v>12</v>
      </c>
      <c r="E10" s="328">
        <f>IF('K1 Kostnader'!$C9&gt;0,'K1 Kostnader'!H13,'FS1 Kostnader '!H13)</f>
        <v>12</v>
      </c>
      <c r="F10" s="1048"/>
      <c r="G10" s="1048"/>
      <c r="H10" s="754"/>
      <c r="I10" s="754"/>
    </row>
    <row r="11" spans="2:12" ht="12" customHeight="1" x14ac:dyDescent="0.2">
      <c r="B11" s="1050" t="s">
        <v>385</v>
      </c>
      <c r="C11" s="1076">
        <f>C14*IF(C19&gt;12,1,C19/12)+C24*IF(C29&gt;12,1,C29/12)+C34*IF(C39&gt;12,1,C39/12)+C44*IF(C49&gt;12,1,C49/12)+C54*IF(C59&gt;12,1,C59/12)+C64*IF(C69&gt;12,1,C69/12)+(C74*C76*C79/2064)</f>
        <v>2.0833333333333335</v>
      </c>
      <c r="D11" s="1076">
        <f>D14*IF(D19&gt;12,1,D19/12)+D24*IF(D29&gt;12,1,D29/12)+D34*IF(D39&gt;12,1,D39/12)+D44*IF(D49&gt;12,1,D49/12)+D54*IF(D59&gt;12,1,D59/12)+D64*IF(D69&gt;12,1,D69/12)+(D74*D76*D79/2064)</f>
        <v>2.0833333333333335</v>
      </c>
      <c r="E11" s="1076">
        <f>E14*IF(E19&gt;12,1,E19/12)+E24*IF(E29&gt;12,1,E29/12)+E34*IF(E39&gt;12,1,E39/12)+E44*IF(E49&gt;12,1,E49/12)+E54*IF(E59&gt;12,1,E59/12)+E64*IF(E69&gt;12,1,E69/12)+(E74*E76*E79/2064)</f>
        <v>2.0833333333333335</v>
      </c>
      <c r="F11" s="1868" t="str">
        <f>IF(C10=12,"","OBSERVERA FÖRSTA RÄKENSKAPSPERIODENS LÄNGD!")</f>
        <v/>
      </c>
      <c r="G11" s="1868"/>
      <c r="H11" s="1868"/>
      <c r="I11" s="1868"/>
    </row>
    <row r="12" spans="2:12" ht="4.1500000000000004" customHeight="1" x14ac:dyDescent="0.2">
      <c r="B12" s="1042"/>
      <c r="C12" s="1051"/>
      <c r="D12" s="1051"/>
      <c r="E12" s="1051"/>
      <c r="F12" s="1868"/>
      <c r="G12" s="1868"/>
      <c r="H12" s="1868"/>
      <c r="I12" s="1868"/>
    </row>
    <row r="13" spans="2:12" ht="12" customHeight="1" x14ac:dyDescent="0.2">
      <c r="B13" s="1043" t="s">
        <v>870</v>
      </c>
      <c r="C13" s="1052"/>
      <c r="D13" s="1052"/>
      <c r="E13" s="1052"/>
      <c r="F13" s="1868"/>
      <c r="G13" s="1868"/>
      <c r="H13" s="1868"/>
      <c r="I13" s="1868"/>
    </row>
    <row r="14" spans="2:12" ht="12" customHeight="1" x14ac:dyDescent="0.2">
      <c r="B14" s="1053" t="s">
        <v>432</v>
      </c>
      <c r="C14" s="1069">
        <v>1</v>
      </c>
      <c r="D14" s="1069">
        <f>C14</f>
        <v>1</v>
      </c>
      <c r="E14" s="1069">
        <f>D14</f>
        <v>1</v>
      </c>
      <c r="F14" s="1044"/>
      <c r="G14" s="1054">
        <f>D9</f>
        <v>2024</v>
      </c>
      <c r="H14" s="1054">
        <f>E9</f>
        <v>2025</v>
      </c>
      <c r="I14" s="1055"/>
    </row>
    <row r="15" spans="2:12" ht="12" customHeight="1" x14ac:dyDescent="0.2">
      <c r="B15" s="1056" t="s">
        <v>433</v>
      </c>
      <c r="C15" s="1070">
        <v>2500</v>
      </c>
      <c r="D15" s="1071">
        <f t="shared" ref="D15:E18" si="0">C15*(1+G15)</f>
        <v>2550</v>
      </c>
      <c r="E15" s="1071">
        <f t="shared" si="0"/>
        <v>2601</v>
      </c>
      <c r="F15" s="1045" t="s">
        <v>447</v>
      </c>
      <c r="G15" s="762">
        <v>0.02</v>
      </c>
      <c r="H15" s="762">
        <f>G15</f>
        <v>0.02</v>
      </c>
      <c r="I15" s="1064"/>
    </row>
    <row r="16" spans="2:12" ht="12" customHeight="1" x14ac:dyDescent="0.2">
      <c r="B16" s="1056" t="s">
        <v>434</v>
      </c>
      <c r="C16" s="1072">
        <v>1</v>
      </c>
      <c r="D16" s="1073">
        <f t="shared" si="0"/>
        <v>1</v>
      </c>
      <c r="E16" s="1073">
        <f t="shared" si="0"/>
        <v>1</v>
      </c>
      <c r="F16" s="1044"/>
      <c r="G16" s="1057"/>
      <c r="H16" s="1057"/>
      <c r="I16" s="1064"/>
    </row>
    <row r="17" spans="2:9" ht="12" customHeight="1" x14ac:dyDescent="0.2">
      <c r="B17" s="1056" t="s">
        <v>435</v>
      </c>
      <c r="C17" s="762">
        <v>0</v>
      </c>
      <c r="D17" s="762">
        <f>C17</f>
        <v>0</v>
      </c>
      <c r="E17" s="762">
        <f>D17</f>
        <v>0</v>
      </c>
      <c r="F17" s="1044"/>
      <c r="G17" s="1057"/>
      <c r="H17" s="1057"/>
      <c r="I17" s="1064"/>
    </row>
    <row r="18" spans="2:9" ht="12" customHeight="1" x14ac:dyDescent="0.2">
      <c r="B18" s="1056" t="s">
        <v>436</v>
      </c>
      <c r="C18" s="1069">
        <v>125</v>
      </c>
      <c r="D18" s="1074">
        <f t="shared" si="0"/>
        <v>127.5</v>
      </c>
      <c r="E18" s="1074">
        <f>D18*(1+H18)</f>
        <v>130.05000000000001</v>
      </c>
      <c r="F18" s="1045" t="s">
        <v>447</v>
      </c>
      <c r="G18" s="762">
        <v>0.02</v>
      </c>
      <c r="H18" s="762">
        <f>G18</f>
        <v>0.02</v>
      </c>
      <c r="I18" s="1064"/>
    </row>
    <row r="19" spans="2:9" ht="12" customHeight="1" x14ac:dyDescent="0.2">
      <c r="B19" s="1056" t="s">
        <v>437</v>
      </c>
      <c r="C19" s="1072">
        <f>C10</f>
        <v>12</v>
      </c>
      <c r="D19" s="1072">
        <v>12.5</v>
      </c>
      <c r="E19" s="1072">
        <f>D19</f>
        <v>12.5</v>
      </c>
      <c r="F19" s="1044"/>
      <c r="G19" s="1058"/>
      <c r="H19" s="1058"/>
      <c r="I19" s="1065"/>
    </row>
    <row r="20" spans="2:9" ht="12" customHeight="1" x14ac:dyDescent="0.2">
      <c r="B20" s="1056" t="s">
        <v>438</v>
      </c>
      <c r="C20" s="881">
        <f>C14*C19*(C15*C16+C15*C16*C17+C18)</f>
        <v>31500</v>
      </c>
      <c r="D20" s="881">
        <f>D14*D19*(D15*D16+D15*D16*D17+D18)</f>
        <v>33468.75</v>
      </c>
      <c r="E20" s="881">
        <f>E14*E19*(E15*E16+E15*E16*E17+E18)</f>
        <v>34138.125</v>
      </c>
      <c r="F20" s="407"/>
      <c r="G20" s="1058"/>
      <c r="H20" s="1058"/>
      <c r="I20" s="1065"/>
    </row>
    <row r="21" spans="2:9" ht="12" customHeight="1" x14ac:dyDescent="0.2">
      <c r="B21" s="1056" t="s">
        <v>439</v>
      </c>
      <c r="C21" s="881">
        <f>C14*(C15*C16+C15*C16*C17)*C19</f>
        <v>30000</v>
      </c>
      <c r="D21" s="881">
        <f>D14*(D15*D16+D15*D16*D17)*D19</f>
        <v>31875</v>
      </c>
      <c r="E21" s="881">
        <f>E14*(E15*E16+E15*E16*E17)*E19</f>
        <v>32512.5</v>
      </c>
      <c r="F21" s="1044"/>
      <c r="G21" s="1058"/>
      <c r="H21" s="1058"/>
      <c r="I21" s="1065"/>
    </row>
    <row r="22" spans="2:9" ht="3" customHeight="1" x14ac:dyDescent="0.2">
      <c r="B22" s="1056"/>
      <c r="C22" s="1059"/>
      <c r="D22" s="1059"/>
      <c r="E22" s="1059"/>
      <c r="F22" s="1056"/>
      <c r="G22" s="1060"/>
      <c r="H22" s="1060"/>
      <c r="I22" s="1065"/>
    </row>
    <row r="23" spans="2:9" ht="12" customHeight="1" x14ac:dyDescent="0.2">
      <c r="B23" s="1043" t="s">
        <v>440</v>
      </c>
      <c r="C23" s="1061"/>
      <c r="D23" s="1061"/>
      <c r="E23" s="1061"/>
      <c r="F23" s="1044"/>
      <c r="G23" s="1058"/>
      <c r="H23" s="1058"/>
      <c r="I23" s="1065"/>
    </row>
    <row r="24" spans="2:9" ht="12" customHeight="1" x14ac:dyDescent="0.2">
      <c r="B24" s="1053" t="s">
        <v>432</v>
      </c>
      <c r="C24" s="1069">
        <v>0</v>
      </c>
      <c r="D24" s="1069">
        <f>C24</f>
        <v>0</v>
      </c>
      <c r="E24" s="1069">
        <f>D24</f>
        <v>0</v>
      </c>
      <c r="F24" s="1044"/>
      <c r="G24" s="1054">
        <f>G$14</f>
        <v>2024</v>
      </c>
      <c r="H24" s="1054">
        <f>H$14</f>
        <v>2025</v>
      </c>
      <c r="I24" s="1064"/>
    </row>
    <row r="25" spans="2:9" ht="12" customHeight="1" x14ac:dyDescent="0.2">
      <c r="B25" s="1056" t="s">
        <v>433</v>
      </c>
      <c r="C25" s="1070">
        <v>0</v>
      </c>
      <c r="D25" s="1071">
        <f t="shared" ref="D25:E28" si="1">C25*(1+G25)</f>
        <v>0</v>
      </c>
      <c r="E25" s="1071">
        <f t="shared" si="1"/>
        <v>0</v>
      </c>
      <c r="F25" s="1045" t="s">
        <v>447</v>
      </c>
      <c r="G25" s="762">
        <v>0.02</v>
      </c>
      <c r="H25" s="762">
        <v>0.02</v>
      </c>
      <c r="I25" s="1064"/>
    </row>
    <row r="26" spans="2:9" ht="12" customHeight="1" x14ac:dyDescent="0.2">
      <c r="B26" s="1056" t="s">
        <v>434</v>
      </c>
      <c r="C26" s="1072">
        <v>0</v>
      </c>
      <c r="D26" s="1073">
        <f t="shared" si="1"/>
        <v>0</v>
      </c>
      <c r="E26" s="1073">
        <f t="shared" si="1"/>
        <v>0</v>
      </c>
      <c r="F26" s="1044"/>
      <c r="G26" s="1057"/>
      <c r="H26" s="1057"/>
      <c r="I26" s="1064"/>
    </row>
    <row r="27" spans="2:9" ht="12" customHeight="1" x14ac:dyDescent="0.2">
      <c r="B27" s="1056" t="s">
        <v>435</v>
      </c>
      <c r="C27" s="762">
        <v>0</v>
      </c>
      <c r="D27" s="762">
        <f>C27</f>
        <v>0</v>
      </c>
      <c r="E27" s="762">
        <f>D27</f>
        <v>0</v>
      </c>
      <c r="F27" s="1044"/>
      <c r="G27" s="1057"/>
      <c r="H27" s="1057"/>
      <c r="I27" s="1064"/>
    </row>
    <row r="28" spans="2:9" ht="12" customHeight="1" x14ac:dyDescent="0.2">
      <c r="B28" s="1056" t="s">
        <v>436</v>
      </c>
      <c r="C28" s="1069">
        <v>0</v>
      </c>
      <c r="D28" s="1074">
        <f t="shared" si="1"/>
        <v>0</v>
      </c>
      <c r="E28" s="1074">
        <f t="shared" si="1"/>
        <v>0</v>
      </c>
      <c r="F28" s="1045" t="s">
        <v>447</v>
      </c>
      <c r="G28" s="762">
        <v>0.02</v>
      </c>
      <c r="H28" s="762">
        <v>0.02</v>
      </c>
      <c r="I28" s="1064"/>
    </row>
    <row r="29" spans="2:9" ht="12" customHeight="1" x14ac:dyDescent="0.2">
      <c r="B29" s="1056" t="s">
        <v>437</v>
      </c>
      <c r="C29" s="1072">
        <f>C10</f>
        <v>12</v>
      </c>
      <c r="D29" s="1072">
        <v>12.5</v>
      </c>
      <c r="E29" s="1072">
        <f>D29</f>
        <v>12.5</v>
      </c>
      <c r="F29" s="1044"/>
      <c r="G29" s="1058"/>
      <c r="H29" s="1058"/>
      <c r="I29" s="1065"/>
    </row>
    <row r="30" spans="2:9" ht="12" customHeight="1" x14ac:dyDescent="0.2">
      <c r="B30" s="1056" t="s">
        <v>438</v>
      </c>
      <c r="C30" s="881">
        <f>C24*C29*(C25*C26+C25*C26*C27+C28)</f>
        <v>0</v>
      </c>
      <c r="D30" s="881">
        <f>D24*D29*(D25*D26+D25*D26*D27+D28)</f>
        <v>0</v>
      </c>
      <c r="E30" s="881">
        <f>E24*E29*(E25*E26+E25*E26*E27+E28)</f>
        <v>0</v>
      </c>
      <c r="F30" s="1044"/>
      <c r="G30" s="1058"/>
      <c r="H30" s="1058"/>
      <c r="I30" s="1065"/>
    </row>
    <row r="31" spans="2:9" ht="12" customHeight="1" x14ac:dyDescent="0.2">
      <c r="B31" s="1056" t="s">
        <v>439</v>
      </c>
      <c r="C31" s="881">
        <f>C24*(C25*C26+C25*C26*C27)*C29</f>
        <v>0</v>
      </c>
      <c r="D31" s="881">
        <f>D24*(D25*D26+D25*D26*D27)*D29</f>
        <v>0</v>
      </c>
      <c r="E31" s="881">
        <f>E24*(E25*E26+E25*E26*E27)*E29</f>
        <v>0</v>
      </c>
      <c r="F31" s="1044"/>
      <c r="G31" s="1058"/>
      <c r="H31" s="1058"/>
      <c r="I31" s="1065"/>
    </row>
    <row r="32" spans="2:9" ht="3" customHeight="1" x14ac:dyDescent="0.2">
      <c r="B32" s="1056"/>
      <c r="C32" s="1059"/>
      <c r="D32" s="1059"/>
      <c r="E32" s="1059"/>
      <c r="F32" s="1056"/>
      <c r="G32" s="1060"/>
      <c r="H32" s="1060"/>
      <c r="I32" s="1065"/>
    </row>
    <row r="33" spans="2:9" ht="12" customHeight="1" x14ac:dyDescent="0.2">
      <c r="B33" s="1043" t="s">
        <v>445</v>
      </c>
      <c r="C33" s="1061"/>
      <c r="D33" s="1061"/>
      <c r="E33" s="1061"/>
      <c r="F33" s="1044"/>
      <c r="G33" s="1058"/>
      <c r="H33" s="1058"/>
      <c r="I33" s="1065"/>
    </row>
    <row r="34" spans="2:9" ht="12" customHeight="1" x14ac:dyDescent="0.2">
      <c r="B34" s="1053" t="s">
        <v>432</v>
      </c>
      <c r="C34" s="1069">
        <v>0</v>
      </c>
      <c r="D34" s="1069">
        <f>C34</f>
        <v>0</v>
      </c>
      <c r="E34" s="1069">
        <f>D34</f>
        <v>0</v>
      </c>
      <c r="F34" s="1044"/>
      <c r="G34" s="1054">
        <f>G$14</f>
        <v>2024</v>
      </c>
      <c r="H34" s="1054">
        <f>H$14</f>
        <v>2025</v>
      </c>
      <c r="I34" s="1064"/>
    </row>
    <row r="35" spans="2:9" ht="12" customHeight="1" x14ac:dyDescent="0.2">
      <c r="B35" s="1056" t="s">
        <v>433</v>
      </c>
      <c r="C35" s="1070">
        <v>0</v>
      </c>
      <c r="D35" s="1071">
        <f t="shared" ref="D35:E38" si="2">C35*(1+G35)</f>
        <v>0</v>
      </c>
      <c r="E35" s="1071">
        <f t="shared" si="2"/>
        <v>0</v>
      </c>
      <c r="F35" s="1045" t="s">
        <v>447</v>
      </c>
      <c r="G35" s="762">
        <v>0.02</v>
      </c>
      <c r="H35" s="762">
        <v>0.02</v>
      </c>
      <c r="I35" s="1064"/>
    </row>
    <row r="36" spans="2:9" ht="12" customHeight="1" x14ac:dyDescent="0.2">
      <c r="B36" s="1056" t="s">
        <v>434</v>
      </c>
      <c r="C36" s="1072">
        <v>0</v>
      </c>
      <c r="D36" s="1073">
        <f t="shared" si="2"/>
        <v>0</v>
      </c>
      <c r="E36" s="1073">
        <f t="shared" si="2"/>
        <v>0</v>
      </c>
      <c r="F36" s="1044"/>
      <c r="G36" s="1057"/>
      <c r="H36" s="1057"/>
      <c r="I36" s="1064"/>
    </row>
    <row r="37" spans="2:9" ht="12" customHeight="1" x14ac:dyDescent="0.2">
      <c r="B37" s="1056" t="s">
        <v>435</v>
      </c>
      <c r="C37" s="762">
        <v>0</v>
      </c>
      <c r="D37" s="762">
        <f>C37</f>
        <v>0</v>
      </c>
      <c r="E37" s="762">
        <f>D37</f>
        <v>0</v>
      </c>
      <c r="F37" s="1044"/>
      <c r="G37" s="1057"/>
      <c r="H37" s="1057"/>
      <c r="I37" s="1064"/>
    </row>
    <row r="38" spans="2:9" ht="12" customHeight="1" x14ac:dyDescent="0.2">
      <c r="B38" s="1056" t="s">
        <v>436</v>
      </c>
      <c r="C38" s="1069">
        <v>0</v>
      </c>
      <c r="D38" s="1074">
        <f t="shared" si="2"/>
        <v>0</v>
      </c>
      <c r="E38" s="1074">
        <f t="shared" si="2"/>
        <v>0</v>
      </c>
      <c r="F38" s="1045" t="s">
        <v>447</v>
      </c>
      <c r="G38" s="762">
        <v>0.02</v>
      </c>
      <c r="H38" s="762">
        <v>0.02</v>
      </c>
      <c r="I38" s="1064"/>
    </row>
    <row r="39" spans="2:9" ht="12" customHeight="1" x14ac:dyDescent="0.2">
      <c r="B39" s="1056" t="s">
        <v>437</v>
      </c>
      <c r="C39" s="1072">
        <f>C10</f>
        <v>12</v>
      </c>
      <c r="D39" s="1072">
        <v>12.5</v>
      </c>
      <c r="E39" s="1072">
        <f>D39</f>
        <v>12.5</v>
      </c>
      <c r="F39" s="1044"/>
      <c r="G39" s="1058"/>
      <c r="H39" s="1058"/>
      <c r="I39" s="1065"/>
    </row>
    <row r="40" spans="2:9" ht="12" customHeight="1" x14ac:dyDescent="0.2">
      <c r="B40" s="1056" t="s">
        <v>438</v>
      </c>
      <c r="C40" s="881">
        <f>C34*C39*(C35*C36+C35*C36*C37+C38)</f>
        <v>0</v>
      </c>
      <c r="D40" s="881">
        <f>D34*D39*(D35*D36+D35*D36*D37+D38)</f>
        <v>0</v>
      </c>
      <c r="E40" s="881">
        <f>E34*E39*(E35*E36+E35*E36*E37+E38)</f>
        <v>0</v>
      </c>
      <c r="F40" s="1044"/>
      <c r="G40" s="1058"/>
      <c r="H40" s="1058"/>
      <c r="I40" s="1065"/>
    </row>
    <row r="41" spans="2:9" ht="12" customHeight="1" x14ac:dyDescent="0.2">
      <c r="B41" s="1056" t="s">
        <v>439</v>
      </c>
      <c r="C41" s="881">
        <f>C34*(C35*C36+C35*C36*C37)*C39</f>
        <v>0</v>
      </c>
      <c r="D41" s="881">
        <f>D34*(D35*D36+D35*D36*D37)*D39</f>
        <v>0</v>
      </c>
      <c r="E41" s="881">
        <f>E34*(E35*E36+E35*E36*E37)*E39</f>
        <v>0</v>
      </c>
      <c r="F41" s="1044"/>
      <c r="G41" s="1058"/>
      <c r="H41" s="1058"/>
      <c r="I41" s="1065"/>
    </row>
    <row r="42" spans="2:9" ht="3" customHeight="1" x14ac:dyDescent="0.2">
      <c r="B42" s="1056"/>
      <c r="C42" s="1059"/>
      <c r="D42" s="1059"/>
      <c r="E42" s="1059"/>
      <c r="F42" s="1056"/>
      <c r="G42" s="1060"/>
      <c r="H42" s="1060"/>
      <c r="I42" s="1065"/>
    </row>
    <row r="43" spans="2:9" ht="12" customHeight="1" x14ac:dyDescent="0.2">
      <c r="B43" s="1043" t="s">
        <v>446</v>
      </c>
      <c r="C43" s="1061"/>
      <c r="D43" s="1061"/>
      <c r="E43" s="1061"/>
      <c r="F43" s="1044"/>
      <c r="G43" s="1058"/>
      <c r="H43" s="1058"/>
      <c r="I43" s="1065"/>
    </row>
    <row r="44" spans="2:9" ht="12" customHeight="1" x14ac:dyDescent="0.2">
      <c r="B44" s="1053" t="s">
        <v>432</v>
      </c>
      <c r="C44" s="1069">
        <v>0</v>
      </c>
      <c r="D44" s="1069">
        <f>C44</f>
        <v>0</v>
      </c>
      <c r="E44" s="1069">
        <f>D44</f>
        <v>0</v>
      </c>
      <c r="F44" s="1044"/>
      <c r="G44" s="1054">
        <f>G$14</f>
        <v>2024</v>
      </c>
      <c r="H44" s="1054">
        <f>H$14</f>
        <v>2025</v>
      </c>
      <c r="I44" s="1064"/>
    </row>
    <row r="45" spans="2:9" ht="12" customHeight="1" x14ac:dyDescent="0.2">
      <c r="B45" s="1056" t="s">
        <v>433</v>
      </c>
      <c r="C45" s="1070">
        <v>0</v>
      </c>
      <c r="D45" s="1071">
        <f t="shared" ref="D45:E48" si="3">C45*(1+G45)</f>
        <v>0</v>
      </c>
      <c r="E45" s="1071">
        <f t="shared" si="3"/>
        <v>0</v>
      </c>
      <c r="F45" s="1045" t="s">
        <v>447</v>
      </c>
      <c r="G45" s="762">
        <v>0.02</v>
      </c>
      <c r="H45" s="762">
        <v>0.02</v>
      </c>
      <c r="I45" s="1064"/>
    </row>
    <row r="46" spans="2:9" ht="12" customHeight="1" x14ac:dyDescent="0.2">
      <c r="B46" s="1056" t="s">
        <v>434</v>
      </c>
      <c r="C46" s="1072">
        <v>0</v>
      </c>
      <c r="D46" s="1073">
        <f t="shared" si="3"/>
        <v>0</v>
      </c>
      <c r="E46" s="1073">
        <f t="shared" si="3"/>
        <v>0</v>
      </c>
      <c r="F46" s="1044"/>
      <c r="G46" s="1057"/>
      <c r="H46" s="1057"/>
      <c r="I46" s="1064"/>
    </row>
    <row r="47" spans="2:9" ht="12" customHeight="1" x14ac:dyDescent="0.2">
      <c r="B47" s="1056" t="s">
        <v>435</v>
      </c>
      <c r="C47" s="762">
        <v>0</v>
      </c>
      <c r="D47" s="762">
        <f>C47</f>
        <v>0</v>
      </c>
      <c r="E47" s="762">
        <f>D47</f>
        <v>0</v>
      </c>
      <c r="F47" s="1044"/>
      <c r="G47" s="1057"/>
      <c r="H47" s="1057"/>
      <c r="I47" s="1064"/>
    </row>
    <row r="48" spans="2:9" ht="12" customHeight="1" x14ac:dyDescent="0.2">
      <c r="B48" s="1056" t="s">
        <v>436</v>
      </c>
      <c r="C48" s="1069">
        <v>0</v>
      </c>
      <c r="D48" s="1074">
        <f t="shared" si="3"/>
        <v>0</v>
      </c>
      <c r="E48" s="1074">
        <f t="shared" si="3"/>
        <v>0</v>
      </c>
      <c r="F48" s="1045" t="s">
        <v>447</v>
      </c>
      <c r="G48" s="762">
        <v>0.02</v>
      </c>
      <c r="H48" s="762">
        <v>0.02</v>
      </c>
      <c r="I48" s="1064"/>
    </row>
    <row r="49" spans="2:9" ht="12" customHeight="1" x14ac:dyDescent="0.2">
      <c r="B49" s="1056" t="s">
        <v>437</v>
      </c>
      <c r="C49" s="1072">
        <f>C10</f>
        <v>12</v>
      </c>
      <c r="D49" s="1072">
        <v>12.5</v>
      </c>
      <c r="E49" s="1072">
        <f>D49</f>
        <v>12.5</v>
      </c>
      <c r="F49" s="1044"/>
      <c r="G49" s="1058"/>
      <c r="H49" s="1058"/>
      <c r="I49" s="1065"/>
    </row>
    <row r="50" spans="2:9" ht="12" customHeight="1" x14ac:dyDescent="0.2">
      <c r="B50" s="1056" t="s">
        <v>438</v>
      </c>
      <c r="C50" s="881">
        <f>C44*C49*(C45*C46+C45*C46*C47+C48)</f>
        <v>0</v>
      </c>
      <c r="D50" s="881">
        <f>D44*D49*(D45*D46+D45*D46*D47+D48)</f>
        <v>0</v>
      </c>
      <c r="E50" s="881">
        <f>E44*E49*(E45*E46+E45*E46*E47+E48)</f>
        <v>0</v>
      </c>
      <c r="F50" s="1044"/>
      <c r="G50" s="1058"/>
      <c r="H50" s="1058"/>
      <c r="I50" s="1065"/>
    </row>
    <row r="51" spans="2:9" ht="12" customHeight="1" x14ac:dyDescent="0.2">
      <c r="B51" s="1056" t="s">
        <v>439</v>
      </c>
      <c r="C51" s="881">
        <f>C44*(C45*C46+C45*C46*C47)*C49</f>
        <v>0</v>
      </c>
      <c r="D51" s="881">
        <f>D44*(D45*D46+D45*D46*D47)*D49</f>
        <v>0</v>
      </c>
      <c r="E51" s="881">
        <f>E44*(E45*E46+E45*E46*E47)*E49</f>
        <v>0</v>
      </c>
      <c r="F51" s="1044"/>
      <c r="G51" s="1058"/>
      <c r="H51" s="1058"/>
      <c r="I51" s="1065"/>
    </row>
    <row r="52" spans="2:9" ht="13.5" customHeight="1" x14ac:dyDescent="0.2">
      <c r="B52" s="1867" t="s">
        <v>448</v>
      </c>
      <c r="C52" s="1867"/>
      <c r="D52" s="1062"/>
      <c r="E52" s="1062"/>
      <c r="F52" s="1044"/>
      <c r="G52" s="1058"/>
      <c r="H52" s="1058"/>
      <c r="I52" s="1065"/>
    </row>
    <row r="53" spans="2:9" ht="12" customHeight="1" x14ac:dyDescent="0.2">
      <c r="B53" s="1043" t="s">
        <v>870</v>
      </c>
      <c r="C53" s="1063"/>
      <c r="D53" s="1063"/>
      <c r="E53" s="1063"/>
      <c r="F53" s="1056"/>
      <c r="G53" s="1058">
        <v>0</v>
      </c>
      <c r="H53" s="1058"/>
      <c r="I53" s="1065"/>
    </row>
    <row r="54" spans="2:9" ht="12" customHeight="1" x14ac:dyDescent="0.2">
      <c r="B54" s="1053" t="s">
        <v>432</v>
      </c>
      <c r="C54" s="1069">
        <v>1</v>
      </c>
      <c r="D54" s="1069">
        <f>C54</f>
        <v>1</v>
      </c>
      <c r="E54" s="1069">
        <f>D54</f>
        <v>1</v>
      </c>
      <c r="F54" s="1044"/>
      <c r="G54" s="1054">
        <f>G$14</f>
        <v>2024</v>
      </c>
      <c r="H54" s="1054">
        <f>H$14</f>
        <v>2025</v>
      </c>
      <c r="I54" s="1064"/>
    </row>
    <row r="55" spans="2:9" ht="12" customHeight="1" x14ac:dyDescent="0.2">
      <c r="B55" s="1056" t="s">
        <v>433</v>
      </c>
      <c r="C55" s="1070">
        <v>12</v>
      </c>
      <c r="D55" s="1070">
        <f>C55*(1+G55)</f>
        <v>12.24</v>
      </c>
      <c r="E55" s="1070">
        <f>D55*(1+H55)</f>
        <v>12.4848</v>
      </c>
      <c r="F55" s="1045" t="s">
        <v>447</v>
      </c>
      <c r="G55" s="762">
        <v>0.02</v>
      </c>
      <c r="H55" s="762">
        <v>0.02</v>
      </c>
      <c r="I55" s="1064"/>
    </row>
    <row r="56" spans="2:9" ht="12" customHeight="1" x14ac:dyDescent="0.2">
      <c r="B56" s="1056" t="s">
        <v>434</v>
      </c>
      <c r="C56" s="1072">
        <v>60.8</v>
      </c>
      <c r="D56" s="1072">
        <f>C56</f>
        <v>60.8</v>
      </c>
      <c r="E56" s="1072">
        <f>D56</f>
        <v>60.8</v>
      </c>
      <c r="F56" s="1044"/>
      <c r="G56" s="1057"/>
      <c r="H56" s="1057"/>
      <c r="I56" s="1064"/>
    </row>
    <row r="57" spans="2:9" ht="12" customHeight="1" x14ac:dyDescent="0.2">
      <c r="B57" s="1056" t="s">
        <v>435</v>
      </c>
      <c r="C57" s="762">
        <v>0</v>
      </c>
      <c r="D57" s="1072">
        <f>C57</f>
        <v>0</v>
      </c>
      <c r="E57" s="1072">
        <f>D57</f>
        <v>0</v>
      </c>
      <c r="F57" s="1044"/>
      <c r="G57" s="1057"/>
      <c r="H57" s="1057"/>
      <c r="I57" s="1064"/>
    </row>
    <row r="58" spans="2:9" ht="12" customHeight="1" x14ac:dyDescent="0.2">
      <c r="B58" s="1056" t="s">
        <v>436</v>
      </c>
      <c r="C58" s="1069">
        <v>125</v>
      </c>
      <c r="D58" s="1069">
        <f>C58*(1+G58)</f>
        <v>127.5</v>
      </c>
      <c r="E58" s="1069">
        <f>D58*(1+H58)</f>
        <v>130.05000000000001</v>
      </c>
      <c r="F58" s="1045" t="s">
        <v>447</v>
      </c>
      <c r="G58" s="762">
        <v>0.02</v>
      </c>
      <c r="H58" s="762">
        <v>0.02</v>
      </c>
      <c r="I58" s="1064"/>
    </row>
    <row r="59" spans="2:9" ht="12" customHeight="1" x14ac:dyDescent="0.2">
      <c r="B59" s="1056" t="s">
        <v>437</v>
      </c>
      <c r="C59" s="1072">
        <f>C10</f>
        <v>12</v>
      </c>
      <c r="D59" s="1072">
        <v>12.5</v>
      </c>
      <c r="E59" s="1072">
        <f>D59</f>
        <v>12.5</v>
      </c>
      <c r="F59" s="1044"/>
      <c r="G59" s="1058"/>
      <c r="H59" s="1058"/>
      <c r="I59" s="1065"/>
    </row>
    <row r="60" spans="2:9" ht="12" customHeight="1" x14ac:dyDescent="0.2">
      <c r="B60" s="1056" t="s">
        <v>438</v>
      </c>
      <c r="C60" s="881">
        <f>C54*C59*(C55*C56+C55*C56*C57+C58)</f>
        <v>10255.199999999999</v>
      </c>
      <c r="D60" s="881">
        <f>D54*D59*(D55*D56+D55*D56*D57+D58)</f>
        <v>10896.15</v>
      </c>
      <c r="E60" s="881">
        <f>E54*E59*(E55*E56+E55*E56*E57+E58)</f>
        <v>11114.072999999999</v>
      </c>
      <c r="F60" s="1044"/>
      <c r="G60" s="1058"/>
      <c r="H60" s="1058"/>
      <c r="I60" s="1065"/>
    </row>
    <row r="61" spans="2:9" ht="12" customHeight="1" x14ac:dyDescent="0.2">
      <c r="B61" s="1056" t="s">
        <v>439</v>
      </c>
      <c r="C61" s="881">
        <f>C54*(C55*C56+C55*C56*C57)*C59</f>
        <v>8755.1999999999989</v>
      </c>
      <c r="D61" s="881">
        <f>D54*(D55*D56+D55*D56*D57)*D59</f>
        <v>9302.4</v>
      </c>
      <c r="E61" s="881">
        <f>E54*(E55*E56+E55*E56*E57)*E59</f>
        <v>9488.4480000000003</v>
      </c>
      <c r="F61" s="1044"/>
      <c r="G61" s="1058"/>
      <c r="H61" s="1058"/>
      <c r="I61" s="1065"/>
    </row>
    <row r="62" spans="2:9" ht="3" customHeight="1" x14ac:dyDescent="0.2">
      <c r="B62" s="1056"/>
      <c r="C62" s="1059"/>
      <c r="D62" s="1059"/>
      <c r="E62" s="1059"/>
      <c r="F62" s="1044"/>
      <c r="G62" s="1060"/>
      <c r="H62" s="1060"/>
      <c r="I62" s="1065"/>
    </row>
    <row r="63" spans="2:9" ht="12" customHeight="1" x14ac:dyDescent="0.2">
      <c r="B63" s="1043" t="s">
        <v>871</v>
      </c>
      <c r="C63" s="1059"/>
      <c r="D63" s="1059"/>
      <c r="E63" s="1059"/>
      <c r="F63" s="1056"/>
      <c r="G63" s="1058"/>
      <c r="H63" s="1058"/>
      <c r="I63" s="1065"/>
    </row>
    <row r="64" spans="2:9" ht="12" customHeight="1" x14ac:dyDescent="0.2">
      <c r="B64" s="1053" t="s">
        <v>432</v>
      </c>
      <c r="C64" s="1069">
        <v>1</v>
      </c>
      <c r="D64" s="1069">
        <f>C64</f>
        <v>1</v>
      </c>
      <c r="E64" s="1069">
        <f>D64</f>
        <v>1</v>
      </c>
      <c r="F64" s="1044"/>
      <c r="G64" s="1054">
        <f>G$14</f>
        <v>2024</v>
      </c>
      <c r="H64" s="1054">
        <f>H$14</f>
        <v>2025</v>
      </c>
      <c r="I64" s="1064"/>
    </row>
    <row r="65" spans="2:9" ht="12" customHeight="1" x14ac:dyDescent="0.2">
      <c r="B65" s="1056" t="s">
        <v>433</v>
      </c>
      <c r="C65" s="1070">
        <v>10.5</v>
      </c>
      <c r="D65" s="1070">
        <f>C65*(1+G65)</f>
        <v>10.71</v>
      </c>
      <c r="E65" s="1070">
        <f>D65*(1+H65)</f>
        <v>10.924200000000001</v>
      </c>
      <c r="F65" s="1045" t="s">
        <v>447</v>
      </c>
      <c r="G65" s="762">
        <v>0.02</v>
      </c>
      <c r="H65" s="762">
        <v>0.02</v>
      </c>
      <c r="I65" s="1064"/>
    </row>
    <row r="66" spans="2:9" ht="12" customHeight="1" x14ac:dyDescent="0.2">
      <c r="B66" s="1056" t="s">
        <v>434</v>
      </c>
      <c r="C66" s="1072">
        <v>162</v>
      </c>
      <c r="D66" s="1072">
        <f>C66</f>
        <v>162</v>
      </c>
      <c r="E66" s="1072">
        <f>D66</f>
        <v>162</v>
      </c>
      <c r="F66" s="1044"/>
      <c r="G66" s="1057"/>
      <c r="H66" s="1057"/>
      <c r="I66" s="1064"/>
    </row>
    <row r="67" spans="2:9" ht="12" customHeight="1" x14ac:dyDescent="0.2">
      <c r="B67" s="1056" t="s">
        <v>435</v>
      </c>
      <c r="C67" s="762"/>
      <c r="D67" s="762">
        <f>C67</f>
        <v>0</v>
      </c>
      <c r="E67" s="762">
        <f>D67</f>
        <v>0</v>
      </c>
      <c r="F67" s="1044"/>
      <c r="G67" s="1057"/>
      <c r="H67" s="1057"/>
      <c r="I67" s="1064"/>
    </row>
    <row r="68" spans="2:9" ht="12" customHeight="1" x14ac:dyDescent="0.2">
      <c r="B68" s="1056" t="s">
        <v>436</v>
      </c>
      <c r="C68" s="1069">
        <v>121</v>
      </c>
      <c r="D68" s="1069">
        <f>C68*(1+G68)</f>
        <v>123.42</v>
      </c>
      <c r="E68" s="1069">
        <f>D68*(1+H68)</f>
        <v>125.8884</v>
      </c>
      <c r="F68" s="1045" t="s">
        <v>447</v>
      </c>
      <c r="G68" s="762">
        <v>0.02</v>
      </c>
      <c r="H68" s="762">
        <v>0.02</v>
      </c>
      <c r="I68" s="1064"/>
    </row>
    <row r="69" spans="2:9" ht="12" customHeight="1" x14ac:dyDescent="0.2">
      <c r="B69" s="1056" t="s">
        <v>437</v>
      </c>
      <c r="C69" s="1072">
        <v>1</v>
      </c>
      <c r="D69" s="1072">
        <v>1</v>
      </c>
      <c r="E69" s="1072">
        <f>D69</f>
        <v>1</v>
      </c>
      <c r="F69" s="1066"/>
      <c r="G69" s="1044"/>
      <c r="H69" s="1044"/>
      <c r="I69" s="1064"/>
    </row>
    <row r="70" spans="2:9" ht="12" customHeight="1" x14ac:dyDescent="0.2">
      <c r="B70" s="1056" t="s">
        <v>438</v>
      </c>
      <c r="C70" s="881">
        <f>C64*C69*(C65*C66+C65*C66*C67+C68)</f>
        <v>1822</v>
      </c>
      <c r="D70" s="881">
        <f>D64*D69*(D65*D66+D65*D66*D67+D68)</f>
        <v>1858.4400000000003</v>
      </c>
      <c r="E70" s="881">
        <f>E64*E69*(E65*E66+E65*E66*E67+E68)</f>
        <v>1895.6088000000002</v>
      </c>
      <c r="F70" s="1044"/>
      <c r="G70" s="1044"/>
      <c r="H70" s="1044"/>
      <c r="I70" s="1064"/>
    </row>
    <row r="71" spans="2:9" ht="12" customHeight="1" x14ac:dyDescent="0.2">
      <c r="B71" s="1056" t="s">
        <v>439</v>
      </c>
      <c r="C71" s="881">
        <f>C64*(C65*C66+C65*C66*C67)*C69</f>
        <v>1701</v>
      </c>
      <c r="D71" s="881">
        <f>D64*(D65*D66+D65*D66*D67)*D69</f>
        <v>1735.0200000000002</v>
      </c>
      <c r="E71" s="881">
        <f>E64*(E65*E66+E65*E66*E67)*E69</f>
        <v>1769.7204000000002</v>
      </c>
      <c r="F71" s="1044"/>
      <c r="G71" s="1044"/>
      <c r="H71" s="1044"/>
      <c r="I71" s="1064"/>
    </row>
    <row r="72" spans="2:9" ht="3" customHeight="1" x14ac:dyDescent="0.2">
      <c r="B72" s="1056"/>
      <c r="C72" s="1059"/>
      <c r="D72" s="1059"/>
      <c r="E72" s="1059"/>
      <c r="F72" s="1044"/>
      <c r="G72" s="1056"/>
      <c r="H72" s="1056"/>
      <c r="I72" s="1064"/>
    </row>
    <row r="73" spans="2:9" ht="12" customHeight="1" x14ac:dyDescent="0.2">
      <c r="B73" s="1043" t="s">
        <v>441</v>
      </c>
      <c r="C73" s="1059"/>
      <c r="D73" s="1059"/>
      <c r="E73" s="1059"/>
      <c r="F73" s="1056"/>
      <c r="G73" s="1044"/>
      <c r="H73" s="1044"/>
      <c r="I73" s="1064"/>
    </row>
    <row r="74" spans="2:9" ht="12" customHeight="1" x14ac:dyDescent="0.2">
      <c r="B74" s="1053" t="s">
        <v>432</v>
      </c>
      <c r="C74" s="1069"/>
      <c r="D74" s="1069">
        <f>C74</f>
        <v>0</v>
      </c>
      <c r="E74" s="1069">
        <f>D74</f>
        <v>0</v>
      </c>
      <c r="F74" s="1044"/>
      <c r="G74" s="1054">
        <f>G$14</f>
        <v>2024</v>
      </c>
      <c r="H74" s="1054">
        <f>H$14</f>
        <v>2025</v>
      </c>
      <c r="I74" s="1064"/>
    </row>
    <row r="75" spans="2:9" ht="12" customHeight="1" x14ac:dyDescent="0.2">
      <c r="B75" s="1056" t="s">
        <v>433</v>
      </c>
      <c r="C75" s="1070"/>
      <c r="D75" s="1070">
        <f>C75*(1+G75)</f>
        <v>0</v>
      </c>
      <c r="E75" s="1070">
        <f>D75*(1+H75)</f>
        <v>0</v>
      </c>
      <c r="F75" s="1045" t="s">
        <v>447</v>
      </c>
      <c r="G75" s="762">
        <v>0.02</v>
      </c>
      <c r="H75" s="762">
        <v>0.02</v>
      </c>
      <c r="I75" s="1064"/>
    </row>
    <row r="76" spans="2:9" ht="12" customHeight="1" x14ac:dyDescent="0.2">
      <c r="B76" s="1056" t="s">
        <v>434</v>
      </c>
      <c r="C76" s="1072"/>
      <c r="D76" s="1072">
        <f>C76</f>
        <v>0</v>
      </c>
      <c r="E76" s="1072">
        <f>D76</f>
        <v>0</v>
      </c>
      <c r="F76" s="1044"/>
      <c r="G76" s="1057"/>
      <c r="H76" s="1057"/>
      <c r="I76" s="1064"/>
    </row>
    <row r="77" spans="2:9" ht="12" customHeight="1" x14ac:dyDescent="0.2">
      <c r="B77" s="1056" t="s">
        <v>435</v>
      </c>
      <c r="C77" s="762"/>
      <c r="D77" s="762">
        <f>C77</f>
        <v>0</v>
      </c>
      <c r="E77" s="762">
        <f>D77</f>
        <v>0</v>
      </c>
      <c r="F77" s="1044"/>
      <c r="G77" s="1057"/>
      <c r="H77" s="1057"/>
      <c r="I77" s="1064"/>
    </row>
    <row r="78" spans="2:9" ht="12" customHeight="1" x14ac:dyDescent="0.2">
      <c r="B78" s="1056" t="s">
        <v>436</v>
      </c>
      <c r="C78" s="1069"/>
      <c r="D78" s="1069">
        <f>C78*(1+G78)</f>
        <v>0</v>
      </c>
      <c r="E78" s="1069">
        <f>D78*(1+H78)</f>
        <v>0</v>
      </c>
      <c r="F78" s="1045" t="s">
        <v>447</v>
      </c>
      <c r="G78" s="762">
        <v>0.02</v>
      </c>
      <c r="H78" s="762">
        <v>0.02</v>
      </c>
      <c r="I78" s="1064"/>
    </row>
    <row r="79" spans="2:9" ht="12" customHeight="1" x14ac:dyDescent="0.2">
      <c r="B79" s="1056" t="s">
        <v>437</v>
      </c>
      <c r="C79" s="1072">
        <f>C10</f>
        <v>12</v>
      </c>
      <c r="D79" s="1072">
        <f>C79</f>
        <v>12</v>
      </c>
      <c r="E79" s="1072">
        <f>D79</f>
        <v>12</v>
      </c>
      <c r="F79" s="1066"/>
      <c r="G79" s="1058"/>
      <c r="H79" s="1058"/>
      <c r="I79" s="1065"/>
    </row>
    <row r="80" spans="2:9" ht="12" customHeight="1" x14ac:dyDescent="0.2">
      <c r="B80" s="1056" t="s">
        <v>438</v>
      </c>
      <c r="C80" s="881">
        <f>C74*C79*(C75*C76+C75*C76*C77+C78)</f>
        <v>0</v>
      </c>
      <c r="D80" s="881">
        <f>D74*D79*(D75*D76+D75*D76*D77+D78)</f>
        <v>0</v>
      </c>
      <c r="E80" s="881">
        <f>E74*E79*(E75*E76+E75*E76*E77+E78)</f>
        <v>0</v>
      </c>
      <c r="F80" s="1044"/>
      <c r="G80" s="1058"/>
      <c r="H80" s="1058"/>
      <c r="I80" s="1065"/>
    </row>
    <row r="81" spans="2:9" ht="12" customHeight="1" x14ac:dyDescent="0.2">
      <c r="B81" s="1056" t="s">
        <v>439</v>
      </c>
      <c r="C81" s="881">
        <f>C74*(C75*C76+C75*C76*C77)*C79</f>
        <v>0</v>
      </c>
      <c r="D81" s="881">
        <f>D74*(D75*D76+D75*D76*D77)*D79</f>
        <v>0</v>
      </c>
      <c r="E81" s="881">
        <f>E74*(E75*E76+E75*E76*E77)*E79</f>
        <v>0</v>
      </c>
      <c r="F81" s="1044"/>
      <c r="G81" s="1058"/>
      <c r="H81" s="1058"/>
      <c r="I81" s="1065"/>
    </row>
    <row r="82" spans="2:9" ht="3" customHeight="1" x14ac:dyDescent="0.2">
      <c r="B82" s="1067"/>
      <c r="C82" s="1052"/>
      <c r="D82" s="1052"/>
      <c r="E82" s="1052"/>
      <c r="F82" s="1044"/>
      <c r="G82" s="1060"/>
      <c r="H82" s="1060"/>
      <c r="I82" s="1065"/>
    </row>
    <row r="83" spans="2:9" ht="12.75" customHeight="1" x14ac:dyDescent="0.2">
      <c r="B83" s="1068" t="s">
        <v>442</v>
      </c>
      <c r="C83" s="1039">
        <f>C81+C71+C61+C51+C41+C31+C21</f>
        <v>40456.199999999997</v>
      </c>
      <c r="D83" s="1039">
        <f>D81+D71+D61+D51+D41+D31+D21</f>
        <v>42912.42</v>
      </c>
      <c r="E83" s="1039">
        <f>E81+E71+E61+E51+E41+E31+E21</f>
        <v>43770.668400000002</v>
      </c>
      <c r="F83" s="1056"/>
      <c r="G83" s="1065"/>
      <c r="H83" s="1065"/>
      <c r="I83" s="1065"/>
    </row>
    <row r="84" spans="2:9" ht="12.75" customHeight="1" x14ac:dyDescent="0.2">
      <c r="B84" s="1068" t="s">
        <v>443</v>
      </c>
      <c r="C84" s="1039">
        <f>C18*IF(C19=12.5,12,C19)*C14+C24*C28*IF(C29=12.5,12,C29)+C34*C38*IF(C39=12.5,12,C39)+C44*C48*IF(C49=12.5,12,C49)+C54*C58*IF(C59=12.5,12,C59)+C64*C68*IF(C69=12.5,12,C69)+C74*C78*IF(C79=12.5,12,C79)</f>
        <v>3121</v>
      </c>
      <c r="D84" s="1039">
        <f>D18*IF(D19=12.5,12,D19)*D14+D24*D28*IF(D29=12.5,12,D29)+D34*D38*IF(D39=12.5,12,D39)+D44*D48*IF(D49=12.5,12,D49)+D54*D58*IF(D59=12.5,12,D59)+D64*D68*IF(D69=12.5,12,D69)+D74*D78*IF(D79=12.5,12,D79)</f>
        <v>3183.42</v>
      </c>
      <c r="E84" s="1039">
        <f>E18*IF(E19=12.5,12,E19)*E14+E24*E28*IF(E29=12.5,12,E29)+E34*E38*IF(E39=12.5,12,E39)+E44*E48*IF(E49=12.5,12,E49)+E54*E58*IF(E59=12.5,12,E59)+E64*E68*IF(E69=12.5,12,E69)+E74*E78*IF(E79=12.5,12,E79)</f>
        <v>3247.0884000000001</v>
      </c>
      <c r="F84" s="1044"/>
      <c r="G84" s="1065"/>
      <c r="H84" s="1065"/>
      <c r="I84" s="1065"/>
    </row>
    <row r="85" spans="2:9" ht="12.75" customHeight="1" x14ac:dyDescent="0.2">
      <c r="B85" s="1068" t="s">
        <v>444</v>
      </c>
      <c r="C85" s="1039">
        <f>SUM(C83:C84)</f>
        <v>43577.2</v>
      </c>
      <c r="D85" s="1039">
        <f>SUM(D83:D84)</f>
        <v>46095.839999999997</v>
      </c>
      <c r="E85" s="1039">
        <f>SUM(E83:E84)</f>
        <v>47017.756800000003</v>
      </c>
      <c r="F85" s="1044"/>
      <c r="G85" s="1065"/>
      <c r="H85" s="1065"/>
      <c r="I85" s="1065"/>
    </row>
    <row r="87" spans="2:9" x14ac:dyDescent="0.2">
      <c r="B87" s="379" t="s">
        <v>426</v>
      </c>
    </row>
    <row r="88" spans="2:9" x14ac:dyDescent="0.2">
      <c r="B88" s="108" t="s">
        <v>347</v>
      </c>
    </row>
    <row r="89" spans="2:9" x14ac:dyDescent="0.2">
      <c r="B89" s="108" t="s">
        <v>348</v>
      </c>
    </row>
  </sheetData>
  <sheetProtection algorithmName="SHA-512" hashValue="WtFht6GQuk3N8eN+qMvaPYQk7rn7DSE3chsAr6mWZlu1Nr7AEXK9v7YY6T3k6eksrGrv5/AUW2m7wU2F67B7lQ==" saltValue="6twGW48pdbs1XvCdv+3m9w==" spinCount="100000" sheet="1" objects="1" scenarios="1" selectLockedCells="1"/>
  <mergeCells count="3">
    <mergeCell ref="B5:I5"/>
    <mergeCell ref="B52:C52"/>
    <mergeCell ref="F11:I13"/>
  </mergeCells>
  <printOptions horizontalCentered="1"/>
  <pageMargins left="0.25" right="0.25" top="0.75" bottom="0.75" header="0.3" footer="0.3"/>
  <pageSetup paperSize="9" scale="85"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N25"/>
  <sheetViews>
    <sheetView topLeftCell="B1" workbookViewId="0">
      <selection activeCell="G11" sqref="G11"/>
    </sheetView>
  </sheetViews>
  <sheetFormatPr defaultRowHeight="12.75" x14ac:dyDescent="0.2"/>
  <cols>
    <col min="1" max="1" width="11.28515625" customWidth="1"/>
    <col min="2" max="2" width="20" customWidth="1"/>
  </cols>
  <sheetData>
    <row r="2" spans="1:14" x14ac:dyDescent="0.2">
      <c r="B2" s="64"/>
      <c r="C2" s="493" t="str">
        <f>Kassabudget!G6</f>
        <v>JAN</v>
      </c>
      <c r="D2" s="493" t="str">
        <f>Kassabudget!H6</f>
        <v>FEB</v>
      </c>
      <c r="E2" s="493" t="str">
        <f>Kassabudget!I6</f>
        <v>MARS</v>
      </c>
      <c r="F2" s="493" t="str">
        <f>Kassabudget!J6</f>
        <v>APR</v>
      </c>
      <c r="G2" s="493" t="str">
        <f>Kassabudget!K6</f>
        <v>MAJ</v>
      </c>
      <c r="H2" s="493" t="str">
        <f>Kassabudget!L6</f>
        <v>JUNI</v>
      </c>
      <c r="I2" s="493" t="str">
        <f>Kassabudget!M6</f>
        <v>JULI</v>
      </c>
      <c r="J2" s="493" t="str">
        <f>Kassabudget!N6</f>
        <v>AUG</v>
      </c>
      <c r="K2" s="493" t="str">
        <f>Kassabudget!O6</f>
        <v>SEP</v>
      </c>
      <c r="L2" s="493" t="str">
        <f>Kassabudget!P6</f>
        <v>OKT</v>
      </c>
      <c r="M2" s="493" t="str">
        <f>Kassabudget!Q6</f>
        <v>NOV</v>
      </c>
      <c r="N2" s="493" t="str">
        <f>Kassabudget!R6</f>
        <v>DEC</v>
      </c>
    </row>
    <row r="3" spans="1:14" x14ac:dyDescent="0.2">
      <c r="B3" s="64" t="s">
        <v>154</v>
      </c>
      <c r="C3" s="494">
        <f>Kassabudget!E12</f>
        <v>14</v>
      </c>
      <c r="D3" s="494">
        <f>C3</f>
        <v>14</v>
      </c>
      <c r="E3" s="494">
        <f t="shared" ref="E3:N3" si="0">D3</f>
        <v>14</v>
      </c>
      <c r="F3" s="494">
        <f t="shared" si="0"/>
        <v>14</v>
      </c>
      <c r="G3" s="494">
        <f t="shared" si="0"/>
        <v>14</v>
      </c>
      <c r="H3" s="494">
        <f t="shared" si="0"/>
        <v>14</v>
      </c>
      <c r="I3" s="494">
        <f t="shared" si="0"/>
        <v>14</v>
      </c>
      <c r="J3" s="494">
        <f t="shared" si="0"/>
        <v>14</v>
      </c>
      <c r="K3" s="494">
        <f t="shared" si="0"/>
        <v>14</v>
      </c>
      <c r="L3" s="494">
        <f t="shared" si="0"/>
        <v>14</v>
      </c>
      <c r="M3" s="494">
        <f t="shared" si="0"/>
        <v>14</v>
      </c>
      <c r="N3" s="494">
        <f t="shared" si="0"/>
        <v>14</v>
      </c>
    </row>
    <row r="4" spans="1:14" x14ac:dyDescent="0.2">
      <c r="A4" s="64" t="s">
        <v>0</v>
      </c>
      <c r="B4" s="64" t="s">
        <v>170</v>
      </c>
      <c r="C4" s="434">
        <f>Kassabudget!G10</f>
        <v>6176.3600000000006</v>
      </c>
      <c r="D4" s="434">
        <f>Kassabudget!H10</f>
        <v>9264.5399999999991</v>
      </c>
      <c r="E4" s="434">
        <f>Kassabudget!I10</f>
        <v>9264.5399999999991</v>
      </c>
      <c r="F4" s="434">
        <f>Kassabudget!J10</f>
        <v>10808.630000000001</v>
      </c>
      <c r="G4" s="434">
        <f>Kassabudget!K10</f>
        <v>12352.720000000001</v>
      </c>
      <c r="H4" s="434">
        <f>Kassabudget!L10</f>
        <v>13896.81</v>
      </c>
      <c r="I4" s="434">
        <f>Kassabudget!M10</f>
        <v>15440.900000000001</v>
      </c>
      <c r="J4" s="434">
        <f>Kassabudget!N10</f>
        <v>15440.900000000001</v>
      </c>
      <c r="K4" s="434">
        <f>Kassabudget!O10</f>
        <v>15440.900000000001</v>
      </c>
      <c r="L4" s="434">
        <f>Kassabudget!P10</f>
        <v>15440.900000000001</v>
      </c>
      <c r="M4" s="434">
        <f>Kassabudget!Q10</f>
        <v>15440.900000000001</v>
      </c>
      <c r="N4" s="434">
        <f>Kassabudget!R10</f>
        <v>15440.900000000001</v>
      </c>
    </row>
    <row r="5" spans="1:14" x14ac:dyDescent="0.2">
      <c r="A5" s="495" t="s">
        <v>155</v>
      </c>
      <c r="B5" s="495" t="s">
        <v>156</v>
      </c>
      <c r="C5" s="496">
        <f>IF(C$3&lt;31,C$4*(30-C3)/30,0)</f>
        <v>3294.0586666666668</v>
      </c>
      <c r="D5" s="496">
        <f t="shared" ref="D5:N5" si="1">IF(D$3&lt;31,D$4*(30-D3)/30,0)</f>
        <v>4941.0879999999997</v>
      </c>
      <c r="E5" s="496">
        <f t="shared" si="1"/>
        <v>4941.0879999999997</v>
      </c>
      <c r="F5" s="496">
        <f t="shared" si="1"/>
        <v>5764.6026666666676</v>
      </c>
      <c r="G5" s="496">
        <f t="shared" si="1"/>
        <v>6588.1173333333336</v>
      </c>
      <c r="H5" s="496">
        <f t="shared" si="1"/>
        <v>7411.6319999999996</v>
      </c>
      <c r="I5" s="496">
        <f t="shared" si="1"/>
        <v>8235.1466666666674</v>
      </c>
      <c r="J5" s="496">
        <f t="shared" si="1"/>
        <v>8235.1466666666674</v>
      </c>
      <c r="K5" s="496">
        <f t="shared" si="1"/>
        <v>8235.1466666666674</v>
      </c>
      <c r="L5" s="496">
        <f t="shared" si="1"/>
        <v>8235.1466666666674</v>
      </c>
      <c r="M5" s="496">
        <f t="shared" si="1"/>
        <v>8235.1466666666674</v>
      </c>
      <c r="N5" s="496">
        <f t="shared" si="1"/>
        <v>8235.1466666666674</v>
      </c>
    </row>
    <row r="6" spans="1:14" x14ac:dyDescent="0.2">
      <c r="A6" s="8" t="s">
        <v>157</v>
      </c>
      <c r="B6" s="8" t="s">
        <v>158</v>
      </c>
      <c r="C6" s="75">
        <f>IF(C3&gt;30,0,C4-C5)</f>
        <v>2882.3013333333338</v>
      </c>
      <c r="D6" s="75">
        <f t="shared" ref="D6:N6" si="2">IF(D3&gt;30,0,D4-D5)</f>
        <v>4323.4519999999993</v>
      </c>
      <c r="E6" s="75">
        <f t="shared" si="2"/>
        <v>4323.4519999999993</v>
      </c>
      <c r="F6" s="75">
        <f t="shared" si="2"/>
        <v>5044.0273333333334</v>
      </c>
      <c r="G6" s="75">
        <f t="shared" si="2"/>
        <v>5764.6026666666676</v>
      </c>
      <c r="H6" s="75">
        <f t="shared" si="2"/>
        <v>6485.1779999999999</v>
      </c>
      <c r="I6" s="75">
        <f t="shared" si="2"/>
        <v>7205.753333333334</v>
      </c>
      <c r="J6" s="75">
        <f t="shared" si="2"/>
        <v>7205.753333333334</v>
      </c>
      <c r="K6" s="75">
        <f t="shared" si="2"/>
        <v>7205.753333333334</v>
      </c>
      <c r="L6" s="75">
        <f t="shared" si="2"/>
        <v>7205.753333333334</v>
      </c>
      <c r="M6" s="75">
        <f t="shared" si="2"/>
        <v>7205.753333333334</v>
      </c>
      <c r="N6" s="75">
        <f t="shared" si="2"/>
        <v>7205.753333333334</v>
      </c>
    </row>
    <row r="7" spans="1:14" x14ac:dyDescent="0.2">
      <c r="A7" s="495" t="s">
        <v>157</v>
      </c>
      <c r="B7" s="495" t="s">
        <v>158</v>
      </c>
      <c r="C7" s="496">
        <f>IF(C$3&lt;31,0,IF(C$3&gt;60,0,C$4*(60-C$3))/30)</f>
        <v>0</v>
      </c>
      <c r="D7" s="496">
        <f t="shared" ref="D7:N7" si="3">IF(D$3&lt;31,0,IF(D$3&gt;60,0,D$4*(60-D$3))/30)</f>
        <v>0</v>
      </c>
      <c r="E7" s="496">
        <f t="shared" si="3"/>
        <v>0</v>
      </c>
      <c r="F7" s="496">
        <f t="shared" si="3"/>
        <v>0</v>
      </c>
      <c r="G7" s="496">
        <f t="shared" si="3"/>
        <v>0</v>
      </c>
      <c r="H7" s="496">
        <f t="shared" si="3"/>
        <v>0</v>
      </c>
      <c r="I7" s="496">
        <f t="shared" si="3"/>
        <v>0</v>
      </c>
      <c r="J7" s="496">
        <f t="shared" si="3"/>
        <v>0</v>
      </c>
      <c r="K7" s="496">
        <f t="shared" si="3"/>
        <v>0</v>
      </c>
      <c r="L7" s="496">
        <f t="shared" si="3"/>
        <v>0</v>
      </c>
      <c r="M7" s="496">
        <f t="shared" si="3"/>
        <v>0</v>
      </c>
      <c r="N7" s="496">
        <f t="shared" si="3"/>
        <v>0</v>
      </c>
    </row>
    <row r="8" spans="1:14" x14ac:dyDescent="0.2">
      <c r="A8" s="8" t="s">
        <v>159</v>
      </c>
      <c r="B8" s="8" t="s">
        <v>160</v>
      </c>
      <c r="C8" s="75">
        <f>IF(C$3&lt;31,0,IF(C$3&gt;60,0,C4-C7))</f>
        <v>0</v>
      </c>
      <c r="D8" s="75">
        <f t="shared" ref="D8:N8" si="4">IF(D$3&lt;31,0,IF(D$3&gt;60,0,D4-D7))</f>
        <v>0</v>
      </c>
      <c r="E8" s="75">
        <f t="shared" si="4"/>
        <v>0</v>
      </c>
      <c r="F8" s="75">
        <f t="shared" si="4"/>
        <v>0</v>
      </c>
      <c r="G8" s="75">
        <f t="shared" si="4"/>
        <v>0</v>
      </c>
      <c r="H8" s="75">
        <f t="shared" si="4"/>
        <v>0</v>
      </c>
      <c r="I8" s="75">
        <f t="shared" si="4"/>
        <v>0</v>
      </c>
      <c r="J8" s="75">
        <f t="shared" si="4"/>
        <v>0</v>
      </c>
      <c r="K8" s="75">
        <f t="shared" si="4"/>
        <v>0</v>
      </c>
      <c r="L8" s="75">
        <f t="shared" si="4"/>
        <v>0</v>
      </c>
      <c r="M8" s="75">
        <f t="shared" si="4"/>
        <v>0</v>
      </c>
      <c r="N8" s="75">
        <f t="shared" si="4"/>
        <v>0</v>
      </c>
    </row>
    <row r="9" spans="1:14" x14ac:dyDescent="0.2">
      <c r="A9" s="495" t="s">
        <v>159</v>
      </c>
      <c r="B9" s="495" t="s">
        <v>160</v>
      </c>
      <c r="C9" s="496">
        <f>IF(C$3&lt;61,0,IF(C$3&gt;90,0,C$4*(90-C$3))/30)</f>
        <v>0</v>
      </c>
      <c r="D9" s="496">
        <f t="shared" ref="D9:N9" si="5">IF(D$3&lt;61,0,IF(D$3&gt;90,0,D$4*(90-D$3))/30)</f>
        <v>0</v>
      </c>
      <c r="E9" s="496">
        <f t="shared" si="5"/>
        <v>0</v>
      </c>
      <c r="F9" s="496">
        <f t="shared" si="5"/>
        <v>0</v>
      </c>
      <c r="G9" s="496">
        <f t="shared" si="5"/>
        <v>0</v>
      </c>
      <c r="H9" s="496">
        <f t="shared" si="5"/>
        <v>0</v>
      </c>
      <c r="I9" s="496">
        <f t="shared" si="5"/>
        <v>0</v>
      </c>
      <c r="J9" s="496">
        <f t="shared" si="5"/>
        <v>0</v>
      </c>
      <c r="K9" s="496">
        <f t="shared" si="5"/>
        <v>0</v>
      </c>
      <c r="L9" s="496">
        <f t="shared" si="5"/>
        <v>0</v>
      </c>
      <c r="M9" s="496">
        <f t="shared" si="5"/>
        <v>0</v>
      </c>
      <c r="N9" s="496">
        <f t="shared" si="5"/>
        <v>0</v>
      </c>
    </row>
    <row r="10" spans="1:14" x14ac:dyDescent="0.2">
      <c r="A10" s="8" t="s">
        <v>161</v>
      </c>
      <c r="B10" s="8" t="s">
        <v>162</v>
      </c>
      <c r="C10" s="75">
        <f>IF(C$3&lt;61,0,IF(C$3&gt;90,0,C4-C9))</f>
        <v>0</v>
      </c>
      <c r="D10" s="75">
        <f t="shared" ref="D10:N10" si="6">IF(D$3&lt;61,0,IF(D$3&gt;90,0,D4-D9))</f>
        <v>0</v>
      </c>
      <c r="E10" s="75">
        <f t="shared" si="6"/>
        <v>0</v>
      </c>
      <c r="F10" s="75">
        <f t="shared" si="6"/>
        <v>0</v>
      </c>
      <c r="G10" s="75">
        <f t="shared" si="6"/>
        <v>0</v>
      </c>
      <c r="H10" s="75">
        <f t="shared" si="6"/>
        <v>0</v>
      </c>
      <c r="I10" s="75">
        <f t="shared" si="6"/>
        <v>0</v>
      </c>
      <c r="J10" s="75">
        <f t="shared" si="6"/>
        <v>0</v>
      </c>
      <c r="K10" s="75">
        <f t="shared" si="6"/>
        <v>0</v>
      </c>
      <c r="L10" s="75">
        <f t="shared" si="6"/>
        <v>0</v>
      </c>
      <c r="M10" s="75">
        <f t="shared" si="6"/>
        <v>0</v>
      </c>
      <c r="N10" s="75">
        <f t="shared" si="6"/>
        <v>0</v>
      </c>
    </row>
    <row r="11" spans="1:14" x14ac:dyDescent="0.2">
      <c r="A11" s="495" t="s">
        <v>161</v>
      </c>
      <c r="B11" s="495" t="s">
        <v>162</v>
      </c>
      <c r="C11" s="496">
        <f>IF(C$3&lt;91,0,IF(C$3&gt;120,0,C$4*(120-C$3))/30)</f>
        <v>0</v>
      </c>
      <c r="D11" s="496">
        <f t="shared" ref="D11:N11" si="7">IF(D$3&lt;91,0,IF(D$3&gt;120,0,D$4*(120-D$3))/30)</f>
        <v>0</v>
      </c>
      <c r="E11" s="496">
        <f t="shared" si="7"/>
        <v>0</v>
      </c>
      <c r="F11" s="496">
        <f t="shared" si="7"/>
        <v>0</v>
      </c>
      <c r="G11" s="496">
        <f t="shared" si="7"/>
        <v>0</v>
      </c>
      <c r="H11" s="496">
        <f t="shared" si="7"/>
        <v>0</v>
      </c>
      <c r="I11" s="496">
        <f t="shared" si="7"/>
        <v>0</v>
      </c>
      <c r="J11" s="496">
        <f t="shared" si="7"/>
        <v>0</v>
      </c>
      <c r="K11" s="496">
        <f t="shared" si="7"/>
        <v>0</v>
      </c>
      <c r="L11" s="496">
        <f t="shared" si="7"/>
        <v>0</v>
      </c>
      <c r="M11" s="496">
        <f t="shared" si="7"/>
        <v>0</v>
      </c>
      <c r="N11" s="496">
        <f t="shared" si="7"/>
        <v>0</v>
      </c>
    </row>
    <row r="12" spans="1:14" x14ac:dyDescent="0.2">
      <c r="A12" s="8" t="s">
        <v>163</v>
      </c>
      <c r="B12" s="8" t="s">
        <v>164</v>
      </c>
      <c r="C12" s="75">
        <f>IF(C$3&lt;91,0,IF(C$3&gt;120,0,C4-C11))</f>
        <v>0</v>
      </c>
      <c r="D12" s="75">
        <f t="shared" ref="D12:N12" si="8">IF(D$3&lt;91,0,IF(D$3&gt;120,0,D4-D11))</f>
        <v>0</v>
      </c>
      <c r="E12" s="75">
        <f t="shared" si="8"/>
        <v>0</v>
      </c>
      <c r="F12" s="75">
        <f t="shared" si="8"/>
        <v>0</v>
      </c>
      <c r="G12" s="75">
        <f t="shared" si="8"/>
        <v>0</v>
      </c>
      <c r="H12" s="75">
        <f t="shared" si="8"/>
        <v>0</v>
      </c>
      <c r="I12" s="75">
        <f t="shared" si="8"/>
        <v>0</v>
      </c>
      <c r="J12" s="75">
        <f t="shared" si="8"/>
        <v>0</v>
      </c>
      <c r="K12" s="75">
        <f t="shared" si="8"/>
        <v>0</v>
      </c>
      <c r="L12" s="75">
        <f t="shared" si="8"/>
        <v>0</v>
      </c>
      <c r="M12" s="75">
        <f t="shared" si="8"/>
        <v>0</v>
      </c>
      <c r="N12" s="75">
        <f t="shared" si="8"/>
        <v>0</v>
      </c>
    </row>
    <row r="13" spans="1:14" x14ac:dyDescent="0.2">
      <c r="A13" s="495" t="s">
        <v>163</v>
      </c>
      <c r="B13" s="495" t="s">
        <v>164</v>
      </c>
      <c r="C13" s="496">
        <f>IF(C$3&lt;121,0,IF(C$3&gt;150,0,C$4*(150-C$3))/30)</f>
        <v>0</v>
      </c>
      <c r="D13" s="496">
        <f t="shared" ref="D13:N13" si="9">IF(D$3&lt;121,0,IF(D$3&gt;150,0,D$4*(150-D$3))/30)</f>
        <v>0</v>
      </c>
      <c r="E13" s="496">
        <f t="shared" si="9"/>
        <v>0</v>
      </c>
      <c r="F13" s="496">
        <f t="shared" si="9"/>
        <v>0</v>
      </c>
      <c r="G13" s="496">
        <f t="shared" si="9"/>
        <v>0</v>
      </c>
      <c r="H13" s="496">
        <f t="shared" si="9"/>
        <v>0</v>
      </c>
      <c r="I13" s="496">
        <f t="shared" si="9"/>
        <v>0</v>
      </c>
      <c r="J13" s="496">
        <f t="shared" si="9"/>
        <v>0</v>
      </c>
      <c r="K13" s="496">
        <f t="shared" si="9"/>
        <v>0</v>
      </c>
      <c r="L13" s="496">
        <f t="shared" si="9"/>
        <v>0</v>
      </c>
      <c r="M13" s="496">
        <f t="shared" si="9"/>
        <v>0</v>
      </c>
      <c r="N13" s="496">
        <f t="shared" si="9"/>
        <v>0</v>
      </c>
    </row>
    <row r="14" spans="1:14" x14ac:dyDescent="0.2">
      <c r="A14" s="8" t="s">
        <v>165</v>
      </c>
      <c r="B14" s="8" t="s">
        <v>166</v>
      </c>
      <c r="C14" s="75">
        <f>IF(C$3&lt;121,0,IF(C$3&gt;150,0,C4-C13))</f>
        <v>0</v>
      </c>
      <c r="D14" s="75">
        <f t="shared" ref="D14:N14" si="10">IF(D$3&lt;121,0,IF(D$3&gt;150,0,D4-D13))</f>
        <v>0</v>
      </c>
      <c r="E14" s="75">
        <f t="shared" si="10"/>
        <v>0</v>
      </c>
      <c r="F14" s="75">
        <f t="shared" si="10"/>
        <v>0</v>
      </c>
      <c r="G14" s="75">
        <f t="shared" si="10"/>
        <v>0</v>
      </c>
      <c r="H14" s="75">
        <f t="shared" si="10"/>
        <v>0</v>
      </c>
      <c r="I14" s="75">
        <f t="shared" si="10"/>
        <v>0</v>
      </c>
      <c r="J14" s="75">
        <f t="shared" si="10"/>
        <v>0</v>
      </c>
      <c r="K14" s="75">
        <f t="shared" si="10"/>
        <v>0</v>
      </c>
      <c r="L14" s="75">
        <f t="shared" si="10"/>
        <v>0</v>
      </c>
      <c r="M14" s="75">
        <f t="shared" si="10"/>
        <v>0</v>
      </c>
      <c r="N14" s="75">
        <f t="shared" si="10"/>
        <v>0</v>
      </c>
    </row>
    <row r="15" spans="1:14" x14ac:dyDescent="0.2">
      <c r="A15" s="495" t="s">
        <v>165</v>
      </c>
      <c r="B15" s="495" t="s">
        <v>166</v>
      </c>
      <c r="C15" s="496">
        <f>IF(C$3&lt;151,0,IF(C$3&gt;180,0,C$4*(180-C$3))/30)</f>
        <v>0</v>
      </c>
      <c r="D15" s="496">
        <f t="shared" ref="D15:N15" si="11">IF(D$3&lt;151,0,IF(D$3&gt;180,0,D$4*(180-D$3))/30)</f>
        <v>0</v>
      </c>
      <c r="E15" s="496">
        <f t="shared" si="11"/>
        <v>0</v>
      </c>
      <c r="F15" s="496">
        <f t="shared" si="11"/>
        <v>0</v>
      </c>
      <c r="G15" s="496">
        <f t="shared" si="11"/>
        <v>0</v>
      </c>
      <c r="H15" s="496">
        <f t="shared" si="11"/>
        <v>0</v>
      </c>
      <c r="I15" s="496">
        <f t="shared" si="11"/>
        <v>0</v>
      </c>
      <c r="J15" s="496">
        <f t="shared" si="11"/>
        <v>0</v>
      </c>
      <c r="K15" s="496">
        <f t="shared" si="11"/>
        <v>0</v>
      </c>
      <c r="L15" s="496">
        <f t="shared" si="11"/>
        <v>0</v>
      </c>
      <c r="M15" s="496">
        <f t="shared" si="11"/>
        <v>0</v>
      </c>
      <c r="N15" s="496">
        <f t="shared" si="11"/>
        <v>0</v>
      </c>
    </row>
    <row r="16" spans="1:14" x14ac:dyDescent="0.2">
      <c r="A16" s="8"/>
      <c r="B16" s="8" t="s">
        <v>167</v>
      </c>
      <c r="C16" s="75">
        <f>IF(C$3&lt;151,0,IF(C$3&gt;180,0,C4-C15))</f>
        <v>0</v>
      </c>
      <c r="D16" s="75">
        <f t="shared" ref="D16:N16" si="12">IF(D$3&lt;151,0,IF(D$3&gt;180,0,D4-D15))</f>
        <v>0</v>
      </c>
      <c r="E16" s="75">
        <f t="shared" si="12"/>
        <v>0</v>
      </c>
      <c r="F16" s="75">
        <f t="shared" si="12"/>
        <v>0</v>
      </c>
      <c r="G16" s="75">
        <f t="shared" si="12"/>
        <v>0</v>
      </c>
      <c r="H16" s="75">
        <f t="shared" si="12"/>
        <v>0</v>
      </c>
      <c r="I16" s="75">
        <f t="shared" si="12"/>
        <v>0</v>
      </c>
      <c r="J16" s="75">
        <f t="shared" si="12"/>
        <v>0</v>
      </c>
      <c r="K16" s="75">
        <f t="shared" si="12"/>
        <v>0</v>
      </c>
      <c r="L16" s="75">
        <f t="shared" si="12"/>
        <v>0</v>
      </c>
      <c r="M16" s="75">
        <f t="shared" si="12"/>
        <v>0</v>
      </c>
      <c r="N16" s="75">
        <f t="shared" si="12"/>
        <v>0</v>
      </c>
    </row>
    <row r="17" spans="1:14" x14ac:dyDescent="0.2">
      <c r="A17" s="64"/>
      <c r="B17" s="64" t="s">
        <v>168</v>
      </c>
      <c r="C17" s="493" t="str">
        <f>C2</f>
        <v>JAN</v>
      </c>
      <c r="D17" s="493" t="str">
        <f t="shared" ref="D17:N17" si="13">D2</f>
        <v>FEB</v>
      </c>
      <c r="E17" s="493" t="str">
        <f t="shared" si="13"/>
        <v>MARS</v>
      </c>
      <c r="F17" s="493" t="str">
        <f t="shared" si="13"/>
        <v>APR</v>
      </c>
      <c r="G17" s="493" t="str">
        <f t="shared" si="13"/>
        <v>MAJ</v>
      </c>
      <c r="H17" s="493" t="str">
        <f t="shared" si="13"/>
        <v>JUNI</v>
      </c>
      <c r="I17" s="493" t="str">
        <f t="shared" si="13"/>
        <v>JULI</v>
      </c>
      <c r="J17" s="493" t="str">
        <f t="shared" si="13"/>
        <v>AUG</v>
      </c>
      <c r="K17" s="493" t="str">
        <f t="shared" si="13"/>
        <v>SEP</v>
      </c>
      <c r="L17" s="493" t="str">
        <f t="shared" si="13"/>
        <v>OKT</v>
      </c>
      <c r="M17" s="493" t="str">
        <f t="shared" si="13"/>
        <v>NOV</v>
      </c>
      <c r="N17" s="493" t="str">
        <f t="shared" si="13"/>
        <v>DEC</v>
      </c>
    </row>
    <row r="18" spans="1:14" x14ac:dyDescent="0.2">
      <c r="A18" s="8"/>
      <c r="B18" s="8" t="s">
        <v>171</v>
      </c>
      <c r="C18" s="75">
        <f>+C5</f>
        <v>3294.0586666666668</v>
      </c>
      <c r="D18" s="75">
        <f t="shared" ref="D18:N18" si="14">+D5</f>
        <v>4941.0879999999997</v>
      </c>
      <c r="E18" s="75">
        <f t="shared" si="14"/>
        <v>4941.0879999999997</v>
      </c>
      <c r="F18" s="75">
        <f t="shared" si="14"/>
        <v>5764.6026666666676</v>
      </c>
      <c r="G18" s="75">
        <f t="shared" si="14"/>
        <v>6588.1173333333336</v>
      </c>
      <c r="H18" s="75">
        <f t="shared" si="14"/>
        <v>7411.6319999999996</v>
      </c>
      <c r="I18" s="75">
        <f t="shared" si="14"/>
        <v>8235.1466666666674</v>
      </c>
      <c r="J18" s="75">
        <f t="shared" si="14"/>
        <v>8235.1466666666674</v>
      </c>
      <c r="K18" s="75">
        <f t="shared" si="14"/>
        <v>8235.1466666666674</v>
      </c>
      <c r="L18" s="75">
        <f t="shared" si="14"/>
        <v>8235.1466666666674</v>
      </c>
      <c r="M18" s="75">
        <f t="shared" si="14"/>
        <v>8235.1466666666674</v>
      </c>
      <c r="N18" s="75">
        <f t="shared" si="14"/>
        <v>8235.1466666666674</v>
      </c>
    </row>
    <row r="19" spans="1:14" x14ac:dyDescent="0.2">
      <c r="A19" s="8"/>
      <c r="B19" s="8" t="s">
        <v>158</v>
      </c>
      <c r="C19" s="75"/>
      <c r="D19" s="75">
        <f>C6+C7</f>
        <v>2882.3013333333338</v>
      </c>
      <c r="E19" s="75">
        <f t="shared" ref="E19:N19" si="15">D6+D7</f>
        <v>4323.4519999999993</v>
      </c>
      <c r="F19" s="75">
        <f t="shared" si="15"/>
        <v>4323.4519999999993</v>
      </c>
      <c r="G19" s="75">
        <f t="shared" si="15"/>
        <v>5044.0273333333334</v>
      </c>
      <c r="H19" s="75">
        <f t="shared" si="15"/>
        <v>5764.6026666666676</v>
      </c>
      <c r="I19" s="75">
        <f t="shared" si="15"/>
        <v>6485.1779999999999</v>
      </c>
      <c r="J19" s="75">
        <f t="shared" si="15"/>
        <v>7205.753333333334</v>
      </c>
      <c r="K19" s="75">
        <f t="shared" si="15"/>
        <v>7205.753333333334</v>
      </c>
      <c r="L19" s="75">
        <f t="shared" si="15"/>
        <v>7205.753333333334</v>
      </c>
      <c r="M19" s="75">
        <f t="shared" si="15"/>
        <v>7205.753333333334</v>
      </c>
      <c r="N19" s="75">
        <f t="shared" si="15"/>
        <v>7205.753333333334</v>
      </c>
    </row>
    <row r="20" spans="1:14" x14ac:dyDescent="0.2">
      <c r="A20" s="8"/>
      <c r="B20" s="8" t="s">
        <v>160</v>
      </c>
      <c r="C20" s="75"/>
      <c r="D20" s="75"/>
      <c r="E20" s="75">
        <f>C8+C9</f>
        <v>0</v>
      </c>
      <c r="F20" s="75">
        <f t="shared" ref="F20:N20" si="16">D8+D9</f>
        <v>0</v>
      </c>
      <c r="G20" s="75">
        <f t="shared" si="16"/>
        <v>0</v>
      </c>
      <c r="H20" s="75">
        <f t="shared" si="16"/>
        <v>0</v>
      </c>
      <c r="I20" s="75">
        <f t="shared" si="16"/>
        <v>0</v>
      </c>
      <c r="J20" s="75">
        <f t="shared" si="16"/>
        <v>0</v>
      </c>
      <c r="K20" s="75">
        <f t="shared" si="16"/>
        <v>0</v>
      </c>
      <c r="L20" s="75">
        <f t="shared" si="16"/>
        <v>0</v>
      </c>
      <c r="M20" s="75">
        <f t="shared" si="16"/>
        <v>0</v>
      </c>
      <c r="N20" s="75">
        <f t="shared" si="16"/>
        <v>0</v>
      </c>
    </row>
    <row r="21" spans="1:14" x14ac:dyDescent="0.2">
      <c r="A21" s="8"/>
      <c r="B21" s="8" t="s">
        <v>162</v>
      </c>
      <c r="C21" s="75"/>
      <c r="D21" s="75"/>
      <c r="E21" s="75"/>
      <c r="F21" s="75">
        <f>C10+C11</f>
        <v>0</v>
      </c>
      <c r="G21" s="75">
        <f t="shared" ref="G21:N21" si="17">D10+D11</f>
        <v>0</v>
      </c>
      <c r="H21" s="75">
        <f t="shared" si="17"/>
        <v>0</v>
      </c>
      <c r="I21" s="75">
        <f t="shared" si="17"/>
        <v>0</v>
      </c>
      <c r="J21" s="75">
        <f t="shared" si="17"/>
        <v>0</v>
      </c>
      <c r="K21" s="75">
        <f t="shared" si="17"/>
        <v>0</v>
      </c>
      <c r="L21" s="75">
        <f t="shared" si="17"/>
        <v>0</v>
      </c>
      <c r="M21" s="75">
        <f t="shared" si="17"/>
        <v>0</v>
      </c>
      <c r="N21" s="75">
        <f t="shared" si="17"/>
        <v>0</v>
      </c>
    </row>
    <row r="22" spans="1:14" x14ac:dyDescent="0.2">
      <c r="A22" s="8"/>
      <c r="B22" s="8" t="s">
        <v>164</v>
      </c>
      <c r="C22" s="75"/>
      <c r="D22" s="75"/>
      <c r="E22" s="75"/>
      <c r="F22" s="75"/>
      <c r="G22" s="75">
        <f>C12+C13</f>
        <v>0</v>
      </c>
      <c r="H22" s="75">
        <f t="shared" ref="H22:N22" si="18">D12+D13</f>
        <v>0</v>
      </c>
      <c r="I22" s="75">
        <f t="shared" si="18"/>
        <v>0</v>
      </c>
      <c r="J22" s="75">
        <f t="shared" si="18"/>
        <v>0</v>
      </c>
      <c r="K22" s="75">
        <f t="shared" si="18"/>
        <v>0</v>
      </c>
      <c r="L22" s="75">
        <f t="shared" si="18"/>
        <v>0</v>
      </c>
      <c r="M22" s="75">
        <f t="shared" si="18"/>
        <v>0</v>
      </c>
      <c r="N22" s="75">
        <f t="shared" si="18"/>
        <v>0</v>
      </c>
    </row>
    <row r="23" spans="1:14" x14ac:dyDescent="0.2">
      <c r="A23" s="8"/>
      <c r="B23" s="8" t="s">
        <v>166</v>
      </c>
      <c r="C23" s="75"/>
      <c r="D23" s="75"/>
      <c r="E23" s="75"/>
      <c r="F23" s="75"/>
      <c r="G23" s="75"/>
      <c r="H23" s="75">
        <f>C14+C15</f>
        <v>0</v>
      </c>
      <c r="I23" s="75">
        <f t="shared" ref="I23:N23" si="19">D14+D15</f>
        <v>0</v>
      </c>
      <c r="J23" s="75">
        <f t="shared" si="19"/>
        <v>0</v>
      </c>
      <c r="K23" s="75">
        <f t="shared" si="19"/>
        <v>0</v>
      </c>
      <c r="L23" s="75">
        <f t="shared" si="19"/>
        <v>0</v>
      </c>
      <c r="M23" s="75">
        <f t="shared" si="19"/>
        <v>0</v>
      </c>
      <c r="N23" s="75">
        <f t="shared" si="19"/>
        <v>0</v>
      </c>
    </row>
    <row r="24" spans="1:14" x14ac:dyDescent="0.2">
      <c r="A24" s="8"/>
      <c r="B24" s="8" t="s">
        <v>167</v>
      </c>
      <c r="C24" s="75"/>
      <c r="D24" s="75"/>
      <c r="E24" s="75"/>
      <c r="F24" s="75"/>
      <c r="G24" s="75"/>
      <c r="H24" s="75"/>
      <c r="I24" s="75">
        <f t="shared" ref="I24:N24" si="20">C16</f>
        <v>0</v>
      </c>
      <c r="J24" s="75">
        <f t="shared" si="20"/>
        <v>0</v>
      </c>
      <c r="K24" s="75">
        <f t="shared" si="20"/>
        <v>0</v>
      </c>
      <c r="L24" s="75">
        <f t="shared" si="20"/>
        <v>0</v>
      </c>
      <c r="M24" s="75">
        <f t="shared" si="20"/>
        <v>0</v>
      </c>
      <c r="N24" s="75">
        <f t="shared" si="20"/>
        <v>0</v>
      </c>
    </row>
    <row r="25" spans="1:14" x14ac:dyDescent="0.2">
      <c r="A25" s="64"/>
      <c r="B25" s="64" t="s">
        <v>169</v>
      </c>
      <c r="C25" s="434">
        <f>SUM(C18:C24)</f>
        <v>3294.0586666666668</v>
      </c>
      <c r="D25" s="434">
        <f t="shared" ref="D25:N25" si="21">SUM(D18:D24)</f>
        <v>7823.3893333333335</v>
      </c>
      <c r="E25" s="434">
        <f t="shared" si="21"/>
        <v>9264.5399999999991</v>
      </c>
      <c r="F25" s="434">
        <f t="shared" si="21"/>
        <v>10088.054666666667</v>
      </c>
      <c r="G25" s="434">
        <f t="shared" si="21"/>
        <v>11632.144666666667</v>
      </c>
      <c r="H25" s="434">
        <f t="shared" si="21"/>
        <v>13176.234666666667</v>
      </c>
      <c r="I25" s="434">
        <f t="shared" si="21"/>
        <v>14720.324666666667</v>
      </c>
      <c r="J25" s="434">
        <f t="shared" si="21"/>
        <v>15440.900000000001</v>
      </c>
      <c r="K25" s="434">
        <f t="shared" si="21"/>
        <v>15440.900000000001</v>
      </c>
      <c r="L25" s="434">
        <f t="shared" si="21"/>
        <v>15440.900000000001</v>
      </c>
      <c r="M25" s="434">
        <f t="shared" si="21"/>
        <v>15440.900000000001</v>
      </c>
      <c r="N25" s="434">
        <f t="shared" si="21"/>
        <v>15440.900000000001</v>
      </c>
    </row>
  </sheetData>
  <sheetProtection password="9675"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8">
    <tabColor theme="8" tint="0.39997558519241921"/>
  </sheetPr>
  <dimension ref="A2:AA105"/>
  <sheetViews>
    <sheetView showGridLines="0" showZeros="0" defaultGridColor="0" colorId="55" zoomScaleNormal="100" workbookViewId="0">
      <selection activeCell="C19" sqref="C19:F19"/>
    </sheetView>
  </sheetViews>
  <sheetFormatPr defaultRowHeight="12.75" x14ac:dyDescent="0.2"/>
  <cols>
    <col min="1" max="1" width="11.7109375" customWidth="1"/>
    <col min="2" max="2" width="3.28515625" customWidth="1"/>
    <col min="3" max="3" width="4.140625" customWidth="1"/>
    <col min="4" max="4" width="27.5703125" customWidth="1"/>
    <col min="5" max="5" width="4.28515625" customWidth="1"/>
    <col min="6" max="6" width="6" customWidth="1"/>
    <col min="7" max="19" width="11.28515625" customWidth="1"/>
    <col min="20" max="20" width="9.7109375" customWidth="1"/>
    <col min="21" max="21" width="3.28515625" style="1341" hidden="1" customWidth="1"/>
    <col min="22" max="22" width="11" style="428" hidden="1" customWidth="1"/>
    <col min="23" max="23" width="12.85546875" style="372" hidden="1" customWidth="1"/>
    <col min="24" max="24" width="64.85546875" hidden="1" customWidth="1"/>
  </cols>
  <sheetData>
    <row r="2" spans="1:27" ht="17.25" customHeight="1" x14ac:dyDescent="0.3">
      <c r="B2" s="1874" t="s">
        <v>247</v>
      </c>
      <c r="C2" s="1875"/>
      <c r="D2" s="1874"/>
      <c r="E2" s="266"/>
      <c r="F2" s="266"/>
      <c r="G2" s="1883"/>
      <c r="H2" s="1883"/>
      <c r="I2" s="1883"/>
      <c r="J2" s="1883"/>
      <c r="K2" s="1883"/>
      <c r="L2" s="1883"/>
      <c r="M2" s="1883"/>
      <c r="N2" s="1883"/>
      <c r="O2" s="531"/>
      <c r="P2" s="531"/>
      <c r="Q2" s="531"/>
      <c r="R2" s="505"/>
      <c r="S2" s="505"/>
      <c r="W2" s="967"/>
      <c r="X2" s="279"/>
    </row>
    <row r="3" spans="1:27" ht="10.15" customHeight="1" x14ac:dyDescent="0.2">
      <c r="B3" s="8"/>
      <c r="C3" s="77"/>
      <c r="D3" s="963" t="s">
        <v>246</v>
      </c>
      <c r="E3" s="8"/>
      <c r="F3" s="8"/>
      <c r="G3" s="8"/>
      <c r="H3" s="8"/>
      <c r="I3" s="8"/>
      <c r="J3" s="8"/>
      <c r="K3" s="8"/>
      <c r="L3" s="8"/>
      <c r="M3" s="8"/>
      <c r="N3" s="8"/>
      <c r="O3" s="8"/>
      <c r="P3" s="8"/>
      <c r="Q3" s="8"/>
      <c r="R3" s="8"/>
      <c r="S3" s="8"/>
      <c r="T3" s="8"/>
      <c r="U3" s="8"/>
      <c r="V3" s="372"/>
      <c r="X3" s="8"/>
      <c r="Y3" s="8"/>
      <c r="Z3" s="8"/>
      <c r="AA3" s="8"/>
    </row>
    <row r="4" spans="1:27" ht="20.25" x14ac:dyDescent="0.3">
      <c r="A4" s="170"/>
      <c r="B4" s="170"/>
      <c r="C4" s="170"/>
      <c r="D4" s="1880" t="str">
        <f>IF('K3 Resultat'!B9&gt;0,'K3 Resultat'!B9,'FS3 Resultat'!B9)</f>
        <v>Lunchrestaurang Ab</v>
      </c>
      <c r="E4" s="1880"/>
      <c r="F4" s="1880"/>
      <c r="G4" s="298"/>
      <c r="H4" s="1879" t="s">
        <v>430</v>
      </c>
      <c r="I4" s="1879"/>
      <c r="J4" s="1879"/>
      <c r="K4" s="1879"/>
      <c r="L4" s="1879"/>
      <c r="M4" s="1879"/>
      <c r="N4" s="1878" t="s">
        <v>128</v>
      </c>
      <c r="O4" s="1878"/>
      <c r="P4" s="1878"/>
      <c r="Q4" s="1878"/>
      <c r="R4" s="170"/>
      <c r="S4" s="170"/>
      <c r="T4" s="238"/>
    </row>
    <row r="5" spans="1:27" ht="15" thickBot="1" x14ac:dyDescent="0.25">
      <c r="A5" s="171"/>
      <c r="B5" s="171"/>
      <c r="C5" s="171"/>
      <c r="D5" s="1891" t="s">
        <v>367</v>
      </c>
      <c r="E5" s="1891"/>
      <c r="F5" s="1891"/>
      <c r="G5" s="171"/>
      <c r="H5" s="171"/>
      <c r="I5" s="171"/>
      <c r="J5" s="171"/>
      <c r="K5" s="171"/>
      <c r="L5" s="171"/>
      <c r="M5" s="171"/>
      <c r="N5" s="171"/>
      <c r="O5" s="171"/>
      <c r="P5" s="171"/>
      <c r="Q5" s="171"/>
      <c r="R5" s="171"/>
      <c r="S5" s="172"/>
      <c r="T5" s="247"/>
      <c r="V5" s="1889" t="s">
        <v>605</v>
      </c>
      <c r="W5" s="1890"/>
      <c r="X5" s="1884" t="s">
        <v>544</v>
      </c>
    </row>
    <row r="6" spans="1:27" ht="21" customHeight="1" thickBot="1" x14ac:dyDescent="0.25">
      <c r="A6" s="29"/>
      <c r="B6" s="1386"/>
      <c r="C6" s="1881" t="s">
        <v>487</v>
      </c>
      <c r="D6" s="1881"/>
      <c r="E6" s="1882"/>
      <c r="F6" s="1387" t="s">
        <v>490</v>
      </c>
      <c r="G6" s="734" t="s">
        <v>491</v>
      </c>
      <c r="H6" s="735" t="s">
        <v>492</v>
      </c>
      <c r="I6" s="735" t="s">
        <v>493</v>
      </c>
      <c r="J6" s="735" t="s">
        <v>494</v>
      </c>
      <c r="K6" s="735" t="s">
        <v>495</v>
      </c>
      <c r="L6" s="735" t="s">
        <v>496</v>
      </c>
      <c r="M6" s="735" t="s">
        <v>497</v>
      </c>
      <c r="N6" s="735" t="s">
        <v>498</v>
      </c>
      <c r="O6" s="735" t="s">
        <v>499</v>
      </c>
      <c r="P6" s="735" t="s">
        <v>500</v>
      </c>
      <c r="Q6" s="735" t="s">
        <v>501</v>
      </c>
      <c r="R6" s="735" t="s">
        <v>502</v>
      </c>
      <c r="S6" s="1393" t="s">
        <v>503</v>
      </c>
      <c r="T6" s="248"/>
      <c r="V6" s="616" t="s">
        <v>542</v>
      </c>
      <c r="W6" s="649" t="s">
        <v>543</v>
      </c>
      <c r="X6" s="1885"/>
      <c r="Y6" s="2"/>
    </row>
    <row r="7" spans="1:27" ht="12" customHeight="1" x14ac:dyDescent="0.2">
      <c r="A7" s="29"/>
      <c r="B7" s="287">
        <v>1</v>
      </c>
      <c r="C7" s="1893" t="s">
        <v>504</v>
      </c>
      <c r="D7" s="1894"/>
      <c r="E7" s="1894"/>
      <c r="F7" s="1895"/>
      <c r="G7" s="1636">
        <f>W7</f>
        <v>11613</v>
      </c>
      <c r="H7" s="908">
        <f t="shared" ref="H7:R7" si="0">G56</f>
        <v>-14151.940152584313</v>
      </c>
      <c r="I7" s="908">
        <f t="shared" si="0"/>
        <v>-16475.15165963336</v>
      </c>
      <c r="J7" s="908">
        <f t="shared" si="0"/>
        <v>-9270.6494078767882</v>
      </c>
      <c r="K7" s="908">
        <f t="shared" si="0"/>
        <v>-9854.4157820937526</v>
      </c>
      <c r="L7" s="908">
        <f t="shared" si="0"/>
        <v>-8983.8767833545189</v>
      </c>
      <c r="M7" s="908">
        <f t="shared" si="0"/>
        <v>-7284.5487883150035</v>
      </c>
      <c r="N7" s="908">
        <f t="shared" si="0"/>
        <v>-3631.4317969752137</v>
      </c>
      <c r="O7" s="908">
        <f t="shared" si="0"/>
        <v>-137.69316247992356</v>
      </c>
      <c r="P7" s="908">
        <f t="shared" si="0"/>
        <v>3293.0290953594467</v>
      </c>
      <c r="Q7" s="908">
        <f t="shared" si="0"/>
        <v>6723.751353198817</v>
      </c>
      <c r="R7" s="908">
        <f t="shared" si="0"/>
        <v>10154.473611038187</v>
      </c>
      <c r="S7" s="907"/>
      <c r="T7" s="249"/>
      <c r="W7" s="1395">
        <f>IF('K3 Resultat'!B9&gt;0,'K3 Resultat'!E32,'FS3 Resultat'!E32)</f>
        <v>11613</v>
      </c>
      <c r="X7" s="1396" t="s">
        <v>604</v>
      </c>
      <c r="Y7" s="2"/>
    </row>
    <row r="8" spans="1:27" ht="12" customHeight="1" x14ac:dyDescent="0.2">
      <c r="A8" s="29"/>
      <c r="B8" s="284">
        <v>2</v>
      </c>
      <c r="C8" s="1712" t="s">
        <v>564</v>
      </c>
      <c r="D8" s="1674"/>
      <c r="E8" s="1713"/>
      <c r="F8" s="717">
        <v>0.5</v>
      </c>
      <c r="G8" s="909">
        <f>$V8*G9</f>
        <v>6176.3600000000006</v>
      </c>
      <c r="H8" s="909">
        <f t="shared" ref="H8:R8" si="1">$V8*H9</f>
        <v>9264.5399999999991</v>
      </c>
      <c r="I8" s="909">
        <f t="shared" si="1"/>
        <v>9264.5399999999991</v>
      </c>
      <c r="J8" s="909">
        <f t="shared" si="1"/>
        <v>10808.630000000001</v>
      </c>
      <c r="K8" s="909">
        <f t="shared" si="1"/>
        <v>12352.720000000001</v>
      </c>
      <c r="L8" s="909">
        <f t="shared" si="1"/>
        <v>13896.81</v>
      </c>
      <c r="M8" s="909">
        <f t="shared" si="1"/>
        <v>15440.900000000001</v>
      </c>
      <c r="N8" s="909">
        <f t="shared" si="1"/>
        <v>15440.900000000001</v>
      </c>
      <c r="O8" s="909">
        <f t="shared" si="1"/>
        <v>15440.900000000001</v>
      </c>
      <c r="P8" s="909">
        <f t="shared" si="1"/>
        <v>15440.900000000001</v>
      </c>
      <c r="Q8" s="909">
        <f t="shared" si="1"/>
        <v>15440.900000000001</v>
      </c>
      <c r="R8" s="909">
        <f t="shared" si="1"/>
        <v>15440.900000000001</v>
      </c>
      <c r="S8" s="910">
        <f t="shared" ref="S8:S15" si="2">SUM(G8:R8)</f>
        <v>154408.99999999997</v>
      </c>
      <c r="T8" s="47"/>
      <c r="U8" s="1394">
        <f t="shared" ref="U8:U14" si="3">B8</f>
        <v>2</v>
      </c>
      <c r="V8" s="964">
        <f>F8*V11</f>
        <v>154409</v>
      </c>
      <c r="W8" s="968"/>
      <c r="X8" s="292" t="s">
        <v>545</v>
      </c>
    </row>
    <row r="9" spans="1:27" ht="12" customHeight="1" x14ac:dyDescent="0.2">
      <c r="A9" s="29"/>
      <c r="B9" s="285"/>
      <c r="C9" s="285"/>
      <c r="D9" s="1697" t="s">
        <v>505</v>
      </c>
      <c r="E9" s="1697"/>
      <c r="F9" s="1716"/>
      <c r="G9" s="911">
        <v>0.04</v>
      </c>
      <c r="H9" s="911">
        <v>0.06</v>
      </c>
      <c r="I9" s="911">
        <v>0.06</v>
      </c>
      <c r="J9" s="911">
        <v>7.0000000000000007E-2</v>
      </c>
      <c r="K9" s="911">
        <v>0.08</v>
      </c>
      <c r="L9" s="911">
        <v>0.09</v>
      </c>
      <c r="M9" s="911">
        <v>0.1</v>
      </c>
      <c r="N9" s="911">
        <v>0.1</v>
      </c>
      <c r="O9" s="911">
        <v>0.1</v>
      </c>
      <c r="P9" s="911">
        <v>0.1</v>
      </c>
      <c r="Q9" s="911">
        <v>0.1</v>
      </c>
      <c r="R9" s="911">
        <v>0.1</v>
      </c>
      <c r="S9" s="912">
        <f t="shared" si="2"/>
        <v>0.99999999999999989</v>
      </c>
      <c r="T9" s="380" t="str">
        <f>IF(F8=0," ",IF(S9=100%," ","FEL!"))</f>
        <v xml:space="preserve"> </v>
      </c>
      <c r="U9" s="1394">
        <f t="shared" si="3"/>
        <v>0</v>
      </c>
      <c r="V9" s="969"/>
      <c r="W9" s="964"/>
      <c r="X9" s="292"/>
    </row>
    <row r="10" spans="1:27" ht="12" customHeight="1" x14ac:dyDescent="0.2">
      <c r="A10" s="29"/>
      <c r="B10" s="285">
        <v>3</v>
      </c>
      <c r="C10" s="1712" t="s">
        <v>506</v>
      </c>
      <c r="D10" s="1674"/>
      <c r="E10" s="1674"/>
      <c r="F10" s="1713"/>
      <c r="G10" s="909">
        <f>$V10*G11</f>
        <v>6176.3600000000006</v>
      </c>
      <c r="H10" s="909">
        <f t="shared" ref="H10:R10" si="4">$V10*H11</f>
        <v>9264.5399999999991</v>
      </c>
      <c r="I10" s="909">
        <f t="shared" si="4"/>
        <v>9264.5399999999991</v>
      </c>
      <c r="J10" s="909">
        <f t="shared" si="4"/>
        <v>10808.630000000001</v>
      </c>
      <c r="K10" s="909">
        <f t="shared" si="4"/>
        <v>12352.720000000001</v>
      </c>
      <c r="L10" s="909">
        <f t="shared" si="4"/>
        <v>13896.81</v>
      </c>
      <c r="M10" s="909">
        <f t="shared" si="4"/>
        <v>15440.900000000001</v>
      </c>
      <c r="N10" s="909">
        <f t="shared" si="4"/>
        <v>15440.900000000001</v>
      </c>
      <c r="O10" s="909">
        <f t="shared" si="4"/>
        <v>15440.900000000001</v>
      </c>
      <c r="P10" s="909">
        <f t="shared" si="4"/>
        <v>15440.900000000001</v>
      </c>
      <c r="Q10" s="909">
        <f t="shared" si="4"/>
        <v>15440.900000000001</v>
      </c>
      <c r="R10" s="909">
        <f t="shared" si="4"/>
        <v>15440.900000000001</v>
      </c>
      <c r="S10" s="964">
        <f t="shared" si="2"/>
        <v>154408.99999999997</v>
      </c>
      <c r="T10" s="343"/>
      <c r="U10" s="1394">
        <f t="shared" si="3"/>
        <v>3</v>
      </c>
      <c r="V10" s="964">
        <f>V11-V8</f>
        <v>154409</v>
      </c>
      <c r="W10" s="968"/>
      <c r="X10" s="292" t="s">
        <v>545</v>
      </c>
    </row>
    <row r="11" spans="1:27" ht="12" customHeight="1" x14ac:dyDescent="0.2">
      <c r="A11" s="29"/>
      <c r="B11" s="285"/>
      <c r="C11" s="285"/>
      <c r="D11" s="1674" t="s">
        <v>505</v>
      </c>
      <c r="E11" s="1674"/>
      <c r="F11" s="1713"/>
      <c r="G11" s="911">
        <v>0.04</v>
      </c>
      <c r="H11" s="911">
        <v>0.06</v>
      </c>
      <c r="I11" s="911">
        <v>0.06</v>
      </c>
      <c r="J11" s="911">
        <v>7.0000000000000007E-2</v>
      </c>
      <c r="K11" s="911">
        <v>0.08</v>
      </c>
      <c r="L11" s="911">
        <v>0.09</v>
      </c>
      <c r="M11" s="911">
        <v>0.1</v>
      </c>
      <c r="N11" s="911">
        <v>0.1</v>
      </c>
      <c r="O11" s="911">
        <v>0.1</v>
      </c>
      <c r="P11" s="911">
        <v>0.1</v>
      </c>
      <c r="Q11" s="911">
        <v>0.1</v>
      </c>
      <c r="R11" s="911">
        <v>0.1</v>
      </c>
      <c r="S11" s="912">
        <f t="shared" si="2"/>
        <v>0.99999999999999989</v>
      </c>
      <c r="T11" s="380" t="str">
        <f>IF(F8=100%," ",IF(S11=100%," ","FEL!"))</f>
        <v xml:space="preserve"> </v>
      </c>
      <c r="U11" s="1394">
        <f t="shared" si="3"/>
        <v>0</v>
      </c>
      <c r="V11" s="964">
        <f>IF('K3 Resultat'!B9&gt;0,IF('K1 Kostnader'!F13=12,'K3 Resultat'!F41,IF('K1 Kostnader'!F13&lt;12,12*('K3 Resultat'!F41+'K3 Resultat'!H41)/('K3 Resultat'!F39+'K3 Resultat'!H39),12*'K3 Resultat'!F41/'K1 Kostnader'!F13)),IF('FS1 Kostnader '!F13=12,'FS3 Resultat'!F41,IF('FS3 Resultat'!F39&lt;12,12*('FS3 Resultat'!F41+'FS3 Resultat'!H41)/('FS3 Resultat'!F39+'FS3 Resultat'!H39),12*'FS3 Resultat'!F41/'FS1 Kostnader '!F13)))</f>
        <v>308818</v>
      </c>
      <c r="W11" s="968"/>
      <c r="X11" s="292" t="s">
        <v>546</v>
      </c>
    </row>
    <row r="12" spans="1:27" ht="12" customHeight="1" x14ac:dyDescent="0.2">
      <c r="A12" s="29"/>
      <c r="B12" s="285"/>
      <c r="C12" s="285"/>
      <c r="D12" s="634" t="s">
        <v>507</v>
      </c>
      <c r="E12" s="906">
        <v>14</v>
      </c>
      <c r="F12" s="634" t="s">
        <v>508</v>
      </c>
      <c r="G12" s="909">
        <f>'AT3 Kassa'!C25</f>
        <v>3294.0586666666668</v>
      </c>
      <c r="H12" s="909">
        <f>'AT3 Kassa'!D25</f>
        <v>7823.3893333333335</v>
      </c>
      <c r="I12" s="909">
        <f>'AT3 Kassa'!E25</f>
        <v>9264.5399999999991</v>
      </c>
      <c r="J12" s="909">
        <f>'AT3 Kassa'!F25</f>
        <v>10088.054666666667</v>
      </c>
      <c r="K12" s="909">
        <f>'AT3 Kassa'!G25</f>
        <v>11632.144666666667</v>
      </c>
      <c r="L12" s="909">
        <f>'AT3 Kassa'!H25</f>
        <v>13176.234666666667</v>
      </c>
      <c r="M12" s="909">
        <f>'AT3 Kassa'!I25</f>
        <v>14720.324666666667</v>
      </c>
      <c r="N12" s="909">
        <f>'AT3 Kassa'!J25</f>
        <v>15440.900000000001</v>
      </c>
      <c r="O12" s="909">
        <f>'AT3 Kassa'!K25</f>
        <v>15440.900000000001</v>
      </c>
      <c r="P12" s="909">
        <f>'AT3 Kassa'!L25</f>
        <v>15440.900000000001</v>
      </c>
      <c r="Q12" s="909">
        <f>'AT3 Kassa'!M25</f>
        <v>15440.900000000001</v>
      </c>
      <c r="R12" s="909">
        <f>'AT3 Kassa'!N25</f>
        <v>15440.900000000001</v>
      </c>
      <c r="S12" s="910">
        <f t="shared" si="2"/>
        <v>147203.24666666664</v>
      </c>
      <c r="T12" s="47"/>
      <c r="U12" s="1394">
        <f t="shared" si="3"/>
        <v>0</v>
      </c>
      <c r="V12" s="969"/>
      <c r="W12" s="964"/>
      <c r="X12" s="292"/>
    </row>
    <row r="13" spans="1:27" ht="12" customHeight="1" x14ac:dyDescent="0.2">
      <c r="A13" s="29"/>
      <c r="B13" s="285">
        <v>4</v>
      </c>
      <c r="C13" s="1715" t="s">
        <v>704</v>
      </c>
      <c r="D13" s="1837"/>
      <c r="E13" s="1838"/>
      <c r="F13" s="283"/>
      <c r="G13" s="913">
        <f>W13</f>
        <v>25000</v>
      </c>
      <c r="H13" s="913">
        <v>0</v>
      </c>
      <c r="I13" s="913">
        <v>0</v>
      </c>
      <c r="J13" s="913">
        <v>0</v>
      </c>
      <c r="K13" s="913">
        <v>0</v>
      </c>
      <c r="L13" s="913">
        <v>0</v>
      </c>
      <c r="M13" s="913">
        <v>0</v>
      </c>
      <c r="N13" s="913">
        <v>0</v>
      </c>
      <c r="O13" s="913">
        <v>0</v>
      </c>
      <c r="P13" s="913">
        <v>0</v>
      </c>
      <c r="Q13" s="913">
        <v>0</v>
      </c>
      <c r="R13" s="913">
        <v>0</v>
      </c>
      <c r="S13" s="910">
        <f t="shared" si="2"/>
        <v>25000</v>
      </c>
      <c r="T13" s="47"/>
      <c r="U13" s="1394">
        <f t="shared" si="3"/>
        <v>4</v>
      </c>
      <c r="V13" s="969"/>
      <c r="W13" s="970" cm="1">
        <f t="array" ref="W13:X13">IF('K1 Kostnader'!C9:D9&gt;0,'K3 Resultat'!K16,'FS3 Resultat'!K16)</f>
        <v>25000</v>
      </c>
      <c r="X13" s="292">
        <v>0</v>
      </c>
    </row>
    <row r="14" spans="1:27" ht="12" customHeight="1" thickBot="1" x14ac:dyDescent="0.25">
      <c r="A14" s="29"/>
      <c r="B14" s="286">
        <v>5</v>
      </c>
      <c r="C14" s="1899" t="s">
        <v>623</v>
      </c>
      <c r="D14" s="1900"/>
      <c r="E14" s="1900"/>
      <c r="F14" s="1901"/>
      <c r="G14" s="914"/>
      <c r="H14" s="914">
        <v>0</v>
      </c>
      <c r="I14" s="914">
        <v>0</v>
      </c>
      <c r="J14" s="914">
        <v>0</v>
      </c>
      <c r="K14" s="914">
        <v>0</v>
      </c>
      <c r="L14" s="914">
        <v>0</v>
      </c>
      <c r="M14" s="914">
        <v>0</v>
      </c>
      <c r="N14" s="914">
        <f>W14</f>
        <v>0</v>
      </c>
      <c r="O14" s="914">
        <v>0</v>
      </c>
      <c r="P14" s="914">
        <v>0</v>
      </c>
      <c r="Q14" s="914">
        <v>0</v>
      </c>
      <c r="R14" s="914">
        <v>0</v>
      </c>
      <c r="S14" s="915">
        <f t="shared" si="2"/>
        <v>0</v>
      </c>
      <c r="T14" s="47"/>
      <c r="U14" s="1394">
        <f t="shared" si="3"/>
        <v>5</v>
      </c>
      <c r="V14" s="968"/>
      <c r="W14" s="964">
        <f>IF('K3 Resultat'!B9&gt;0,'K3 Resultat'!K23,'FS3 Resultat'!K24)</f>
        <v>0</v>
      </c>
      <c r="X14" s="650" t="s">
        <v>547</v>
      </c>
    </row>
    <row r="15" spans="1:27" ht="13.5" customHeight="1" thickTop="1" thickBot="1" x14ac:dyDescent="0.25">
      <c r="A15" s="29"/>
      <c r="B15" s="987"/>
      <c r="C15" s="1896" t="s">
        <v>488</v>
      </c>
      <c r="D15" s="1897"/>
      <c r="E15" s="1898"/>
      <c r="F15" s="988"/>
      <c r="G15" s="989">
        <f>G8+G12+G13+G14</f>
        <v>34470.418666666665</v>
      </c>
      <c r="H15" s="989">
        <f t="shared" ref="H15:R15" si="5">H8+H12+H13+H14</f>
        <v>17087.929333333333</v>
      </c>
      <c r="I15" s="989">
        <f t="shared" si="5"/>
        <v>18529.079999999998</v>
      </c>
      <c r="J15" s="989">
        <f t="shared" si="5"/>
        <v>20896.684666666668</v>
      </c>
      <c r="K15" s="989">
        <f t="shared" si="5"/>
        <v>23984.864666666668</v>
      </c>
      <c r="L15" s="989">
        <f t="shared" si="5"/>
        <v>27073.044666666668</v>
      </c>
      <c r="M15" s="989">
        <f t="shared" si="5"/>
        <v>30161.224666666669</v>
      </c>
      <c r="N15" s="989">
        <f t="shared" si="5"/>
        <v>30881.800000000003</v>
      </c>
      <c r="O15" s="989">
        <f t="shared" si="5"/>
        <v>30881.800000000003</v>
      </c>
      <c r="P15" s="989">
        <f t="shared" si="5"/>
        <v>30881.800000000003</v>
      </c>
      <c r="Q15" s="989">
        <f t="shared" si="5"/>
        <v>30881.800000000003</v>
      </c>
      <c r="R15" s="989">
        <f t="shared" si="5"/>
        <v>30881.800000000003</v>
      </c>
      <c r="S15" s="990">
        <f t="shared" si="2"/>
        <v>326612.24666666664</v>
      </c>
      <c r="T15" s="47"/>
      <c r="U15" s="731"/>
      <c r="V15" s="731"/>
      <c r="W15" s="971"/>
      <c r="X15" s="732"/>
    </row>
    <row r="16" spans="1:27" ht="6" customHeight="1" thickTop="1" thickBot="1" x14ac:dyDescent="0.25">
      <c r="A16" s="29"/>
      <c r="B16" s="29"/>
      <c r="C16" s="29"/>
      <c r="D16" s="29"/>
      <c r="E16" s="29"/>
      <c r="F16" s="29"/>
      <c r="G16" s="91"/>
      <c r="H16" s="91"/>
      <c r="I16" s="91"/>
      <c r="J16" s="91"/>
      <c r="K16" s="91"/>
      <c r="L16" s="91"/>
      <c r="M16" s="91"/>
      <c r="N16" s="91"/>
      <c r="O16" s="91"/>
      <c r="P16" s="91"/>
      <c r="Q16" s="91"/>
      <c r="R16" s="91"/>
      <c r="S16" s="17" t="s">
        <v>0</v>
      </c>
      <c r="T16" s="44"/>
      <c r="U16" s="345"/>
      <c r="V16" s="972"/>
      <c r="W16" s="973"/>
      <c r="X16" s="733"/>
    </row>
    <row r="17" spans="1:24" ht="21" customHeight="1" thickBot="1" x14ac:dyDescent="0.25">
      <c r="A17" s="29"/>
      <c r="B17" s="1388"/>
      <c r="C17" s="1881" t="s">
        <v>489</v>
      </c>
      <c r="D17" s="1881"/>
      <c r="E17" s="1892"/>
      <c r="F17" s="1389" t="s">
        <v>490</v>
      </c>
      <c r="G17" s="1390" t="str">
        <f>G6</f>
        <v>JAN</v>
      </c>
      <c r="H17" s="1391" t="str">
        <f t="shared" ref="H17:R17" si="6">H6</f>
        <v>FEB</v>
      </c>
      <c r="I17" s="1390" t="str">
        <f t="shared" si="6"/>
        <v>MARS</v>
      </c>
      <c r="J17" s="1390" t="str">
        <f t="shared" si="6"/>
        <v>APR</v>
      </c>
      <c r="K17" s="1390" t="str">
        <f t="shared" si="6"/>
        <v>MAJ</v>
      </c>
      <c r="L17" s="1390" t="str">
        <f t="shared" si="6"/>
        <v>JUNI</v>
      </c>
      <c r="M17" s="1390" t="str">
        <f t="shared" si="6"/>
        <v>JULI</v>
      </c>
      <c r="N17" s="1390" t="str">
        <f t="shared" si="6"/>
        <v>AUG</v>
      </c>
      <c r="O17" s="1390" t="str">
        <f t="shared" si="6"/>
        <v>SEP</v>
      </c>
      <c r="P17" s="1390" t="str">
        <f t="shared" si="6"/>
        <v>OKT</v>
      </c>
      <c r="Q17" s="1390" t="str">
        <f t="shared" si="6"/>
        <v>NOV</v>
      </c>
      <c r="R17" s="1390" t="str">
        <f t="shared" si="6"/>
        <v>DEC</v>
      </c>
      <c r="S17" s="1392" t="str">
        <f>+S6</f>
        <v>SLGT</v>
      </c>
      <c r="T17" s="248"/>
      <c r="U17" s="398"/>
      <c r="V17" s="616" t="s">
        <v>542</v>
      </c>
      <c r="W17" s="649" t="s">
        <v>543</v>
      </c>
      <c r="X17" s="399"/>
    </row>
    <row r="18" spans="1:24" ht="12" customHeight="1" x14ac:dyDescent="0.2">
      <c r="A18" s="29"/>
      <c r="B18" s="1876">
        <v>6</v>
      </c>
      <c r="C18" s="1588" t="s">
        <v>509</v>
      </c>
      <c r="D18" s="1589"/>
      <c r="E18" s="1589"/>
      <c r="F18" s="1595">
        <v>24</v>
      </c>
      <c r="G18" s="921">
        <f>0.5*'AT1 Palkat, alv'!E48</f>
        <v>3267.7492540875996</v>
      </c>
      <c r="H18" s="921">
        <f>0.5*('AT1 Palkat, alv'!E48+'AT1 Palkat, alv'!F48)</f>
        <v>8169.373135218997</v>
      </c>
      <c r="I18" s="921">
        <f>0.5*('AT1 Palkat, alv'!F48+'AT1 Palkat, alv'!G48)</f>
        <v>9803.2477622627957</v>
      </c>
      <c r="J18" s="921">
        <f>0.5*('AT1 Palkat, alv'!G48+'AT1 Palkat, alv'!H48)</f>
        <v>10620.185075784697</v>
      </c>
      <c r="K18" s="921">
        <f>0.5*('AT1 Palkat, alv'!H48+'AT1 Palkat, alv'!I48)</f>
        <v>12254.059702828497</v>
      </c>
      <c r="L18" s="921">
        <f>0.5*('AT1 Palkat, alv'!I48+'AT1 Palkat, alv'!J48)</f>
        <v>13887.934329872296</v>
      </c>
      <c r="M18" s="921">
        <f>0.5*('AT1 Palkat, alv'!J48+'AT1 Palkat, alv'!K48)</f>
        <v>15521.808956916095</v>
      </c>
      <c r="N18" s="921">
        <f>0.5*('AT1 Palkat, alv'!K48+'AT1 Palkat, alv'!L48)</f>
        <v>16338.746270437998</v>
      </c>
      <c r="O18" s="921">
        <f>0.5*('AT1 Palkat, alv'!L48+'AT1 Palkat, alv'!M48)</f>
        <v>16338.746270437998</v>
      </c>
      <c r="P18" s="921">
        <f>0.5*('AT1 Palkat, alv'!M48+'AT1 Palkat, alv'!N48)</f>
        <v>16338.746270437998</v>
      </c>
      <c r="Q18" s="921">
        <f>0.5*('AT1 Palkat, alv'!N48+'AT1 Palkat, alv'!O48)</f>
        <v>16338.746270437998</v>
      </c>
      <c r="R18" s="921">
        <f>0.5*('AT1 Palkat, alv'!O48+'AT1 Palkat, alv'!P48)</f>
        <v>16338.746270437998</v>
      </c>
      <c r="S18" s="920">
        <f t="shared" ref="S18:S52" si="7">SUM(G18:R18)</f>
        <v>155218.08956916098</v>
      </c>
      <c r="T18" s="47"/>
      <c r="U18" s="1394">
        <f t="shared" ref="U18:U27" si="8">B18</f>
        <v>6</v>
      </c>
      <c r="V18" s="1598">
        <f>W18+W18*F18/100</f>
        <v>163387.46270437996</v>
      </c>
      <c r="W18" s="1590">
        <f>IF('K3 Resultat'!B9&gt;0,'K2 Försäljning'!C219,'FS2 Försäljning '!C239)</f>
        <v>131764.08282611286</v>
      </c>
      <c r="X18" s="650" t="s">
        <v>834</v>
      </c>
    </row>
    <row r="19" spans="1:24" s="1638" customFormat="1" ht="12" customHeight="1" x14ac:dyDescent="0.2">
      <c r="A19" s="29"/>
      <c r="B19" s="1877"/>
      <c r="C19" s="1902" t="s">
        <v>855</v>
      </c>
      <c r="D19" s="1903"/>
      <c r="E19" s="1903"/>
      <c r="F19" s="1904"/>
      <c r="G19" s="1643">
        <f>IF($V11&gt;0,$W19*(G8+G10)/$V11,0)</f>
        <v>0</v>
      </c>
      <c r="H19" s="1643">
        <f t="shared" ref="H19:R19" si="9">IF($V11&gt;0,$W19*(H8+H10)/$V11,0)</f>
        <v>0</v>
      </c>
      <c r="I19" s="1643">
        <f t="shared" si="9"/>
        <v>0</v>
      </c>
      <c r="J19" s="1643">
        <f t="shared" si="9"/>
        <v>0</v>
      </c>
      <c r="K19" s="1643">
        <f t="shared" si="9"/>
        <v>0</v>
      </c>
      <c r="L19" s="1643">
        <f t="shared" si="9"/>
        <v>0</v>
      </c>
      <c r="M19" s="1643">
        <f t="shared" si="9"/>
        <v>0</v>
      </c>
      <c r="N19" s="1643">
        <f t="shared" si="9"/>
        <v>0</v>
      </c>
      <c r="O19" s="1643">
        <f t="shared" si="9"/>
        <v>0</v>
      </c>
      <c r="P19" s="1643">
        <f t="shared" si="9"/>
        <v>0</v>
      </c>
      <c r="Q19" s="1643">
        <f t="shared" si="9"/>
        <v>0</v>
      </c>
      <c r="R19" s="1643">
        <f t="shared" si="9"/>
        <v>0</v>
      </c>
      <c r="S19" s="1644">
        <f t="shared" si="7"/>
        <v>0</v>
      </c>
      <c r="T19" s="47"/>
      <c r="U19" s="1641"/>
      <c r="V19" s="1598"/>
      <c r="W19" s="1436">
        <f>IF('K1 Kostnader'!C9&gt;0,'K2 Försäljning'!C221,0)</f>
        <v>0</v>
      </c>
      <c r="X19" s="1642" t="s">
        <v>851</v>
      </c>
    </row>
    <row r="20" spans="1:24" ht="12" customHeight="1" x14ac:dyDescent="0.2">
      <c r="A20" s="29"/>
      <c r="B20" s="352">
        <f>B18+1</f>
        <v>7</v>
      </c>
      <c r="C20" s="1886" t="s">
        <v>510</v>
      </c>
      <c r="D20" s="1887"/>
      <c r="E20" s="1888"/>
      <c r="F20" s="783">
        <v>24</v>
      </c>
      <c r="G20" s="919">
        <f t="shared" ref="G20:R24" si="10">$W20/12*(1+$F20/100)</f>
        <v>2232</v>
      </c>
      <c r="H20" s="919">
        <f t="shared" si="10"/>
        <v>2232</v>
      </c>
      <c r="I20" s="919">
        <f t="shared" si="10"/>
        <v>2232</v>
      </c>
      <c r="J20" s="919">
        <f t="shared" si="10"/>
        <v>2232</v>
      </c>
      <c r="K20" s="919">
        <f t="shared" si="10"/>
        <v>2232</v>
      </c>
      <c r="L20" s="919">
        <f t="shared" si="10"/>
        <v>2232</v>
      </c>
      <c r="M20" s="919">
        <f t="shared" si="10"/>
        <v>2232</v>
      </c>
      <c r="N20" s="919">
        <f t="shared" si="10"/>
        <v>2232</v>
      </c>
      <c r="O20" s="919">
        <f t="shared" si="10"/>
        <v>2232</v>
      </c>
      <c r="P20" s="919">
        <f t="shared" si="10"/>
        <v>2232</v>
      </c>
      <c r="Q20" s="919">
        <f t="shared" si="10"/>
        <v>2232</v>
      </c>
      <c r="R20" s="919">
        <f t="shared" si="10"/>
        <v>2232</v>
      </c>
      <c r="S20" s="910">
        <f t="shared" si="7"/>
        <v>26784</v>
      </c>
      <c r="T20" s="47"/>
      <c r="U20" s="1394">
        <f t="shared" si="8"/>
        <v>7</v>
      </c>
      <c r="V20" s="964">
        <f t="shared" ref="V20:V27" si="11">W20*(1+F20/100)</f>
        <v>26784</v>
      </c>
      <c r="W20" s="964">
        <f>IF('K1 Kostnader'!$C$9&gt;0,(IF('K1 Kostnader'!$F$13=12,'K1 Kostnader'!$F48,IF('K1 Kostnader'!$F$13&lt;12,12*(('K1 Kostnader'!$F48+'K1 Kostnader'!$G48)/('K1 Kostnader'!$F$13+'K1 Kostnader'!$G$13)),12*'K1 Kostnader'!$F48/'K1 Kostnader'!$F$13))),(IF('FS1 Kostnader '!$F$13=12,'FS1 Kostnader '!$F48,IF('FS1 Kostnader '!$F$13&lt;12,12*(('FS1 Kostnader '!$F48+'FS1 Kostnader '!$G48)/('FS1 Kostnader '!$F$13+'FS1 Kostnader '!$G$13)),12*'FS1 Kostnader '!$F48/'FS1 Kostnader '!$F$13))))</f>
        <v>21600</v>
      </c>
      <c r="X20" s="650" t="s">
        <v>548</v>
      </c>
    </row>
    <row r="21" spans="1:24" ht="12" customHeight="1" x14ac:dyDescent="0.2">
      <c r="A21" s="29"/>
      <c r="B21" s="352">
        <f t="shared" ref="B21:B30" si="12">B20+1</f>
        <v>8</v>
      </c>
      <c r="C21" s="1886" t="s">
        <v>511</v>
      </c>
      <c r="D21" s="1887"/>
      <c r="E21" s="1888"/>
      <c r="F21" s="783">
        <v>24</v>
      </c>
      <c r="G21" s="919">
        <f t="shared" si="10"/>
        <v>0</v>
      </c>
      <c r="H21" s="919">
        <f t="shared" si="10"/>
        <v>0</v>
      </c>
      <c r="I21" s="919">
        <f t="shared" si="10"/>
        <v>0</v>
      </c>
      <c r="J21" s="919">
        <f t="shared" si="10"/>
        <v>0</v>
      </c>
      <c r="K21" s="919">
        <f t="shared" si="10"/>
        <v>0</v>
      </c>
      <c r="L21" s="919">
        <f t="shared" si="10"/>
        <v>0</v>
      </c>
      <c r="M21" s="919">
        <f t="shared" si="10"/>
        <v>0</v>
      </c>
      <c r="N21" s="919">
        <f t="shared" si="10"/>
        <v>0</v>
      </c>
      <c r="O21" s="919">
        <f t="shared" si="10"/>
        <v>0</v>
      </c>
      <c r="P21" s="919">
        <f t="shared" si="10"/>
        <v>0</v>
      </c>
      <c r="Q21" s="919">
        <f t="shared" si="10"/>
        <v>0</v>
      </c>
      <c r="R21" s="919">
        <f t="shared" si="10"/>
        <v>0</v>
      </c>
      <c r="S21" s="910">
        <f t="shared" si="7"/>
        <v>0</v>
      </c>
      <c r="T21" s="47"/>
      <c r="U21" s="1394">
        <f t="shared" si="8"/>
        <v>8</v>
      </c>
      <c r="V21" s="964">
        <f t="shared" si="11"/>
        <v>0</v>
      </c>
      <c r="W21" s="964">
        <f>IF('K1 Kostnader'!$C$9&gt;0,(IF('K1 Kostnader'!$F$13=12,'K1 Kostnader'!$F59+'K1 Kostnader'!F74,IF('K1 Kostnader'!F$13&lt;12,12*(('K1 Kostnader'!F59+'K1 Kostnader'!G59+'K1 Kostnader'!F74+'K1 Kostnader'!G74)/('K1 Kostnader'!F$13+'K1 Kostnader'!G$13)),12*('K1 Kostnader'!F59+'K1 Kostnader'!F74)/'K1 Kostnader'!F$13))),(IF('FS1 Kostnader '!F$13=12,'FS1 Kostnader '!F59+'FS1 Kostnader '!F74,IF('FS1 Kostnader '!F$13&lt;12,12*(('FS1 Kostnader '!F59+'FS1 Kostnader '!G59+'FS1 Kostnader '!F74+'FS1 Kostnader '!G74)/('FS1 Kostnader '!F$13+'FS1 Kostnader '!G$13)),12*('FS1 Kostnader '!F59+'FS1 Kostnader '!F74)/'FS1 Kostnader '!F$13))))</f>
        <v>0</v>
      </c>
      <c r="X21" s="650" t="s">
        <v>549</v>
      </c>
    </row>
    <row r="22" spans="1:24" ht="12" customHeight="1" x14ac:dyDescent="0.2">
      <c r="A22" s="29"/>
      <c r="B22" s="352">
        <f t="shared" si="12"/>
        <v>9</v>
      </c>
      <c r="C22" s="1886" t="s">
        <v>512</v>
      </c>
      <c r="D22" s="1887"/>
      <c r="E22" s="1888"/>
      <c r="F22" s="783">
        <v>24</v>
      </c>
      <c r="G22" s="919">
        <f t="shared" si="10"/>
        <v>496</v>
      </c>
      <c r="H22" s="919">
        <f t="shared" si="10"/>
        <v>496</v>
      </c>
      <c r="I22" s="919">
        <f t="shared" si="10"/>
        <v>496</v>
      </c>
      <c r="J22" s="919">
        <f t="shared" si="10"/>
        <v>496</v>
      </c>
      <c r="K22" s="919">
        <f t="shared" si="10"/>
        <v>496</v>
      </c>
      <c r="L22" s="919">
        <f t="shared" si="10"/>
        <v>496</v>
      </c>
      <c r="M22" s="919">
        <f t="shared" si="10"/>
        <v>496</v>
      </c>
      <c r="N22" s="919">
        <f t="shared" si="10"/>
        <v>496</v>
      </c>
      <c r="O22" s="919">
        <f t="shared" si="10"/>
        <v>496</v>
      </c>
      <c r="P22" s="919">
        <f t="shared" si="10"/>
        <v>496</v>
      </c>
      <c r="Q22" s="919">
        <f t="shared" si="10"/>
        <v>496</v>
      </c>
      <c r="R22" s="919">
        <f t="shared" si="10"/>
        <v>496</v>
      </c>
      <c r="S22" s="910">
        <f t="shared" si="7"/>
        <v>5952</v>
      </c>
      <c r="T22" s="47"/>
      <c r="U22" s="1394">
        <f t="shared" si="8"/>
        <v>9</v>
      </c>
      <c r="V22" s="964">
        <f t="shared" si="11"/>
        <v>5952</v>
      </c>
      <c r="W22" s="964">
        <f>IF('K1 Kostnader'!C$9&gt;0,(IF('K1 Kostnader'!F$13=12,'K1 Kostnader'!F51+'K1 Kostnader'!F52+'K1 Kostnader'!F53,IF('K1 Kostnader'!F$13&lt;12,12*(('K1 Kostnader'!F51+'K1 Kostnader'!G51+'K1 Kostnader'!F52+'K1 Kostnader'!G52+'K1 Kostnader'!F53+'K1 Kostnader'!G53)/('K1 Kostnader'!F$13+'K1 Kostnader'!G$13)),12*('K1 Kostnader'!F51+'K1 Kostnader'!F52+'K1 Kostnader'!F53)/'K1 Kostnader'!F$13))),(IF('FS1 Kostnader '!F$13=12,'FS1 Kostnader '!F51+'FS1 Kostnader '!F52+'FS1 Kostnader '!F53,IF('FS1 Kostnader '!F$13&lt;12,12*(('FS1 Kostnader '!F51+'FS1 Kostnader '!G51+'K1 Kostnader'!F52+'K1 Kostnader'!G52+'K1 Kostnader'!F53+'K1 Kostnader'!G53)/('FS1 Kostnader '!F$13+'FS1 Kostnader '!G$13)),12*('FS1 Kostnader '!F51+'K1 Kostnader'!F52+'K1 Kostnader'!F53)/'FS1 Kostnader '!F$13))))</f>
        <v>4800</v>
      </c>
      <c r="X22" s="650" t="s">
        <v>550</v>
      </c>
    </row>
    <row r="23" spans="1:24" ht="12" customHeight="1" x14ac:dyDescent="0.2">
      <c r="A23" s="29"/>
      <c r="B23" s="352">
        <f t="shared" si="12"/>
        <v>10</v>
      </c>
      <c r="C23" s="1871" t="s">
        <v>513</v>
      </c>
      <c r="D23" s="1908"/>
      <c r="E23" s="1918"/>
      <c r="F23" s="783">
        <v>24</v>
      </c>
      <c r="G23" s="919">
        <f>$W23/12*(1+$F23/100)</f>
        <v>108.5</v>
      </c>
      <c r="H23" s="919">
        <f t="shared" si="10"/>
        <v>108.5</v>
      </c>
      <c r="I23" s="919">
        <f t="shared" si="10"/>
        <v>108.5</v>
      </c>
      <c r="J23" s="919">
        <f t="shared" si="10"/>
        <v>108.5</v>
      </c>
      <c r="K23" s="919">
        <f t="shared" si="10"/>
        <v>108.5</v>
      </c>
      <c r="L23" s="919">
        <f t="shared" si="10"/>
        <v>108.5</v>
      </c>
      <c r="M23" s="919">
        <f t="shared" si="10"/>
        <v>108.5</v>
      </c>
      <c r="N23" s="919">
        <f t="shared" si="10"/>
        <v>108.5</v>
      </c>
      <c r="O23" s="919">
        <f t="shared" si="10"/>
        <v>108.5</v>
      </c>
      <c r="P23" s="919">
        <f t="shared" si="10"/>
        <v>108.5</v>
      </c>
      <c r="Q23" s="919">
        <f t="shared" si="10"/>
        <v>108.5</v>
      </c>
      <c r="R23" s="919">
        <f t="shared" si="10"/>
        <v>108.5</v>
      </c>
      <c r="S23" s="910">
        <f t="shared" si="7"/>
        <v>1302</v>
      </c>
      <c r="T23" s="47"/>
      <c r="U23" s="1394">
        <f t="shared" si="8"/>
        <v>10</v>
      </c>
      <c r="V23" s="964">
        <f>W23*(1+F23/100)</f>
        <v>1302</v>
      </c>
      <c r="W23" s="964">
        <f>IF('K1 Kostnader'!C$9&gt;0,(IF('K1 Kostnader'!F$13=12,'K1 Kostnader'!F105,IF('K1 Kostnader'!F$13&lt;12,12*(('K1 Kostnader'!F105+'K1 Kostnader'!G105)/('K1 Kostnader'!F$13+'K1 Kostnader'!G$13)),12*'K1 Kostnader'!F105/'K1 Kostnader'!F$13))),(IF('FS1 Kostnader '!F$13=12,'FS1 Kostnader '!F105,IF('FS1 Kostnader '!F$13&lt;12,12*(('FS1 Kostnader '!F105+'FS1 Kostnader '!G105)/('FS1 Kostnader '!F$13+'FS1 Kostnader '!G$13)),12*'FS1 Kostnader '!F105/'FS1 Kostnader '!F$13))))</f>
        <v>1050</v>
      </c>
      <c r="X23" s="650" t="s">
        <v>551</v>
      </c>
    </row>
    <row r="24" spans="1:24" ht="12" customHeight="1" x14ac:dyDescent="0.2">
      <c r="A24" s="29"/>
      <c r="B24" s="352">
        <f t="shared" si="12"/>
        <v>11</v>
      </c>
      <c r="C24" s="1871" t="s">
        <v>514</v>
      </c>
      <c r="D24" s="1872"/>
      <c r="E24" s="1873"/>
      <c r="F24" s="783">
        <v>24</v>
      </c>
      <c r="G24" s="919">
        <f t="shared" si="10"/>
        <v>124</v>
      </c>
      <c r="H24" s="919">
        <f t="shared" si="10"/>
        <v>124</v>
      </c>
      <c r="I24" s="919">
        <f t="shared" si="10"/>
        <v>124</v>
      </c>
      <c r="J24" s="919">
        <f t="shared" si="10"/>
        <v>124</v>
      </c>
      <c r="K24" s="919">
        <f t="shared" si="10"/>
        <v>124</v>
      </c>
      <c r="L24" s="919">
        <f t="shared" si="10"/>
        <v>124</v>
      </c>
      <c r="M24" s="919">
        <f t="shared" si="10"/>
        <v>124</v>
      </c>
      <c r="N24" s="919">
        <f t="shared" si="10"/>
        <v>124</v>
      </c>
      <c r="O24" s="919">
        <f t="shared" si="10"/>
        <v>124</v>
      </c>
      <c r="P24" s="919">
        <f t="shared" si="10"/>
        <v>124</v>
      </c>
      <c r="Q24" s="919">
        <f t="shared" si="10"/>
        <v>124</v>
      </c>
      <c r="R24" s="919">
        <f t="shared" si="10"/>
        <v>124</v>
      </c>
      <c r="S24" s="910">
        <f t="shared" si="7"/>
        <v>1488</v>
      </c>
      <c r="T24" s="47"/>
      <c r="U24" s="1394">
        <f t="shared" si="8"/>
        <v>11</v>
      </c>
      <c r="V24" s="964">
        <f t="shared" si="11"/>
        <v>1488</v>
      </c>
      <c r="W24" s="964">
        <f>IF('K1 Kostnader'!C$9&gt;0,(IF('K1 Kostnader'!F$13=12,'K1 Kostnader'!F88,IF('K1 Kostnader'!F$13&lt;12,12*(('K1 Kostnader'!F88+'K1 Kostnader'!G88)/('K1 Kostnader'!F$13+'K1 Kostnader'!G$13)),12*'K1 Kostnader'!F88/'K1 Kostnader'!F$13))),(IF('FS1 Kostnader '!F$13=12,'FS1 Kostnader '!F88,IF('FS1 Kostnader '!F$13&lt;12,12*(('FS1 Kostnader '!F88+'FS1 Kostnader '!G88)/('FS1 Kostnader '!F$13+'FS1 Kostnader '!G$13)),12*'FS1 Kostnader '!F88/'FS1 Kostnader '!F$13))))</f>
        <v>1200</v>
      </c>
      <c r="X24" s="650" t="s">
        <v>552</v>
      </c>
    </row>
    <row r="25" spans="1:24" ht="12" customHeight="1" x14ac:dyDescent="0.2">
      <c r="A25" s="29"/>
      <c r="B25" s="352">
        <f t="shared" si="12"/>
        <v>12</v>
      </c>
      <c r="C25" s="1871" t="s">
        <v>515</v>
      </c>
      <c r="D25" s="1908"/>
      <c r="E25" s="1918"/>
      <c r="F25" s="783">
        <v>24</v>
      </c>
      <c r="G25" s="919">
        <f>IF('K3 Resultat'!B9&gt;0,'K3 Resultat'!E20+'K3 Resultat'!E27+'K3 Resultat'!E31+'K3 Resultat'!E19-'K3 Resultat'!E24-'K3 Resultat'!E26,'FS3 Resultat'!E20+'FS3 Resultat'!E27+'FS3 Resultat'!E31+'FS3 Resultat'!E19-'FS3 Resultat'!E24-'FS3 Resultat'!E26)</f>
        <v>47600</v>
      </c>
      <c r="H25" s="919">
        <v>0</v>
      </c>
      <c r="I25" s="919">
        <v>0</v>
      </c>
      <c r="J25" s="919">
        <v>0</v>
      </c>
      <c r="K25" s="919">
        <v>0</v>
      </c>
      <c r="L25" s="919">
        <v>0</v>
      </c>
      <c r="M25" s="919">
        <v>0</v>
      </c>
      <c r="N25" s="919">
        <v>0</v>
      </c>
      <c r="O25" s="919">
        <v>0</v>
      </c>
      <c r="P25" s="919">
        <v>0</v>
      </c>
      <c r="Q25" s="919">
        <v>0</v>
      </c>
      <c r="R25" s="919">
        <v>0</v>
      </c>
      <c r="S25" s="910">
        <f t="shared" si="7"/>
        <v>47600</v>
      </c>
      <c r="T25" s="47"/>
      <c r="U25" s="1394">
        <f t="shared" si="8"/>
        <v>12</v>
      </c>
      <c r="V25" s="964">
        <f t="shared" si="11"/>
        <v>0</v>
      </c>
      <c r="W25" s="964"/>
      <c r="X25" s="650"/>
    </row>
    <row r="26" spans="1:24" ht="12" customHeight="1" x14ac:dyDescent="0.2">
      <c r="A26" s="29"/>
      <c r="B26" s="352">
        <f t="shared" si="12"/>
        <v>13</v>
      </c>
      <c r="C26" s="1871" t="s">
        <v>516</v>
      </c>
      <c r="D26" s="1872"/>
      <c r="E26" s="1873"/>
      <c r="F26" s="783">
        <v>24</v>
      </c>
      <c r="G26" s="919">
        <f t="shared" ref="G26:R27" si="13">$W26/12*(1+$F26/100)</f>
        <v>0</v>
      </c>
      <c r="H26" s="919">
        <f t="shared" si="13"/>
        <v>0</v>
      </c>
      <c r="I26" s="919">
        <f t="shared" si="13"/>
        <v>0</v>
      </c>
      <c r="J26" s="919">
        <f t="shared" si="13"/>
        <v>0</v>
      </c>
      <c r="K26" s="919">
        <f t="shared" si="13"/>
        <v>0</v>
      </c>
      <c r="L26" s="919">
        <f t="shared" si="13"/>
        <v>0</v>
      </c>
      <c r="M26" s="919">
        <f t="shared" si="13"/>
        <v>0</v>
      </c>
      <c r="N26" s="919">
        <f t="shared" si="13"/>
        <v>0</v>
      </c>
      <c r="O26" s="919">
        <f t="shared" si="13"/>
        <v>0</v>
      </c>
      <c r="P26" s="919">
        <f t="shared" si="13"/>
        <v>0</v>
      </c>
      <c r="Q26" s="919">
        <f t="shared" si="13"/>
        <v>0</v>
      </c>
      <c r="R26" s="919">
        <f t="shared" si="13"/>
        <v>0</v>
      </c>
      <c r="S26" s="910">
        <f t="shared" si="7"/>
        <v>0</v>
      </c>
      <c r="T26" s="47"/>
      <c r="U26" s="1394">
        <f t="shared" si="8"/>
        <v>13</v>
      </c>
      <c r="V26" s="964">
        <f t="shared" si="11"/>
        <v>0</v>
      </c>
      <c r="W26" s="964">
        <f>IF('K1 Kostnader'!C$9&gt;0,(IF('K1 Kostnader'!F$13=12,'K1 Kostnader'!F61-'K1 Kostnader'!F66,IF('K1 Kostnader'!F$13&lt;12,12*(('K1 Kostnader'!F61+'K1 Kostnader'!G61-'K1 Kostnader'!F66-'K1 Kostnader'!G66)/('K1 Kostnader'!F$13+'K1 Kostnader'!G$13)),12*('K1 Kostnader'!F61-'K1 Kostnader'!F66)/'K1 Kostnader'!F$13))),(IF('FS1 Kostnader '!F$13=12,'FS1 Kostnader '!F61-'FS1 Kostnader '!F66,IF('FS1 Kostnader '!F$13&lt;12,12*(('FS1 Kostnader '!F61+'FS1 Kostnader '!G61-'FS1 Kostnader '!F66-'FS1 Kostnader '!G66)/('FS1 Kostnader '!F$13+'FS1 Kostnader '!G$13)),12*('FS1 Kostnader '!F61-'FS1 Kostnader '!F66)/'FS1 Kostnader '!F$13))))</f>
        <v>0</v>
      </c>
      <c r="X26" s="650" t="s">
        <v>553</v>
      </c>
    </row>
    <row r="27" spans="1:24" ht="12" customHeight="1" x14ac:dyDescent="0.2">
      <c r="A27" s="29"/>
      <c r="B27" s="352">
        <f t="shared" si="12"/>
        <v>14</v>
      </c>
      <c r="C27" s="1920" t="s">
        <v>517</v>
      </c>
      <c r="D27" s="1921"/>
      <c r="E27" s="1922"/>
      <c r="F27" s="783">
        <v>24</v>
      </c>
      <c r="G27" s="919">
        <f t="shared" si="13"/>
        <v>85.766666666666666</v>
      </c>
      <c r="H27" s="919">
        <f t="shared" si="13"/>
        <v>85.766666666666666</v>
      </c>
      <c r="I27" s="919">
        <f t="shared" si="13"/>
        <v>85.766666666666666</v>
      </c>
      <c r="J27" s="919">
        <f t="shared" si="13"/>
        <v>85.766666666666666</v>
      </c>
      <c r="K27" s="919">
        <f t="shared" si="13"/>
        <v>85.766666666666666</v>
      </c>
      <c r="L27" s="919">
        <f t="shared" si="13"/>
        <v>85.766666666666666</v>
      </c>
      <c r="M27" s="919">
        <f t="shared" si="13"/>
        <v>85.766666666666666</v>
      </c>
      <c r="N27" s="919">
        <f t="shared" si="13"/>
        <v>85.766666666666666</v>
      </c>
      <c r="O27" s="919">
        <f t="shared" si="13"/>
        <v>85.766666666666666</v>
      </c>
      <c r="P27" s="919">
        <f t="shared" si="13"/>
        <v>85.766666666666666</v>
      </c>
      <c r="Q27" s="919">
        <f t="shared" si="13"/>
        <v>85.766666666666666</v>
      </c>
      <c r="R27" s="919">
        <f t="shared" si="13"/>
        <v>85.766666666666666</v>
      </c>
      <c r="S27" s="910">
        <f t="shared" si="7"/>
        <v>1029.2</v>
      </c>
      <c r="T27" s="47"/>
      <c r="U27" s="1394">
        <f t="shared" si="8"/>
        <v>14</v>
      </c>
      <c r="V27" s="964">
        <f t="shared" si="11"/>
        <v>1029.2</v>
      </c>
      <c r="W27" s="964">
        <f>IF('K1 Kostnader'!C$9&gt;0,(IF('K1 Kostnader'!F$13=12,'K1 Kostnader'!F54+'K1 Kostnader'!F55+'K1 Kostnader'!F56,IF('K1 Kostnader'!F$13&lt;12,12*(('K1 Kostnader'!F54+'K1 Kostnader'!G54+'K1 Kostnader'!F55+'K1 Kostnader'!G55+'K1 Kostnader'!F56+'K1 Kostnader'!G56)/('K1 Kostnader'!F$13+'K1 Kostnader'!G$13)),12*('K1 Kostnader'!F55+'K1 Kostnader'!F56+'K1 Kostnader'!F54)/'K1 Kostnader'!F$13))),(IF('FS1 Kostnader '!F$13=12,'FS1 Kostnader '!F54+'FS1 Kostnader '!F55+'FS1 Kostnader '!F56,IF('FS1 Kostnader '!F$13&lt;12,12*(('FS1 Kostnader '!F54+'FS1 Kostnader '!G54+'FS1 Kostnader '!F55+'FS1 Kostnader '!G55+'FS1 Kostnader '!F56+'FS1 Kostnader '!G56)/('FS1 Kostnader '!F$13+'FS1 Kostnader '!G$13)),12*('FS1 Kostnader '!F54+'FS1 Kostnader '!F55+'FS1 Kostnader '!F56)/'FS1 Kostnader '!F$13))))</f>
        <v>830</v>
      </c>
      <c r="X27" s="650" t="s">
        <v>550</v>
      </c>
    </row>
    <row r="28" spans="1:24" ht="12" customHeight="1" x14ac:dyDescent="0.2">
      <c r="A28" s="29"/>
      <c r="B28" s="352">
        <f t="shared" si="12"/>
        <v>15</v>
      </c>
      <c r="C28" s="1871" t="s">
        <v>518</v>
      </c>
      <c r="D28" s="1908"/>
      <c r="E28" s="1918"/>
      <c r="F28" s="783">
        <v>24</v>
      </c>
      <c r="G28" s="919">
        <f>Kassabudget!$W28/12*(1+$F28/100)</f>
        <v>206.66666666666666</v>
      </c>
      <c r="H28" s="919">
        <f>Kassabudget!$W28/12*(1+$F28/100)</f>
        <v>206.66666666666666</v>
      </c>
      <c r="I28" s="919">
        <f>Kassabudget!$W28/12*(1+$F28/100)</f>
        <v>206.66666666666666</v>
      </c>
      <c r="J28" s="919">
        <f>Kassabudget!$W28/12*(1+$F28/100)</f>
        <v>206.66666666666666</v>
      </c>
      <c r="K28" s="919">
        <f>Kassabudget!$W28/12*(1+$F28/100)</f>
        <v>206.66666666666666</v>
      </c>
      <c r="L28" s="919">
        <f>Kassabudget!$W28/12*(1+$F28/100)</f>
        <v>206.66666666666666</v>
      </c>
      <c r="M28" s="919">
        <f>Kassabudget!$W28/12*(1+$F28/100)</f>
        <v>206.66666666666666</v>
      </c>
      <c r="N28" s="919">
        <f>Kassabudget!$W28/12*(1+$F28/100)</f>
        <v>206.66666666666666</v>
      </c>
      <c r="O28" s="919">
        <f>Kassabudget!$W28/12*(1+$F28/100)</f>
        <v>206.66666666666666</v>
      </c>
      <c r="P28" s="919">
        <f>Kassabudget!$W28/12*(1+$F28/100)</f>
        <v>206.66666666666666</v>
      </c>
      <c r="Q28" s="919">
        <f>Kassabudget!$W28/12*(1+$F28/100)</f>
        <v>206.66666666666666</v>
      </c>
      <c r="R28" s="919">
        <f>Kassabudget!$W28/12*(1+$F28/100)</f>
        <v>206.66666666666666</v>
      </c>
      <c r="S28" s="910">
        <f t="shared" si="7"/>
        <v>2480</v>
      </c>
      <c r="T28" s="47"/>
      <c r="U28" s="1394">
        <f>B28</f>
        <v>15</v>
      </c>
      <c r="V28" s="964">
        <f>W28*(1+Kassabudget!F28/100)</f>
        <v>2480</v>
      </c>
      <c r="W28" s="964">
        <f>IF('K1 Kostnader'!C$9&gt;0,(IF('K1 Kostnader'!F$13=12,'K1 Kostnader'!F73-'K1 Kostnader'!F74,IF('K1 Kostnader'!F$13&lt;12,12*(('K1 Kostnader'!F73+'K1 Kostnader'!G73-'K1 Kostnader'!F74-'K1 Kostnader'!G74)/('K1 Kostnader'!F$13+'K1 Kostnader'!G$13)),12*('K1 Kostnader'!F73-'K1 Kostnader'!F74)/'K1 Kostnader'!F$13))),(IF('FS1 Kostnader '!F$13=12,'FS1 Kostnader '!F73-'FS1 Kostnader '!F74,IF('FS1 Kostnader '!F$13&lt;12,12*(('FS1 Kostnader '!F73+'FS1 Kostnader '!G73-'FS1 Kostnader '!F74-'FS1 Kostnader '!G74)/('FS1 Kostnader '!F$13+'FS1 Kostnader '!G$13)),12*('FS1 Kostnader '!F73-'FS1 Kostnader '!F74)/'FS1 Kostnader '!F$13))))</f>
        <v>2000</v>
      </c>
      <c r="X28" s="650" t="s">
        <v>554</v>
      </c>
    </row>
    <row r="29" spans="1:24" ht="12" customHeight="1" x14ac:dyDescent="0.2">
      <c r="A29" s="29"/>
      <c r="B29" s="352">
        <f t="shared" si="12"/>
        <v>16</v>
      </c>
      <c r="C29" s="1871" t="s">
        <v>519</v>
      </c>
      <c r="D29" s="1872"/>
      <c r="E29" s="1873"/>
      <c r="F29" s="783">
        <v>24</v>
      </c>
      <c r="G29" s="919">
        <f>Kassabudget!$W29/12*(1+$F29/100)</f>
        <v>37.200000000000003</v>
      </c>
      <c r="H29" s="919">
        <f>Kassabudget!$W29/12*(1+$F29/100)</f>
        <v>37.200000000000003</v>
      </c>
      <c r="I29" s="919">
        <f>Kassabudget!$W29/12*(1+$F29/100)</f>
        <v>37.200000000000003</v>
      </c>
      <c r="J29" s="919">
        <f>Kassabudget!$W29/12*(1+$F29/100)</f>
        <v>37.200000000000003</v>
      </c>
      <c r="K29" s="919">
        <f>Kassabudget!$W29/12*(1+$F29/100)</f>
        <v>37.200000000000003</v>
      </c>
      <c r="L29" s="919">
        <f>Kassabudget!$W29/12*(1+$F29/100)</f>
        <v>37.200000000000003</v>
      </c>
      <c r="M29" s="919">
        <f>Kassabudget!$W29/12*(1+$F29/100)</f>
        <v>37.200000000000003</v>
      </c>
      <c r="N29" s="919">
        <f>Kassabudget!$W29/12*(1+$F29/100)</f>
        <v>37.200000000000003</v>
      </c>
      <c r="O29" s="919">
        <f>Kassabudget!$W29/12*(1+$F29/100)</f>
        <v>37.200000000000003</v>
      </c>
      <c r="P29" s="919">
        <f>Kassabudget!$W29/12*(1+$F29/100)</f>
        <v>37.200000000000003</v>
      </c>
      <c r="Q29" s="919">
        <f>Kassabudget!$W29/12*(1+$F29/100)</f>
        <v>37.200000000000003</v>
      </c>
      <c r="R29" s="919">
        <f>Kassabudget!$W29/12*(1+$F29/100)</f>
        <v>37.200000000000003</v>
      </c>
      <c r="S29" s="910">
        <f t="shared" si="7"/>
        <v>446.39999999999992</v>
      </c>
      <c r="T29" s="47"/>
      <c r="U29" s="1394">
        <f>B29</f>
        <v>16</v>
      </c>
      <c r="V29" s="964">
        <f>W29*(1+Kassabudget!F29/100)</f>
        <v>446.4</v>
      </c>
      <c r="W29" s="964">
        <f>IF('K1 Kostnader'!C$9&gt;0,(IF('K1 Kostnader'!F$13=12,'K1 Kostnader'!F68,IF('K1 Kostnader'!F$13&lt;12,12*(('K1 Kostnader'!F68+'K1 Kostnader'!G68)/('K1 Kostnader'!F$13+'K1 Kostnader'!G$13)),12*'K1 Kostnader'!F68/'K1 Kostnader'!F$13))),(IF('FS1 Kostnader '!F$13=12,'FS1 Kostnader '!F68,IF('FS1 Kostnader '!F$13&lt;12,12*(('FS1 Kostnader '!F68+'FS1 Kostnader '!G68)/('FS1 Kostnader '!F$13+'FS1 Kostnader '!G$13)),12*'FS1 Kostnader '!F68/'FS1 Kostnader '!F$13))))</f>
        <v>360</v>
      </c>
      <c r="X29" s="650" t="s">
        <v>555</v>
      </c>
    </row>
    <row r="30" spans="1:24" ht="12" customHeight="1" x14ac:dyDescent="0.2">
      <c r="A30" s="29"/>
      <c r="B30" s="352">
        <f t="shared" si="12"/>
        <v>17</v>
      </c>
      <c r="C30" s="1871" t="s">
        <v>520</v>
      </c>
      <c r="D30" s="1908"/>
      <c r="E30" s="1918"/>
      <c r="F30" s="783">
        <v>24</v>
      </c>
      <c r="G30" s="919">
        <f t="shared" ref="G30:R30" si="14">$W30/12*(1+$F30/100)</f>
        <v>258.33333333333337</v>
      </c>
      <c r="H30" s="919">
        <f t="shared" si="14"/>
        <v>258.33333333333337</v>
      </c>
      <c r="I30" s="919">
        <f t="shared" si="14"/>
        <v>258.33333333333337</v>
      </c>
      <c r="J30" s="919">
        <f t="shared" si="14"/>
        <v>258.33333333333337</v>
      </c>
      <c r="K30" s="919">
        <f t="shared" si="14"/>
        <v>258.33333333333337</v>
      </c>
      <c r="L30" s="919">
        <f t="shared" si="14"/>
        <v>258.33333333333337</v>
      </c>
      <c r="M30" s="919">
        <f t="shared" si="14"/>
        <v>258.33333333333337</v>
      </c>
      <c r="N30" s="919">
        <f t="shared" si="14"/>
        <v>258.33333333333337</v>
      </c>
      <c r="O30" s="919">
        <f t="shared" si="14"/>
        <v>258.33333333333337</v>
      </c>
      <c r="P30" s="919">
        <f t="shared" si="14"/>
        <v>258.33333333333337</v>
      </c>
      <c r="Q30" s="919">
        <f t="shared" si="14"/>
        <v>258.33333333333337</v>
      </c>
      <c r="R30" s="919">
        <f t="shared" si="14"/>
        <v>258.33333333333337</v>
      </c>
      <c r="S30" s="910">
        <f t="shared" si="7"/>
        <v>3100.0000000000014</v>
      </c>
      <c r="T30" s="47"/>
      <c r="U30" s="1394">
        <f t="shared" ref="U30:U40" si="15">B30</f>
        <v>17</v>
      </c>
      <c r="V30" s="964">
        <f>W30*(1+F30/100)</f>
        <v>3100</v>
      </c>
      <c r="W30" s="964">
        <f>'AT1 Palkat, alv'!U73</f>
        <v>2500</v>
      </c>
      <c r="X30" s="650"/>
    </row>
    <row r="31" spans="1:24" ht="12" customHeight="1" x14ac:dyDescent="0.2">
      <c r="A31" s="29"/>
      <c r="B31" s="352">
        <f>B30+1</f>
        <v>18</v>
      </c>
      <c r="C31" s="1871" t="s">
        <v>521</v>
      </c>
      <c r="D31" s="1872"/>
      <c r="E31" s="1872"/>
      <c r="F31" s="1873"/>
      <c r="G31" s="980">
        <v>0</v>
      </c>
      <c r="H31" s="980">
        <v>0</v>
      </c>
      <c r="I31" s="981">
        <f>'AT1 Palkat, alv'!E70</f>
        <v>-9600.4377191827516</v>
      </c>
      <c r="J31" s="981">
        <f>'AT1 Palkat, alv'!F70</f>
        <v>-261.50174006444649</v>
      </c>
      <c r="K31" s="981">
        <f>'AT1 Palkat, alv'!G70</f>
        <v>-261.50174006444649</v>
      </c>
      <c r="L31" s="981">
        <f>'AT1 Palkat, alv'!H70</f>
        <v>-198.48536340852115</v>
      </c>
      <c r="M31" s="981">
        <f>'AT1 Palkat, alv'!I70</f>
        <v>-135.46898675259536</v>
      </c>
      <c r="N31" s="981">
        <f>'AT1 Palkat, alv'!J70</f>
        <v>-72.452610096669105</v>
      </c>
      <c r="O31" s="981">
        <f>'AT1 Palkat, alv'!K70</f>
        <v>-9.4362334407442177</v>
      </c>
      <c r="P31" s="981">
        <f>'AT1 Palkat, alv'!L70</f>
        <v>-9.4362334407442177</v>
      </c>
      <c r="Q31" s="981">
        <f>'AT1 Palkat, alv'!M70</f>
        <v>-9.4362334407442177</v>
      </c>
      <c r="R31" s="981">
        <f>'AT1 Palkat, alv'!N70</f>
        <v>-9.4362334407442177</v>
      </c>
      <c r="S31" s="910">
        <f t="shared" si="7"/>
        <v>-10567.593093332409</v>
      </c>
      <c r="T31" s="47"/>
      <c r="U31" s="1394">
        <f t="shared" si="15"/>
        <v>18</v>
      </c>
      <c r="V31" s="974"/>
      <c r="W31" s="964"/>
      <c r="X31" s="650"/>
    </row>
    <row r="32" spans="1:24" ht="12" customHeight="1" x14ac:dyDescent="0.2">
      <c r="A32" s="29"/>
      <c r="B32" s="352">
        <f>B31+1</f>
        <v>19</v>
      </c>
      <c r="C32" s="1871" t="s">
        <v>522</v>
      </c>
      <c r="D32" s="1872"/>
      <c r="E32" s="1872"/>
      <c r="F32" s="1873"/>
      <c r="G32" s="981">
        <f>('AT1 Palkat, alv'!E8+'AT1 Palkat, alv'!E24)</f>
        <v>3886.9626833333332</v>
      </c>
      <c r="H32" s="981">
        <f>('AT1 Palkat, alv'!F8+'AT1 Palkat, alv'!F24)</f>
        <v>3886.9626833333332</v>
      </c>
      <c r="I32" s="981">
        <f>('AT1 Palkat, alv'!G8+'AT1 Palkat, alv'!G24)</f>
        <v>3886.9626833333332</v>
      </c>
      <c r="J32" s="981">
        <f>('AT1 Palkat, alv'!H8+'AT1 Palkat, alv'!H24)</f>
        <v>3886.9626833333332</v>
      </c>
      <c r="K32" s="981">
        <f>('AT1 Palkat, alv'!I8+'AT1 Palkat, alv'!I24)</f>
        <v>3886.9626833333332</v>
      </c>
      <c r="L32" s="981">
        <f>('AT1 Palkat, alv'!J8+'AT1 Palkat, alv'!J24)</f>
        <v>3886.9626833333332</v>
      </c>
      <c r="M32" s="981">
        <f>('AT1 Palkat, alv'!K8+'AT1 Palkat, alv'!K24)</f>
        <v>3886.9626833333332</v>
      </c>
      <c r="N32" s="981">
        <f>('AT1 Palkat, alv'!L8+'AT1 Palkat, alv'!L24)</f>
        <v>3886.9626833333332</v>
      </c>
      <c r="O32" s="981">
        <f>('AT1 Palkat, alv'!M8+'AT1 Palkat, alv'!M24)</f>
        <v>3886.9626833333332</v>
      </c>
      <c r="P32" s="981">
        <f>('AT1 Palkat, alv'!N8+'AT1 Palkat, alv'!N24)</f>
        <v>3886.9626833333332</v>
      </c>
      <c r="Q32" s="981">
        <f>('AT1 Palkat, alv'!O8+'AT1 Palkat, alv'!O24)</f>
        <v>3886.9626833333332</v>
      </c>
      <c r="R32" s="981">
        <f>('AT1 Palkat, alv'!P8+'AT1 Palkat, alv'!P24)</f>
        <v>3886.9626833333332</v>
      </c>
      <c r="S32" s="910">
        <f t="shared" si="7"/>
        <v>46643.552199999984</v>
      </c>
      <c r="T32" s="47"/>
      <c r="U32" s="1394">
        <f t="shared" si="15"/>
        <v>19</v>
      </c>
      <c r="V32" s="975"/>
      <c r="W32" s="964"/>
      <c r="X32" s="650"/>
    </row>
    <row r="33" spans="1:27" ht="12" customHeight="1" x14ac:dyDescent="0.2">
      <c r="B33" s="353"/>
      <c r="C33" s="354" t="s">
        <v>143</v>
      </c>
      <c r="D33" s="1869" t="s">
        <v>523</v>
      </c>
      <c r="E33" s="1870"/>
      <c r="F33" s="716">
        <v>29</v>
      </c>
      <c r="G33" s="916">
        <f t="shared" ref="G33:R36" si="16">$W33/12</f>
        <v>2500</v>
      </c>
      <c r="H33" s="916">
        <f t="shared" si="16"/>
        <v>2500</v>
      </c>
      <c r="I33" s="916">
        <f t="shared" si="16"/>
        <v>2500</v>
      </c>
      <c r="J33" s="916">
        <f t="shared" si="16"/>
        <v>2500</v>
      </c>
      <c r="K33" s="916">
        <f t="shared" si="16"/>
        <v>2500</v>
      </c>
      <c r="L33" s="916">
        <f t="shared" si="16"/>
        <v>2500</v>
      </c>
      <c r="M33" s="916">
        <f t="shared" si="16"/>
        <v>2500</v>
      </c>
      <c r="N33" s="916">
        <f t="shared" si="16"/>
        <v>2500</v>
      </c>
      <c r="O33" s="916">
        <f t="shared" si="16"/>
        <v>2500</v>
      </c>
      <c r="P33" s="916">
        <f t="shared" si="16"/>
        <v>2500</v>
      </c>
      <c r="Q33" s="916">
        <f t="shared" si="16"/>
        <v>2500</v>
      </c>
      <c r="R33" s="916">
        <f t="shared" si="16"/>
        <v>2500</v>
      </c>
      <c r="S33" s="917">
        <f t="shared" si="7"/>
        <v>30000</v>
      </c>
      <c r="T33" s="224"/>
      <c r="U33" s="1394">
        <f t="shared" si="15"/>
        <v>0</v>
      </c>
      <c r="V33" s="976"/>
      <c r="W33" s="964">
        <f>IF('K1 Kostnader'!$C$9&gt;0,(IF('K1 Kostnader'!$F$13=12,'K1 Kostnader'!$F14,IF('K1 Kostnader'!$F$13&lt;12,12*(('K1 Kostnader'!$F14+'K1 Kostnader'!$G14)/('K1 Kostnader'!$F$13+'K1 Kostnader'!$G$13)),12*'K1 Kostnader'!$F14/'K1 Kostnader'!$F$13))),(IF('FS1 Kostnader '!$F$13=12,'FS1 Kostnader '!$F14,IF('FS1 Kostnader '!$F$13&lt;12,12*(('FS1 Kostnader '!$F14+'FS1 Kostnader '!$G14)/('FS1 Kostnader '!$F$13+'FS1 Kostnader '!$G$13)),12*'FS1 Kostnader '!$F14/'FS1 Kostnader '!$F$13))))</f>
        <v>30000</v>
      </c>
      <c r="X33" s="650" t="s">
        <v>556</v>
      </c>
      <c r="Y33" s="8"/>
      <c r="Z33" s="8"/>
      <c r="AA33" s="8"/>
    </row>
    <row r="34" spans="1:27" ht="12" customHeight="1" x14ac:dyDescent="0.2">
      <c r="B34" s="355"/>
      <c r="C34" s="354" t="s">
        <v>144</v>
      </c>
      <c r="D34" s="1869" t="s">
        <v>524</v>
      </c>
      <c r="E34" s="1919"/>
      <c r="F34" s="1870"/>
      <c r="G34" s="916">
        <f t="shared" si="16"/>
        <v>129</v>
      </c>
      <c r="H34" s="916">
        <f t="shared" si="16"/>
        <v>129</v>
      </c>
      <c r="I34" s="916">
        <f t="shared" si="16"/>
        <v>129</v>
      </c>
      <c r="J34" s="916">
        <f t="shared" si="16"/>
        <v>129</v>
      </c>
      <c r="K34" s="916">
        <f t="shared" si="16"/>
        <v>129</v>
      </c>
      <c r="L34" s="916">
        <f t="shared" si="16"/>
        <v>129</v>
      </c>
      <c r="M34" s="916">
        <f t="shared" si="16"/>
        <v>129</v>
      </c>
      <c r="N34" s="916">
        <f t="shared" si="16"/>
        <v>129</v>
      </c>
      <c r="O34" s="916">
        <f t="shared" si="16"/>
        <v>129</v>
      </c>
      <c r="P34" s="916">
        <f t="shared" si="16"/>
        <v>129</v>
      </c>
      <c r="Q34" s="916">
        <f t="shared" si="16"/>
        <v>129</v>
      </c>
      <c r="R34" s="916">
        <f t="shared" si="16"/>
        <v>129</v>
      </c>
      <c r="S34" s="917">
        <f t="shared" si="7"/>
        <v>1548</v>
      </c>
      <c r="T34" s="224"/>
      <c r="U34" s="1394">
        <f t="shared" si="15"/>
        <v>0</v>
      </c>
      <c r="V34" s="976"/>
      <c r="W34" s="964">
        <f>IF('K1 Kostnader'!$C$9&gt;0,(IF('K1 Kostnader'!$F$13=12,'K1 Kostnader'!$F17*('K1 Kostnader'!F18),IF('K1 Kostnader'!$F$13&lt;12,12*(('K1 Kostnader'!$F17*('K1 Kostnader'!F18)+'K1 Kostnader'!$G17*('K1 Kostnader'!G18))/('K1 Kostnader'!$F$13+'K1 Kostnader'!$G$13)),12*'K1 Kostnader'!$F17*('K1 Kostnader'!F18)/'K1 Kostnader'!$F$13))),(IF('FS1 Kostnader '!$F$13=12,'FS1 Kostnader '!$F17*('FS1 Kostnader '!F18),IF('FS1 Kostnader '!$F$13&lt;12,12*(('FS1 Kostnader '!$F17*('FS1 Kostnader '!F18)+'FS1 Kostnader '!$G17*('FS1 Kostnader '!G18))/('FS1 Kostnader '!$F$13+'FS1 Kostnader '!$G$13)),12*'FS1 Kostnader '!$F17*('FS1 Kostnader '!F18)/'FS1 Kostnader '!$F$13))))</f>
        <v>1548</v>
      </c>
      <c r="X34" s="650" t="s">
        <v>556</v>
      </c>
      <c r="Y34" s="8"/>
      <c r="Z34" s="8"/>
      <c r="AA34" s="8"/>
    </row>
    <row r="35" spans="1:27" ht="12" customHeight="1" x14ac:dyDescent="0.2">
      <c r="B35" s="355"/>
      <c r="C35" s="354" t="s">
        <v>145</v>
      </c>
      <c r="D35" s="1869" t="s">
        <v>525</v>
      </c>
      <c r="E35" s="1870"/>
      <c r="F35" s="716">
        <v>25</v>
      </c>
      <c r="G35" s="916">
        <f t="shared" si="16"/>
        <v>3371.35</v>
      </c>
      <c r="H35" s="916">
        <f t="shared" si="16"/>
        <v>3371.35</v>
      </c>
      <c r="I35" s="916">
        <f t="shared" si="16"/>
        <v>3371.35</v>
      </c>
      <c r="J35" s="916">
        <f t="shared" si="16"/>
        <v>3371.35</v>
      </c>
      <c r="K35" s="916">
        <f t="shared" si="16"/>
        <v>3371.35</v>
      </c>
      <c r="L35" s="916">
        <f t="shared" si="16"/>
        <v>3371.35</v>
      </c>
      <c r="M35" s="916">
        <f t="shared" si="16"/>
        <v>3371.35</v>
      </c>
      <c r="N35" s="916">
        <f t="shared" si="16"/>
        <v>3371.35</v>
      </c>
      <c r="O35" s="916">
        <f t="shared" si="16"/>
        <v>3371.35</v>
      </c>
      <c r="P35" s="916">
        <f t="shared" si="16"/>
        <v>3371.35</v>
      </c>
      <c r="Q35" s="916">
        <f t="shared" si="16"/>
        <v>3371.35</v>
      </c>
      <c r="R35" s="916">
        <f t="shared" si="16"/>
        <v>3371.35</v>
      </c>
      <c r="S35" s="917">
        <f t="shared" si="7"/>
        <v>40456.19999999999</v>
      </c>
      <c r="T35" s="224"/>
      <c r="U35" s="1394">
        <f t="shared" si="15"/>
        <v>0</v>
      </c>
      <c r="V35" s="976"/>
      <c r="W35" s="1002">
        <f>IF(Lönekostnader!C$10=12,Lönekostnader!C83,IF(Lönekostnader!C$10&lt;12,12*(Lönekostnader!C83+Lönekostnader!D83)/(Lönekostnader!C$10+Lönekostnader!D$10),12*Lönekostnader!C83/Lönekostnader!C$10))</f>
        <v>40456.199999999997</v>
      </c>
      <c r="X35" s="650" t="s">
        <v>559</v>
      </c>
      <c r="Y35" s="8"/>
      <c r="Z35" s="8"/>
      <c r="AA35" s="8"/>
    </row>
    <row r="36" spans="1:27" ht="12" customHeight="1" x14ac:dyDescent="0.2">
      <c r="B36" s="355"/>
      <c r="C36" s="354" t="s">
        <v>146</v>
      </c>
      <c r="D36" s="1869" t="s">
        <v>526</v>
      </c>
      <c r="E36" s="1919"/>
      <c r="F36" s="1870"/>
      <c r="G36" s="916">
        <f t="shared" si="16"/>
        <v>260.08333333333331</v>
      </c>
      <c r="H36" s="916">
        <f t="shared" si="16"/>
        <v>260.08333333333331</v>
      </c>
      <c r="I36" s="916">
        <f t="shared" si="16"/>
        <v>260.08333333333331</v>
      </c>
      <c r="J36" s="916">
        <f t="shared" si="16"/>
        <v>260.08333333333331</v>
      </c>
      <c r="K36" s="916">
        <f t="shared" si="16"/>
        <v>260.08333333333331</v>
      </c>
      <c r="L36" s="916">
        <f t="shared" si="16"/>
        <v>260.08333333333331</v>
      </c>
      <c r="M36" s="916">
        <f t="shared" si="16"/>
        <v>260.08333333333331</v>
      </c>
      <c r="N36" s="916">
        <f t="shared" si="16"/>
        <v>260.08333333333331</v>
      </c>
      <c r="O36" s="916">
        <f t="shared" si="16"/>
        <v>260.08333333333331</v>
      </c>
      <c r="P36" s="916">
        <f t="shared" si="16"/>
        <v>260.08333333333331</v>
      </c>
      <c r="Q36" s="916">
        <f t="shared" si="16"/>
        <v>260.08333333333331</v>
      </c>
      <c r="R36" s="916">
        <f t="shared" si="16"/>
        <v>260.08333333333331</v>
      </c>
      <c r="S36" s="917">
        <f t="shared" si="7"/>
        <v>3121.0000000000005</v>
      </c>
      <c r="T36" s="224"/>
      <c r="U36" s="1394">
        <f t="shared" si="15"/>
        <v>0</v>
      </c>
      <c r="V36" s="976"/>
      <c r="W36" s="964">
        <f>IF('K1 Kostnader'!$C$9&gt;0,(IF('K1 Kostnader'!$F$13=12,Lönekostnader!C84,IF('K1 Kostnader'!$F$13&lt;12,12*((Lönekostnader!C84+Lönekostnader!D84)/('K1 Kostnader'!$F$13+'K1 Kostnader'!$G$13)),12*Lönekostnader!C84/'K1 Kostnader'!$F$13))),(IF('FS1 Kostnader '!$F$13=12,Lönekostnader!C84,IF('FS1 Kostnader '!$F$13&lt;12,12*((Lönekostnader!C84+Lönekostnader!D84)/('FS1 Kostnader '!$F$13+'FS1 Kostnader '!$G$13)),12*Lönekostnader!C84/'FS1 Kostnader '!$F$13))))</f>
        <v>3121</v>
      </c>
      <c r="X36" s="650" t="s">
        <v>558</v>
      </c>
      <c r="Y36" s="8"/>
      <c r="Z36" s="8"/>
      <c r="AA36" s="8"/>
    </row>
    <row r="37" spans="1:27" ht="12" customHeight="1" x14ac:dyDescent="0.2">
      <c r="B37" s="356"/>
      <c r="C37" s="354" t="s">
        <v>147</v>
      </c>
      <c r="D37" s="1869" t="s">
        <v>527</v>
      </c>
      <c r="E37" s="1870"/>
      <c r="F37" s="716">
        <v>8.65</v>
      </c>
      <c r="G37" s="918">
        <f>(G35+G36)*$F37%</f>
        <v>314.11898333333335</v>
      </c>
      <c r="H37" s="918">
        <f t="shared" ref="H37:R37" si="17">(H35+H36)*$F37%</f>
        <v>314.11898333333335</v>
      </c>
      <c r="I37" s="918">
        <f t="shared" si="17"/>
        <v>314.11898333333335</v>
      </c>
      <c r="J37" s="918">
        <f t="shared" si="17"/>
        <v>314.11898333333335</v>
      </c>
      <c r="K37" s="918">
        <f t="shared" si="17"/>
        <v>314.11898333333335</v>
      </c>
      <c r="L37" s="918">
        <f t="shared" si="17"/>
        <v>314.11898333333335</v>
      </c>
      <c r="M37" s="918">
        <f t="shared" si="17"/>
        <v>314.11898333333335</v>
      </c>
      <c r="N37" s="918">
        <f t="shared" si="17"/>
        <v>314.11898333333335</v>
      </c>
      <c r="O37" s="918">
        <f t="shared" si="17"/>
        <v>314.11898333333335</v>
      </c>
      <c r="P37" s="918">
        <f t="shared" si="17"/>
        <v>314.11898333333335</v>
      </c>
      <c r="Q37" s="918">
        <f t="shared" si="17"/>
        <v>314.11898333333335</v>
      </c>
      <c r="R37" s="918">
        <f t="shared" si="17"/>
        <v>314.11898333333335</v>
      </c>
      <c r="S37" s="917">
        <f t="shared" si="7"/>
        <v>3769.4277999999999</v>
      </c>
      <c r="T37" s="224"/>
      <c r="U37" s="1394">
        <f t="shared" si="15"/>
        <v>0</v>
      </c>
      <c r="V37" s="976"/>
      <c r="X37" s="650"/>
      <c r="Y37" s="8"/>
      <c r="Z37" s="8"/>
      <c r="AA37" s="8"/>
    </row>
    <row r="38" spans="1:27" ht="12" customHeight="1" x14ac:dyDescent="0.2">
      <c r="A38" s="29"/>
      <c r="B38" s="352">
        <f>B32+1</f>
        <v>20</v>
      </c>
      <c r="C38" s="1871" t="s">
        <v>528</v>
      </c>
      <c r="D38" s="1872"/>
      <c r="E38" s="1872"/>
      <c r="F38" s="1873"/>
      <c r="G38" s="919">
        <v>0</v>
      </c>
      <c r="H38" s="919">
        <f>('AT1 Palkat, alv'!E9+'AT1 Palkat, alv'!E25)</f>
        <v>1754.15814</v>
      </c>
      <c r="I38" s="919">
        <f>('AT1 Palkat, alv'!F9+'AT1 Palkat, alv'!F25)</f>
        <v>1754.15814</v>
      </c>
      <c r="J38" s="919">
        <f>('AT1 Palkat, alv'!G9+'AT1 Palkat, alv'!G25)</f>
        <v>1754.15814</v>
      </c>
      <c r="K38" s="919">
        <f>('AT1 Palkat, alv'!H9+'AT1 Palkat, alv'!H25)</f>
        <v>1754.15814</v>
      </c>
      <c r="L38" s="919">
        <f>('AT1 Palkat, alv'!I9+'AT1 Palkat, alv'!I25)</f>
        <v>1754.15814</v>
      </c>
      <c r="M38" s="919">
        <f>('AT1 Palkat, alv'!J9+'AT1 Palkat, alv'!J25)</f>
        <v>1754.15814</v>
      </c>
      <c r="N38" s="919">
        <f>('AT1 Palkat, alv'!K9+'AT1 Palkat, alv'!K25)</f>
        <v>1754.15814</v>
      </c>
      <c r="O38" s="919">
        <f>('AT1 Palkat, alv'!L9+'AT1 Palkat, alv'!L25)</f>
        <v>1754.15814</v>
      </c>
      <c r="P38" s="919">
        <f>('AT1 Palkat, alv'!M9+'AT1 Palkat, alv'!M25)</f>
        <v>1754.15814</v>
      </c>
      <c r="Q38" s="919">
        <f>('AT1 Palkat, alv'!N9+'AT1 Palkat, alv'!N25)</f>
        <v>1754.15814</v>
      </c>
      <c r="R38" s="919">
        <f>('AT1 Palkat, alv'!O9+'AT1 Palkat, alv'!O25)</f>
        <v>1754.15814</v>
      </c>
      <c r="S38" s="910">
        <f t="shared" si="7"/>
        <v>19295.739539999999</v>
      </c>
      <c r="T38" s="47"/>
      <c r="U38" s="1394">
        <f t="shared" si="15"/>
        <v>20</v>
      </c>
      <c r="V38" s="975"/>
      <c r="W38" s="964"/>
      <c r="X38" s="650"/>
    </row>
    <row r="39" spans="1:27" ht="12" customHeight="1" x14ac:dyDescent="0.2">
      <c r="A39" s="29"/>
      <c r="B39" s="352">
        <f t="shared" ref="B39:B52" si="18">B38+1</f>
        <v>21</v>
      </c>
      <c r="C39" s="1871" t="s">
        <v>660</v>
      </c>
      <c r="D39" s="1872"/>
      <c r="E39" s="1872"/>
      <c r="F39" s="1873"/>
      <c r="G39" s="919">
        <f t="shared" ref="G39:R41" si="19">$W39/12</f>
        <v>613.2963083333334</v>
      </c>
      <c r="H39" s="919">
        <f t="shared" si="19"/>
        <v>613.2963083333334</v>
      </c>
      <c r="I39" s="919">
        <f t="shared" si="19"/>
        <v>613.2963083333334</v>
      </c>
      <c r="J39" s="919">
        <f t="shared" si="19"/>
        <v>613.2963083333334</v>
      </c>
      <c r="K39" s="919">
        <f t="shared" si="19"/>
        <v>613.2963083333334</v>
      </c>
      <c r="L39" s="919">
        <f t="shared" si="19"/>
        <v>613.2963083333334</v>
      </c>
      <c r="M39" s="919">
        <f t="shared" si="19"/>
        <v>613.2963083333334</v>
      </c>
      <c r="N39" s="919">
        <f t="shared" si="19"/>
        <v>613.2963083333334</v>
      </c>
      <c r="O39" s="919">
        <f t="shared" si="19"/>
        <v>613.2963083333334</v>
      </c>
      <c r="P39" s="919">
        <f t="shared" si="19"/>
        <v>613.2963083333334</v>
      </c>
      <c r="Q39" s="919">
        <f t="shared" si="19"/>
        <v>613.2963083333334</v>
      </c>
      <c r="R39" s="919">
        <f t="shared" si="19"/>
        <v>613.2963083333334</v>
      </c>
      <c r="S39" s="910">
        <f t="shared" si="7"/>
        <v>7359.5557000000008</v>
      </c>
      <c r="T39" s="47"/>
      <c r="U39" s="1394">
        <f t="shared" si="15"/>
        <v>21</v>
      </c>
      <c r="V39" s="975"/>
      <c r="W39" s="964">
        <f>IF('K1 Kostnader'!$C$9&gt;0,(IF('K1 Kostnader'!$F$13=12,'K1 Kostnader'!$F30+'K1 Kostnader'!F38,IF('K1 Kostnader'!F$13&lt;12,12*(('K1 Kostnader'!F30+'K1 Kostnader'!G30+'K1 Kostnader'!F38+'K1 Kostnader'!G38)/('K1 Kostnader'!F$13+'K1 Kostnader'!G$13)),12*('K1 Kostnader'!F30+'K1 Kostnader'!F38)/'K1 Kostnader'!F$13))),(IF('FS1 Kostnader '!F$13=12,'FS1 Kostnader '!F30+'FS1 Kostnader '!F38,IF('FS1 Kostnader '!F$13&lt;12,12*(('FS1 Kostnader '!F30+'FS1 Kostnader '!G30+'FS1 Kostnader '!F38+'FS1 Kostnader '!G38)/('FS1 Kostnader '!F$13+'FS1 Kostnader '!G$13)),12*('FS1 Kostnader '!F30+'FS1 Kostnader '!F38)/'FS1 Kostnader '!F$13))))</f>
        <v>7359.5557000000008</v>
      </c>
      <c r="X39" s="650" t="s">
        <v>557</v>
      </c>
    </row>
    <row r="40" spans="1:27" ht="12" customHeight="1" x14ac:dyDescent="0.2">
      <c r="A40" s="29"/>
      <c r="B40" s="352">
        <f t="shared" si="18"/>
        <v>22</v>
      </c>
      <c r="C40" s="1871" t="s">
        <v>529</v>
      </c>
      <c r="D40" s="1908"/>
      <c r="E40" s="1918"/>
      <c r="F40" s="785">
        <v>18.66</v>
      </c>
      <c r="G40" s="919">
        <f>$F40%*(G35+G36)</f>
        <v>677.62545999999998</v>
      </c>
      <c r="H40" s="919">
        <f t="shared" ref="H40:R40" si="20">$F40%*(H35+H36)</f>
        <v>677.62545999999998</v>
      </c>
      <c r="I40" s="919">
        <f t="shared" si="20"/>
        <v>677.62545999999998</v>
      </c>
      <c r="J40" s="919">
        <f t="shared" si="20"/>
        <v>677.62545999999998</v>
      </c>
      <c r="K40" s="919">
        <f t="shared" si="20"/>
        <v>677.62545999999998</v>
      </c>
      <c r="L40" s="919">
        <f t="shared" si="20"/>
        <v>677.62545999999998</v>
      </c>
      <c r="M40" s="919">
        <f t="shared" si="20"/>
        <v>677.62545999999998</v>
      </c>
      <c r="N40" s="919">
        <f t="shared" si="20"/>
        <v>677.62545999999998</v>
      </c>
      <c r="O40" s="919">
        <f t="shared" si="20"/>
        <v>677.62545999999998</v>
      </c>
      <c r="P40" s="919">
        <f t="shared" si="20"/>
        <v>677.62545999999998</v>
      </c>
      <c r="Q40" s="919">
        <f t="shared" si="20"/>
        <v>677.62545999999998</v>
      </c>
      <c r="R40" s="919">
        <f t="shared" si="20"/>
        <v>677.62545999999998</v>
      </c>
      <c r="S40" s="910">
        <f t="shared" si="7"/>
        <v>8131.5055200000015</v>
      </c>
      <c r="T40" s="47"/>
      <c r="U40" s="1394">
        <f t="shared" si="15"/>
        <v>22</v>
      </c>
      <c r="V40" s="975"/>
      <c r="W40" s="964"/>
      <c r="X40" s="650" t="s">
        <v>559</v>
      </c>
    </row>
    <row r="41" spans="1:27" ht="12" customHeight="1" x14ac:dyDescent="0.2">
      <c r="A41" s="29"/>
      <c r="B41" s="352">
        <f t="shared" si="18"/>
        <v>23</v>
      </c>
      <c r="C41" s="1871" t="s">
        <v>530</v>
      </c>
      <c r="D41" s="1908"/>
      <c r="E41" s="1908"/>
      <c r="F41" s="1000"/>
      <c r="G41" s="919">
        <f t="shared" si="19"/>
        <v>0</v>
      </c>
      <c r="H41" s="919">
        <f t="shared" si="19"/>
        <v>0</v>
      </c>
      <c r="I41" s="919">
        <f t="shared" si="19"/>
        <v>0</v>
      </c>
      <c r="J41" s="919">
        <f t="shared" si="19"/>
        <v>0</v>
      </c>
      <c r="K41" s="919">
        <f t="shared" si="19"/>
        <v>0</v>
      </c>
      <c r="L41" s="919">
        <f t="shared" si="19"/>
        <v>0</v>
      </c>
      <c r="M41" s="919">
        <f t="shared" si="19"/>
        <v>0</v>
      </c>
      <c r="N41" s="919">
        <f t="shared" si="19"/>
        <v>0</v>
      </c>
      <c r="O41" s="919">
        <f t="shared" si="19"/>
        <v>0</v>
      </c>
      <c r="P41" s="919">
        <f t="shared" si="19"/>
        <v>0</v>
      </c>
      <c r="Q41" s="919">
        <f t="shared" si="19"/>
        <v>0</v>
      </c>
      <c r="R41" s="919">
        <f t="shared" si="19"/>
        <v>0</v>
      </c>
      <c r="S41" s="920">
        <f t="shared" si="7"/>
        <v>0</v>
      </c>
      <c r="T41" s="282"/>
      <c r="U41" s="1394">
        <f>B41</f>
        <v>23</v>
      </c>
      <c r="V41" s="976"/>
      <c r="W41" s="964">
        <f>IF('K1 Kostnader'!C$9&gt;0,(IF('K1 Kostnader'!F$13=12,'K1 Kostnader'!F35+'K1 Kostnader'!F40,IF('K1 Kostnader'!F$13&lt;12,12*(('K1 Kostnader'!F35+'K1 Kostnader'!F40+'K1 Kostnader'!G35+'K1 Kostnader'!G40)/('K1 Kostnader'!F$13+'K1 Kostnader'!G$13)),12*('K1 Kostnader'!F35+'K1 Kostnader'!F40)/'K1 Kostnader'!F$13))),(IF('FS1 Kostnader '!F$13=12,'FS1 Kostnader '!F35+'FS1 Kostnader '!F40,IF('FS1 Kostnader '!F$13&lt;12,12*(('FS1 Kostnader '!F35+'FS1 Kostnader '!G35+'FS1 Kostnader '!F40+'FS1 Kostnader '!G40)/('FS1 Kostnader '!F$13+'FS1 Kostnader '!G$13)),12*('FS1 Kostnader '!F35+'FS1 Kostnader '!F40)/'FS1 Kostnader '!F$13))))</f>
        <v>0</v>
      </c>
      <c r="X41" s="650" t="s">
        <v>810</v>
      </c>
    </row>
    <row r="42" spans="1:27" ht="12" customHeight="1" x14ac:dyDescent="0.2">
      <c r="A42" s="29"/>
      <c r="B42" s="352">
        <f t="shared" si="18"/>
        <v>24</v>
      </c>
      <c r="C42" s="1871" t="s">
        <v>531</v>
      </c>
      <c r="D42" s="1908"/>
      <c r="E42" s="1908"/>
      <c r="F42" s="999"/>
      <c r="G42" s="919"/>
      <c r="H42" s="919">
        <f>W42</f>
        <v>120</v>
      </c>
      <c r="I42" s="919"/>
      <c r="J42" s="919"/>
      <c r="K42" s="919"/>
      <c r="L42" s="919"/>
      <c r="M42" s="919"/>
      <c r="N42" s="919"/>
      <c r="O42" s="919"/>
      <c r="P42" s="919"/>
      <c r="Q42" s="919"/>
      <c r="R42" s="919"/>
      <c r="S42" s="910">
        <f t="shared" si="7"/>
        <v>120</v>
      </c>
      <c r="T42" s="282"/>
      <c r="U42" s="1394">
        <f>B42</f>
        <v>24</v>
      </c>
      <c r="V42" s="976"/>
      <c r="W42" s="964">
        <f>IF('K1 Kostnader'!C$9&gt;0,(IF('K1 Kostnader'!F$13=12,'K1 Kostnader'!F57*0.003+'K1 Kostnader'!F66+'K1 Kostnader'!F110,IF('K1 Kostnader'!F$13&lt;12,12*(('K1 Kostnader'!F57*0.003+'K1 Kostnader'!F66+'K1 Kostnader'!F110+'K1 Kostnader'!G57*0.003+'K1 Kostnader'!G66+'K1 Kostnader'!G110)/('K1 Kostnader'!F$13+'K1 Kostnader'!G$13)),12*('K1 Kostnader'!F57*0.003+'K1 Kostnader'!F66+'K1 Kostnader'!F110)/'K1 Kostnader'!F$13))),(IF('FS1 Kostnader '!F$13=12,'FS1 Kostnader '!F57*0.003+'FS1 Kostnader '!F66+'FS1 Kostnader '!F110,IF('FS1 Kostnader '!F$13&lt;12,12*(('FS1 Kostnader '!F57*0.003+'FS1 Kostnader '!F66+'FS1 Kostnader '!F110+'FS1 Kostnader '!G57*0.003+'FS1 Kostnader '!F66+'FS1 Kostnader '!G110)/('FS1 Kostnader '!F$13+'FS1 Kostnader '!G$13)),12*('FS1 Kostnader '!F57*0.003+'FS1 Kostnader '!F66+'FS1 Kostnader '!F110)/'FS1 Kostnader '!F$13))))</f>
        <v>120</v>
      </c>
      <c r="X42" s="650" t="s">
        <v>611</v>
      </c>
    </row>
    <row r="43" spans="1:27" ht="12" customHeight="1" x14ac:dyDescent="0.2">
      <c r="A43" s="29"/>
      <c r="B43" s="352">
        <f t="shared" si="18"/>
        <v>25</v>
      </c>
      <c r="C43" s="1911" t="s">
        <v>532</v>
      </c>
      <c r="D43" s="1912"/>
      <c r="E43" s="1912"/>
      <c r="F43" s="784"/>
      <c r="G43" s="919">
        <f>$W43/12</f>
        <v>62.5</v>
      </c>
      <c r="H43" s="919">
        <f t="shared" ref="H43:Q43" si="21">$W43/12</f>
        <v>62.5</v>
      </c>
      <c r="I43" s="919">
        <f t="shared" si="21"/>
        <v>62.5</v>
      </c>
      <c r="J43" s="919">
        <f t="shared" si="21"/>
        <v>62.5</v>
      </c>
      <c r="K43" s="919">
        <f t="shared" si="21"/>
        <v>62.5</v>
      </c>
      <c r="L43" s="919">
        <f t="shared" si="21"/>
        <v>62.5</v>
      </c>
      <c r="M43" s="919">
        <f t="shared" si="21"/>
        <v>62.5</v>
      </c>
      <c r="N43" s="919">
        <f t="shared" si="21"/>
        <v>62.5</v>
      </c>
      <c r="O43" s="919">
        <f t="shared" si="21"/>
        <v>62.5</v>
      </c>
      <c r="P43" s="919">
        <f t="shared" si="21"/>
        <v>62.5</v>
      </c>
      <c r="Q43" s="919">
        <f t="shared" si="21"/>
        <v>62.5</v>
      </c>
      <c r="R43" s="919">
        <f>$W43/12</f>
        <v>62.5</v>
      </c>
      <c r="S43" s="910">
        <f t="shared" si="7"/>
        <v>750</v>
      </c>
      <c r="T43" s="47"/>
      <c r="U43" s="1394">
        <f t="shared" ref="U43:U50" si="22">B43</f>
        <v>25</v>
      </c>
      <c r="V43" s="975"/>
      <c r="W43" s="1342">
        <f>'AT1 Palkat, alv'!U80</f>
        <v>750</v>
      </c>
      <c r="X43" s="650" t="s">
        <v>794</v>
      </c>
    </row>
    <row r="44" spans="1:27" ht="12" customHeight="1" x14ac:dyDescent="0.2">
      <c r="B44" s="352">
        <f t="shared" si="18"/>
        <v>26</v>
      </c>
      <c r="C44" s="1871" t="s">
        <v>533</v>
      </c>
      <c r="D44" s="1908"/>
      <c r="E44" s="1908"/>
      <c r="F44" s="784"/>
      <c r="G44" s="919"/>
      <c r="H44" s="919"/>
      <c r="I44" s="919"/>
      <c r="J44" s="919"/>
      <c r="K44" s="919"/>
      <c r="L44" s="919">
        <f>$W44/2</f>
        <v>562.5</v>
      </c>
      <c r="M44" s="919"/>
      <c r="N44" s="919"/>
      <c r="O44" s="919">
        <v>0</v>
      </c>
      <c r="P44" s="919"/>
      <c r="Q44" s="919"/>
      <c r="R44" s="919">
        <f>$W44/2</f>
        <v>562.5</v>
      </c>
      <c r="S44" s="910">
        <f t="shared" si="7"/>
        <v>1125</v>
      </c>
      <c r="T44" s="47"/>
      <c r="U44" s="1394">
        <f t="shared" si="22"/>
        <v>26</v>
      </c>
      <c r="V44" s="975"/>
      <c r="W44" s="965">
        <f>IF('K1 Kostnader'!$C$9&gt;0,(IF('K1 Kostnader'!$F$13=12,'K1 Kostnader'!$F21,IF('K1 Kostnader'!$F$13&lt;12,12*(('K1 Kostnader'!$F21+'K1 Kostnader'!$G21)/('K1 Kostnader'!$F$13+'K1 Kostnader'!$G$13)),12*'K1 Kostnader'!$F21/'K1 Kostnader'!$F$13))),(IF('FS1 Kostnader '!$F$13=12,'FS1 Kostnader '!$F21,IF('FS1 Kostnader '!$F$13&lt;12,12*(('FS1 Kostnader '!$F21+'FS1 Kostnader '!$G21)/('FS1 Kostnader '!$F$13+'FS1 Kostnader '!$G$13)),12*'FS1 Kostnader '!$F21/'FS1 Kostnader '!$F$13))))</f>
        <v>1125</v>
      </c>
      <c r="X44" s="650" t="s">
        <v>560</v>
      </c>
    </row>
    <row r="45" spans="1:27" ht="12" customHeight="1" x14ac:dyDescent="0.2">
      <c r="A45" s="29"/>
      <c r="B45" s="352">
        <f t="shared" si="18"/>
        <v>27</v>
      </c>
      <c r="C45" s="1871" t="s">
        <v>534</v>
      </c>
      <c r="D45" s="1908"/>
      <c r="E45" s="1908"/>
      <c r="F45" s="784"/>
      <c r="G45" s="919">
        <f t="shared" ref="G45:R46" si="23">$W45/12</f>
        <v>0</v>
      </c>
      <c r="H45" s="919">
        <f t="shared" si="23"/>
        <v>0</v>
      </c>
      <c r="I45" s="919">
        <f t="shared" si="23"/>
        <v>0</v>
      </c>
      <c r="J45" s="919">
        <f t="shared" si="23"/>
        <v>0</v>
      </c>
      <c r="K45" s="919">
        <f t="shared" si="23"/>
        <v>0</v>
      </c>
      <c r="L45" s="919">
        <f t="shared" si="23"/>
        <v>0</v>
      </c>
      <c r="M45" s="919">
        <f t="shared" si="23"/>
        <v>0</v>
      </c>
      <c r="N45" s="919">
        <f t="shared" si="23"/>
        <v>0</v>
      </c>
      <c r="O45" s="919">
        <f t="shared" si="23"/>
        <v>0</v>
      </c>
      <c r="P45" s="919">
        <f t="shared" si="23"/>
        <v>0</v>
      </c>
      <c r="Q45" s="919">
        <f t="shared" si="23"/>
        <v>0</v>
      </c>
      <c r="R45" s="919">
        <f t="shared" si="23"/>
        <v>0</v>
      </c>
      <c r="S45" s="910">
        <f>SUM(G45:R45)</f>
        <v>0</v>
      </c>
      <c r="T45" s="47"/>
      <c r="U45" s="1394">
        <f t="shared" si="22"/>
        <v>27</v>
      </c>
      <c r="V45" s="975"/>
      <c r="W45" s="964">
        <f>-IF('K1 Kostnader'!C9=0,'FS3 Resultat'!F51+'FS1 Kostnader '!F58,'K3 Resultat'!F51+'K1 Kostnader'!F58)</f>
        <v>0</v>
      </c>
      <c r="X45" s="651" t="s">
        <v>793</v>
      </c>
    </row>
    <row r="46" spans="1:27" ht="12" customHeight="1" x14ac:dyDescent="0.2">
      <c r="A46" s="29"/>
      <c r="B46" s="352">
        <f t="shared" si="18"/>
        <v>28</v>
      </c>
      <c r="C46" s="1871" t="s">
        <v>535</v>
      </c>
      <c r="D46" s="1908"/>
      <c r="E46" s="1908"/>
      <c r="F46" s="784"/>
      <c r="G46" s="919">
        <f t="shared" si="23"/>
        <v>80.5</v>
      </c>
      <c r="H46" s="919">
        <f t="shared" si="23"/>
        <v>80.5</v>
      </c>
      <c r="I46" s="919">
        <f t="shared" si="23"/>
        <v>80.5</v>
      </c>
      <c r="J46" s="919">
        <f t="shared" si="23"/>
        <v>80.5</v>
      </c>
      <c r="K46" s="919">
        <f t="shared" si="23"/>
        <v>80.5</v>
      </c>
      <c r="L46" s="919">
        <f t="shared" si="23"/>
        <v>80.5</v>
      </c>
      <c r="M46" s="919">
        <f t="shared" si="23"/>
        <v>80.5</v>
      </c>
      <c r="N46" s="919">
        <f t="shared" si="23"/>
        <v>80.5</v>
      </c>
      <c r="O46" s="919">
        <f t="shared" si="23"/>
        <v>80.5</v>
      </c>
      <c r="P46" s="919">
        <f t="shared" si="23"/>
        <v>80.5</v>
      </c>
      <c r="Q46" s="919">
        <f t="shared" si="23"/>
        <v>80.5</v>
      </c>
      <c r="R46" s="919">
        <f t="shared" si="23"/>
        <v>80.5</v>
      </c>
      <c r="S46" s="910">
        <f t="shared" si="7"/>
        <v>966</v>
      </c>
      <c r="T46" s="47"/>
      <c r="U46" s="1394">
        <f t="shared" si="22"/>
        <v>28</v>
      </c>
      <c r="V46" s="975"/>
      <c r="W46" s="964">
        <f>IF('K1 Kostnader'!$C$9&gt;0,(IF('K1 Kostnader'!$F$13=12,'K1 Kostnader'!$F78+'K1 Kostnader'!F82,IF('K1 Kostnader'!F$13&lt;12,12*(('K1 Kostnader'!F78+'K1 Kostnader'!G78+'K1 Kostnader'!F82+'K1 Kostnader'!G82)/('K1 Kostnader'!F$13+'K1 Kostnader'!G$13)),12*('K1 Kostnader'!F78+'K1 Kostnader'!F82)/'K1 Kostnader'!F$13))),(IF('FS1 Kostnader '!F$13=12,'FS1 Kostnader '!F78+'FS1 Kostnader '!F82,IF('FS1 Kostnader '!F$13&lt;12,12*(('FS1 Kostnader '!F78+'FS1 Kostnader '!G78+'FS1 Kostnader '!F82+'FS1 Kostnader '!G82)/('FS1 Kostnader '!F$13+'FS1 Kostnader '!G$13)),12*('FS1 Kostnader '!F78+'FS1 Kostnader '!F82)/'FS1 Kostnader '!F$13))))</f>
        <v>966</v>
      </c>
      <c r="X46" s="650" t="s">
        <v>561</v>
      </c>
    </row>
    <row r="47" spans="1:27" ht="12" customHeight="1" x14ac:dyDescent="0.2">
      <c r="A47" s="29"/>
      <c r="B47" s="352">
        <f t="shared" si="18"/>
        <v>29</v>
      </c>
      <c r="C47" s="1415" t="s">
        <v>812</v>
      </c>
      <c r="D47" s="1416"/>
      <c r="E47" s="1416"/>
      <c r="F47" s="784"/>
      <c r="G47" s="919">
        <f>$W47/12</f>
        <v>0</v>
      </c>
      <c r="H47" s="919">
        <f t="shared" ref="H47:R47" si="24">$W47/12</f>
        <v>0</v>
      </c>
      <c r="I47" s="919">
        <f t="shared" si="24"/>
        <v>0</v>
      </c>
      <c r="J47" s="919">
        <f t="shared" si="24"/>
        <v>0</v>
      </c>
      <c r="K47" s="919">
        <f t="shared" si="24"/>
        <v>0</v>
      </c>
      <c r="L47" s="919">
        <f t="shared" si="24"/>
        <v>0</v>
      </c>
      <c r="M47" s="919">
        <f t="shared" si="24"/>
        <v>0</v>
      </c>
      <c r="N47" s="919">
        <f t="shared" si="24"/>
        <v>0</v>
      </c>
      <c r="O47" s="919">
        <f t="shared" si="24"/>
        <v>0</v>
      </c>
      <c r="P47" s="919">
        <f t="shared" si="24"/>
        <v>0</v>
      </c>
      <c r="Q47" s="919">
        <f t="shared" si="24"/>
        <v>0</v>
      </c>
      <c r="R47" s="919">
        <f t="shared" si="24"/>
        <v>0</v>
      </c>
      <c r="S47" s="910">
        <f t="shared" si="7"/>
        <v>0</v>
      </c>
      <c r="T47" s="47"/>
      <c r="U47" s="1394">
        <f t="shared" si="22"/>
        <v>29</v>
      </c>
      <c r="V47" s="975"/>
      <c r="W47" s="964">
        <f>IF('K1 Kostnader'!$C$9&gt;0,(IF('K1 Kostnader'!$F$13=12,'K1 Kostnader'!$F115,IF('K1 Kostnader'!$F$13&lt;12,12*(('K1 Kostnader'!$F115+'K1 Kostnader'!$G115)/('K1 Kostnader'!$F$13+'K1 Kostnader'!$G$13)),12*'K1 Kostnader'!$F115/'K1 Kostnader'!$F$13))),(IF('FS1 Kostnader '!$F$13=12,'FS1 Kostnader '!$F115,IF('FS1 Kostnader '!$F$13&lt;12,12*(('FS1 Kostnader '!$F115+'FS1 Kostnader '!$G115)/('FS1 Kostnader '!$F$13+'FS1 Kostnader '!$G$13)),12*'FS1 Kostnader '!$F115/'FS1 Kostnader '!$F$13))))</f>
        <v>0</v>
      </c>
      <c r="X47" s="650" t="s">
        <v>562</v>
      </c>
    </row>
    <row r="48" spans="1:27" ht="12" customHeight="1" x14ac:dyDescent="0.2">
      <c r="A48" s="29"/>
      <c r="B48" s="352">
        <f t="shared" si="18"/>
        <v>30</v>
      </c>
      <c r="C48" s="1871" t="s">
        <v>536</v>
      </c>
      <c r="D48" s="1908"/>
      <c r="E48" s="1908"/>
      <c r="F48" s="784"/>
      <c r="G48" s="919"/>
      <c r="H48" s="919"/>
      <c r="I48" s="919"/>
      <c r="J48" s="919"/>
      <c r="K48" s="919"/>
      <c r="L48" s="919">
        <f>W48/2</f>
        <v>0</v>
      </c>
      <c r="M48" s="919"/>
      <c r="N48" s="919"/>
      <c r="O48" s="919">
        <v>0</v>
      </c>
      <c r="P48" s="919"/>
      <c r="Q48" s="919"/>
      <c r="R48" s="919">
        <f>W48/2</f>
        <v>0</v>
      </c>
      <c r="S48" s="910">
        <f t="shared" si="7"/>
        <v>0</v>
      </c>
      <c r="T48" s="47"/>
      <c r="U48" s="1394">
        <f t="shared" si="22"/>
        <v>30</v>
      </c>
      <c r="V48" s="975"/>
      <c r="W48" s="965">
        <f>IF('K1 Kostnader'!C9&gt;0,'K3 Resultat'!K16-'K1 Kostnader'!F22,'FS3 Resultat'!K16-'FS1 Kostnader '!F22)</f>
        <v>0</v>
      </c>
      <c r="X48" s="650" t="s">
        <v>560</v>
      </c>
    </row>
    <row r="49" spans="1:24" ht="12" customHeight="1" x14ac:dyDescent="0.2">
      <c r="A49" s="29"/>
      <c r="B49" s="352">
        <f t="shared" si="18"/>
        <v>31</v>
      </c>
      <c r="C49" s="1871" t="s">
        <v>537</v>
      </c>
      <c r="D49" s="1908"/>
      <c r="E49" s="1908"/>
      <c r="F49" s="784"/>
      <c r="G49" s="919"/>
      <c r="H49" s="919">
        <v>0</v>
      </c>
      <c r="I49" s="919">
        <v>0</v>
      </c>
      <c r="J49" s="919">
        <v>0</v>
      </c>
      <c r="K49" s="919">
        <v>0</v>
      </c>
      <c r="L49" s="919">
        <v>0</v>
      </c>
      <c r="M49" s="919">
        <v>0</v>
      </c>
      <c r="N49" s="919">
        <v>0</v>
      </c>
      <c r="O49" s="919">
        <v>0</v>
      </c>
      <c r="P49" s="919">
        <v>0</v>
      </c>
      <c r="Q49" s="919">
        <v>0</v>
      </c>
      <c r="R49" s="919">
        <v>0</v>
      </c>
      <c r="S49" s="910">
        <f t="shared" si="7"/>
        <v>0</v>
      </c>
      <c r="T49" s="47"/>
      <c r="U49" s="1394">
        <f t="shared" si="22"/>
        <v>31</v>
      </c>
      <c r="V49" s="975"/>
      <c r="W49" s="964"/>
      <c r="X49" s="650"/>
    </row>
    <row r="50" spans="1:24" ht="12" customHeight="1" x14ac:dyDescent="0.2">
      <c r="A50" s="29"/>
      <c r="B50" s="357">
        <f t="shared" si="18"/>
        <v>32</v>
      </c>
      <c r="C50" s="1909" t="s">
        <v>538</v>
      </c>
      <c r="D50" s="1910"/>
      <c r="E50" s="1910"/>
      <c r="F50" s="784"/>
      <c r="G50" s="919">
        <f t="shared" ref="G50:R50" si="25">$W50/12</f>
        <v>498.25844683004965</v>
      </c>
      <c r="H50" s="919">
        <f t="shared" si="25"/>
        <v>498.25844683004965</v>
      </c>
      <c r="I50" s="919">
        <f t="shared" si="25"/>
        <v>498.25844683004965</v>
      </c>
      <c r="J50" s="919">
        <f t="shared" si="25"/>
        <v>498.25844683004965</v>
      </c>
      <c r="K50" s="919">
        <f t="shared" si="25"/>
        <v>498.25844683004965</v>
      </c>
      <c r="L50" s="919">
        <f t="shared" si="25"/>
        <v>498.25844683004965</v>
      </c>
      <c r="M50" s="919">
        <f t="shared" si="25"/>
        <v>498.25844683004965</v>
      </c>
      <c r="N50" s="919">
        <f t="shared" si="25"/>
        <v>498.25844683004965</v>
      </c>
      <c r="O50" s="919">
        <f t="shared" si="25"/>
        <v>498.25844683004965</v>
      </c>
      <c r="P50" s="919">
        <f t="shared" si="25"/>
        <v>498.25844683004965</v>
      </c>
      <c r="Q50" s="919">
        <f t="shared" si="25"/>
        <v>498.25844683004965</v>
      </c>
      <c r="R50" s="919">
        <f t="shared" si="25"/>
        <v>498.25844683004965</v>
      </c>
      <c r="S50" s="910">
        <f t="shared" si="7"/>
        <v>5979.1013619605947</v>
      </c>
      <c r="T50" s="47"/>
      <c r="U50" s="1394">
        <f t="shared" si="22"/>
        <v>32</v>
      </c>
      <c r="V50" s="977"/>
      <c r="W50" s="965">
        <f>IF('K1 Kostnader'!$C$9&gt;0,(IF('K1 Kostnader'!$F$13=12,'K1 Kostnader'!$F26,IF('K1 Kostnader'!$F$13&lt;12,12*(('K1 Kostnader'!$F26+'K1 Kostnader'!$G26)/('K1 Kostnader'!$F$13+'K1 Kostnader'!$G$13)),12*'K1 Kostnader'!$F26/'K1 Kostnader'!$F$13))),(IF('FS1 Kostnader '!$F$13=12,'FS1 Kostnader '!$F26,IF('FS1 Kostnader '!$F$13&lt;12,12*(('FS1 Kostnader '!$F26+'FS1 Kostnader '!$G26)/('FS1 Kostnader '!$F$13+'FS1 Kostnader '!$G$13)),12*'FS1 Kostnader '!$F26/'FS1 Kostnader '!$F$13))))</f>
        <v>5979.1013619605956</v>
      </c>
      <c r="X50" s="650" t="s">
        <v>563</v>
      </c>
    </row>
    <row r="51" spans="1:24" ht="12" customHeight="1" x14ac:dyDescent="0.2">
      <c r="A51" s="29"/>
      <c r="B51" s="352">
        <f t="shared" si="18"/>
        <v>33</v>
      </c>
      <c r="C51" s="1909" t="s">
        <v>539</v>
      </c>
      <c r="D51" s="1910"/>
      <c r="E51" s="1910"/>
      <c r="F51" s="786"/>
      <c r="G51" s="919">
        <f>IF('K3 Resultat'!B9&gt;0,'K3 Resultat'!E17+'K3 Resultat'!E18+'K3 Resultat'!E24+'K3 Resultat'!E26+'K3 Resultat'!E30,'FS3 Resultat'!E17+'FS3 Resultat'!E18+'FS3 Resultat'!E24+'FS3 Resultat'!E26+'FS3 Resultat'!E30)</f>
        <v>0</v>
      </c>
      <c r="H51" s="919"/>
      <c r="I51" s="919"/>
      <c r="J51" s="919"/>
      <c r="K51" s="919"/>
      <c r="L51" s="919"/>
      <c r="M51" s="919"/>
      <c r="N51" s="919"/>
      <c r="O51" s="919"/>
      <c r="P51" s="919"/>
      <c r="Q51" s="919"/>
      <c r="R51" s="919"/>
      <c r="S51" s="910">
        <f t="shared" si="7"/>
        <v>0</v>
      </c>
      <c r="T51" s="47"/>
      <c r="U51" s="1394">
        <f>B51</f>
        <v>33</v>
      </c>
      <c r="V51" s="977"/>
      <c r="W51" s="964"/>
      <c r="X51" s="650"/>
    </row>
    <row r="52" spans="1:24" ht="12" customHeight="1" thickBot="1" x14ac:dyDescent="0.25">
      <c r="A52" s="29"/>
      <c r="B52" s="352">
        <f t="shared" si="18"/>
        <v>34</v>
      </c>
      <c r="C52" s="1916" t="s">
        <v>540</v>
      </c>
      <c r="D52" s="1917"/>
      <c r="E52" s="1917"/>
      <c r="F52" s="787"/>
      <c r="G52" s="921"/>
      <c r="H52" s="921"/>
      <c r="I52" s="921"/>
      <c r="J52" s="921"/>
      <c r="K52" s="921"/>
      <c r="L52" s="921">
        <v>0</v>
      </c>
      <c r="M52" s="921"/>
      <c r="N52" s="921"/>
      <c r="O52" s="921"/>
      <c r="P52" s="921">
        <v>0</v>
      </c>
      <c r="Q52" s="921"/>
      <c r="R52" s="921"/>
      <c r="S52" s="910">
        <f t="shared" si="7"/>
        <v>0</v>
      </c>
      <c r="T52" s="47"/>
      <c r="U52" s="1394">
        <f>B52</f>
        <v>34</v>
      </c>
      <c r="V52" s="977"/>
      <c r="W52" s="964"/>
      <c r="X52" s="650"/>
    </row>
    <row r="53" spans="1:24" s="168" customFormat="1" ht="15" customHeight="1" thickTop="1" thickBot="1" x14ac:dyDescent="0.25">
      <c r="A53" s="443"/>
      <c r="B53" s="1896" t="s">
        <v>703</v>
      </c>
      <c r="C53" s="1897"/>
      <c r="D53" s="1897"/>
      <c r="E53" s="1897"/>
      <c r="F53" s="1898"/>
      <c r="G53" s="989">
        <f>G18+G19+G20+G21+G22+G23+G24+G25+G26+G27+G28+G29+G30+G31+G32+G38+G39+G40+G41+G42+G43+G44+G45+G46+G47+G48+G49+G50+G51+G52</f>
        <v>60235.358819250978</v>
      </c>
      <c r="H53" s="989">
        <f t="shared" ref="H53:R53" si="26">H18+H19+H20+H21+H22+H23+H24+H25+H26+H27+H28+H29+H30+H31+H32+H38+H39+H40+H41+H42+H43+H44+H45+H46+H47+H48+H49+H50+H51+H52</f>
        <v>19411.140840382381</v>
      </c>
      <c r="I53" s="989">
        <f t="shared" si="26"/>
        <v>11324.577748243426</v>
      </c>
      <c r="J53" s="989">
        <f t="shared" si="26"/>
        <v>21480.451040883632</v>
      </c>
      <c r="K53" s="989">
        <f t="shared" si="26"/>
        <v>23114.325667927435</v>
      </c>
      <c r="L53" s="989">
        <f t="shared" si="26"/>
        <v>25373.716671627153</v>
      </c>
      <c r="M53" s="989">
        <f t="shared" si="26"/>
        <v>26508.107675326879</v>
      </c>
      <c r="N53" s="989">
        <f t="shared" si="26"/>
        <v>27388.061365504713</v>
      </c>
      <c r="O53" s="989">
        <f t="shared" si="26"/>
        <v>27451.077742160633</v>
      </c>
      <c r="P53" s="989">
        <f t="shared" si="26"/>
        <v>27451.077742160633</v>
      </c>
      <c r="Q53" s="989">
        <f t="shared" si="26"/>
        <v>27451.077742160633</v>
      </c>
      <c r="R53" s="989">
        <f t="shared" si="26"/>
        <v>28013.577742160633</v>
      </c>
      <c r="S53" s="989">
        <f>SUM(G53:R53)</f>
        <v>325202.55079778918</v>
      </c>
      <c r="T53" s="617"/>
      <c r="V53" s="428"/>
      <c r="W53" s="372"/>
    </row>
    <row r="54" spans="1:24" ht="1.1499999999999999" customHeight="1" thickTop="1" x14ac:dyDescent="0.2">
      <c r="A54" s="29"/>
      <c r="B54" s="29"/>
      <c r="C54" s="29"/>
      <c r="D54" s="29"/>
      <c r="E54" s="29"/>
      <c r="F54" s="29"/>
      <c r="G54" s="922"/>
      <c r="H54" s="922"/>
      <c r="I54" s="922"/>
      <c r="J54" s="922"/>
      <c r="K54" s="922"/>
      <c r="L54" s="922"/>
      <c r="M54" s="922"/>
      <c r="N54" s="922"/>
      <c r="O54" s="922"/>
      <c r="P54" s="922"/>
      <c r="Q54" s="922"/>
      <c r="R54" s="922"/>
      <c r="S54" s="923"/>
      <c r="T54" s="47"/>
    </row>
    <row r="55" spans="1:24" ht="12.75" customHeight="1" x14ac:dyDescent="0.2">
      <c r="A55" s="29"/>
      <c r="B55" s="718">
        <v>35</v>
      </c>
      <c r="C55" s="1913" t="s">
        <v>541</v>
      </c>
      <c r="D55" s="1914"/>
      <c r="E55" s="1914"/>
      <c r="F55" s="1915"/>
      <c r="G55" s="991">
        <f t="shared" ref="G55:R55" si="27">G15-G53</f>
        <v>-25764.940152584313</v>
      </c>
      <c r="H55" s="991">
        <f t="shared" si="27"/>
        <v>-2323.2115070490472</v>
      </c>
      <c r="I55" s="991">
        <f t="shared" si="27"/>
        <v>7204.5022517565722</v>
      </c>
      <c r="J55" s="991">
        <f t="shared" si="27"/>
        <v>-583.76637421696432</v>
      </c>
      <c r="K55" s="991">
        <f t="shared" si="27"/>
        <v>870.53899873923365</v>
      </c>
      <c r="L55" s="991">
        <f t="shared" si="27"/>
        <v>1699.3279950395154</v>
      </c>
      <c r="M55" s="991">
        <f t="shared" si="27"/>
        <v>3653.1169913397898</v>
      </c>
      <c r="N55" s="991">
        <f t="shared" si="27"/>
        <v>3493.7386344952902</v>
      </c>
      <c r="O55" s="991">
        <f t="shared" si="27"/>
        <v>3430.7222578393703</v>
      </c>
      <c r="P55" s="991">
        <f t="shared" si="27"/>
        <v>3430.7222578393703</v>
      </c>
      <c r="Q55" s="991">
        <f t="shared" si="27"/>
        <v>3430.7222578393703</v>
      </c>
      <c r="R55" s="991">
        <f t="shared" si="27"/>
        <v>2868.2222578393703</v>
      </c>
      <c r="S55" s="992">
        <f>SUM(G55:R55)</f>
        <v>1409.6958688775594</v>
      </c>
      <c r="T55" s="47"/>
    </row>
    <row r="56" spans="1:24" ht="12.75" customHeight="1" x14ac:dyDescent="0.2">
      <c r="A56" s="29"/>
      <c r="B56" s="719">
        <v>36</v>
      </c>
      <c r="C56" s="1905" t="s">
        <v>617</v>
      </c>
      <c r="D56" s="1906"/>
      <c r="E56" s="1906"/>
      <c r="F56" s="1907"/>
      <c r="G56" s="991">
        <f>G7+G55</f>
        <v>-14151.940152584313</v>
      </c>
      <c r="H56" s="991">
        <f t="shared" ref="H56:R56" si="28">G56+H55</f>
        <v>-16475.15165963336</v>
      </c>
      <c r="I56" s="991">
        <f t="shared" si="28"/>
        <v>-9270.6494078767882</v>
      </c>
      <c r="J56" s="991">
        <f t="shared" si="28"/>
        <v>-9854.4157820937526</v>
      </c>
      <c r="K56" s="991">
        <f t="shared" si="28"/>
        <v>-8983.8767833545189</v>
      </c>
      <c r="L56" s="991">
        <f t="shared" si="28"/>
        <v>-7284.5487883150035</v>
      </c>
      <c r="M56" s="991">
        <f t="shared" si="28"/>
        <v>-3631.4317969752137</v>
      </c>
      <c r="N56" s="991">
        <f t="shared" si="28"/>
        <v>-137.69316247992356</v>
      </c>
      <c r="O56" s="991">
        <f t="shared" si="28"/>
        <v>3293.0290953594467</v>
      </c>
      <c r="P56" s="991">
        <f t="shared" si="28"/>
        <v>6723.751353198817</v>
      </c>
      <c r="Q56" s="991">
        <f t="shared" si="28"/>
        <v>10154.473611038187</v>
      </c>
      <c r="R56" s="924">
        <f t="shared" si="28"/>
        <v>13022.695868877558</v>
      </c>
      <c r="S56" s="993"/>
      <c r="T56" s="47"/>
    </row>
    <row r="57" spans="1:24" ht="14.25" customHeight="1" x14ac:dyDescent="0.2">
      <c r="A57" s="29"/>
      <c r="B57" s="97"/>
      <c r="C57" s="492"/>
      <c r="D57" s="492"/>
      <c r="E57" s="492"/>
      <c r="F57" s="492"/>
      <c r="G57" s="17"/>
      <c r="H57" s="17"/>
      <c r="I57" s="17"/>
      <c r="J57" s="17"/>
      <c r="K57" s="17"/>
      <c r="L57" s="17"/>
      <c r="M57" s="17"/>
      <c r="N57" s="17"/>
      <c r="O57" s="17"/>
      <c r="P57" s="17"/>
      <c r="Q57" s="17"/>
      <c r="R57" s="17"/>
      <c r="S57" s="502" t="str">
        <f>'K1 Kostnader'!C5</f>
        <v>Tjänsten erbjuds av:</v>
      </c>
      <c r="T57" s="47"/>
    </row>
    <row r="58" spans="1:24" x14ac:dyDescent="0.2">
      <c r="A58" s="29"/>
      <c r="B58" s="387" t="s">
        <v>429</v>
      </c>
      <c r="C58" s="29"/>
      <c r="D58" s="1"/>
      <c r="E58" s="1"/>
      <c r="F58" s="1"/>
      <c r="G58" s="44"/>
      <c r="H58" s="44"/>
      <c r="I58" s="44"/>
      <c r="J58" s="44"/>
      <c r="K58" s="44"/>
      <c r="L58" s="44"/>
      <c r="M58" s="44"/>
      <c r="N58" s="44"/>
      <c r="O58" s="44"/>
      <c r="P58" s="44"/>
      <c r="Q58" s="175"/>
      <c r="R58" s="29"/>
      <c r="S58" s="534" t="str">
        <f>Startsidan!G35</f>
        <v xml:space="preserve">Karlebynejdens Utveckling Ab
</v>
      </c>
      <c r="T58" s="44"/>
      <c r="U58" s="175"/>
      <c r="V58" s="978"/>
      <c r="W58" s="979"/>
      <c r="X58" s="178"/>
    </row>
    <row r="59" spans="1:24" x14ac:dyDescent="0.2">
      <c r="A59" s="29"/>
      <c r="B59" s="29"/>
      <c r="C59" s="29"/>
      <c r="D59" s="173"/>
      <c r="E59" s="173"/>
      <c r="F59" s="173"/>
      <c r="G59" s="44"/>
      <c r="H59" s="44"/>
      <c r="I59" s="44"/>
      <c r="J59" s="174"/>
      <c r="K59" s="44"/>
      <c r="L59" s="44"/>
      <c r="M59" s="44"/>
      <c r="N59" s="44"/>
      <c r="O59" s="44"/>
      <c r="P59" s="44"/>
      <c r="Q59" s="175"/>
      <c r="R59" s="29"/>
      <c r="T59" s="176"/>
    </row>
    <row r="60" spans="1:24" x14ac:dyDescent="0.2">
      <c r="A60" s="29"/>
      <c r="B60" s="29"/>
      <c r="C60" s="29"/>
      <c r="D60" s="173"/>
      <c r="E60" s="173"/>
      <c r="F60" s="173"/>
      <c r="G60" s="741" t="s">
        <v>0</v>
      </c>
      <c r="H60" s="44"/>
      <c r="I60" s="44"/>
      <c r="J60" s="177"/>
      <c r="K60" s="44"/>
      <c r="L60" s="44"/>
      <c r="M60" s="44"/>
      <c r="N60" s="44"/>
      <c r="O60" s="44"/>
      <c r="P60" s="44"/>
      <c r="Q60" s="44"/>
      <c r="R60" s="44"/>
      <c r="S60" s="118" t="str">
        <f>B58</f>
        <v>FT5 Nyföretagets ekonomiplan</v>
      </c>
      <c r="T60" s="178"/>
    </row>
    <row r="61" spans="1:24" x14ac:dyDescent="0.2">
      <c r="A61" s="29"/>
      <c r="B61" s="29"/>
      <c r="C61" s="29"/>
      <c r="E61" s="173"/>
      <c r="F61" s="173"/>
      <c r="G61" s="44"/>
      <c r="H61" s="44"/>
      <c r="I61" s="44"/>
      <c r="J61" s="177"/>
      <c r="K61" s="44"/>
      <c r="L61" s="44"/>
      <c r="M61" s="44"/>
      <c r="N61" s="44"/>
      <c r="O61" s="44"/>
      <c r="P61" s="44"/>
      <c r="Q61" s="44"/>
      <c r="R61" s="44"/>
      <c r="S61" s="178"/>
      <c r="T61" s="178"/>
    </row>
    <row r="62" spans="1:24" x14ac:dyDescent="0.2">
      <c r="A62" s="29"/>
      <c r="B62" s="29"/>
      <c r="C62" s="29"/>
      <c r="E62" s="173"/>
      <c r="F62" s="173"/>
      <c r="G62" s="44"/>
      <c r="H62" s="44"/>
      <c r="I62" s="44"/>
      <c r="J62" s="44"/>
      <c r="K62" s="44"/>
      <c r="L62" s="44"/>
      <c r="M62" s="44"/>
      <c r="N62" s="44"/>
      <c r="O62" s="44"/>
      <c r="P62" s="44"/>
      <c r="Q62" s="44"/>
      <c r="R62" s="44"/>
      <c r="S62" s="1"/>
      <c r="T62" s="1"/>
    </row>
    <row r="63" spans="1:24" x14ac:dyDescent="0.2">
      <c r="A63" s="29"/>
    </row>
    <row r="64" spans="1:24" x14ac:dyDescent="0.2">
      <c r="D64" s="107"/>
    </row>
    <row r="65" spans="4:14" ht="20.25" x14ac:dyDescent="0.3">
      <c r="D65" s="1591" t="str">
        <f>D4</f>
        <v>Lunchrestaurang Ab</v>
      </c>
      <c r="H65" s="238" t="str">
        <f>H4</f>
        <v xml:space="preserve">KASSABUDGET </v>
      </c>
      <c r="N65" s="238" t="str">
        <f>N4</f>
        <v>1/20XY - 12/20XY</v>
      </c>
    </row>
    <row r="81" spans="18:18" x14ac:dyDescent="0.2">
      <c r="R81" s="101"/>
    </row>
    <row r="103" spans="5:5" x14ac:dyDescent="0.2">
      <c r="E103" s="379" t="s">
        <v>426</v>
      </c>
    </row>
    <row r="104" spans="5:5" x14ac:dyDescent="0.2">
      <c r="E104" s="108" t="s">
        <v>347</v>
      </c>
    </row>
    <row r="105" spans="5:5" x14ac:dyDescent="0.2">
      <c r="E105" s="108" t="s">
        <v>348</v>
      </c>
    </row>
  </sheetData>
  <sheetProtection algorithmName="SHA-512" hashValue="A7FlEDFkoFf7skKllRLUL4C8PO+mg3vPiW/m51MeqWfm+im7GPxPpXWAkEhqSBTtm79/ubPyIS1xZLKdeQyyVQ==" saltValue="qiZ2iefkLQmrTK00cUdOCg==" spinCount="100000" sheet="1" objects="1" scenarios="1"/>
  <mergeCells count="55">
    <mergeCell ref="C41:E41"/>
    <mergeCell ref="C42:E42"/>
    <mergeCell ref="C23:E23"/>
    <mergeCell ref="C25:E25"/>
    <mergeCell ref="C32:F32"/>
    <mergeCell ref="D34:F34"/>
    <mergeCell ref="C26:E26"/>
    <mergeCell ref="C27:E27"/>
    <mergeCell ref="C24:E24"/>
    <mergeCell ref="C30:E30"/>
    <mergeCell ref="C31:F31"/>
    <mergeCell ref="D36:F36"/>
    <mergeCell ref="C38:F38"/>
    <mergeCell ref="C28:E28"/>
    <mergeCell ref="C29:E29"/>
    <mergeCell ref="C40:E40"/>
    <mergeCell ref="C56:F56"/>
    <mergeCell ref="C48:E48"/>
    <mergeCell ref="C49:E49"/>
    <mergeCell ref="C50:E50"/>
    <mergeCell ref="C43:E43"/>
    <mergeCell ref="C55:F55"/>
    <mergeCell ref="C52:E52"/>
    <mergeCell ref="C44:E44"/>
    <mergeCell ref="C51:E51"/>
    <mergeCell ref="C46:E46"/>
    <mergeCell ref="B53:F53"/>
    <mergeCell ref="C45:E45"/>
    <mergeCell ref="X5:X6"/>
    <mergeCell ref="C20:E20"/>
    <mergeCell ref="C21:E21"/>
    <mergeCell ref="C22:E22"/>
    <mergeCell ref="D9:F9"/>
    <mergeCell ref="V5:W5"/>
    <mergeCell ref="D5:F5"/>
    <mergeCell ref="C17:E17"/>
    <mergeCell ref="C13:E13"/>
    <mergeCell ref="C7:F7"/>
    <mergeCell ref="C15:E15"/>
    <mergeCell ref="D11:F11"/>
    <mergeCell ref="C14:F14"/>
    <mergeCell ref="C10:F10"/>
    <mergeCell ref="C8:E8"/>
    <mergeCell ref="C19:F19"/>
    <mergeCell ref="N4:Q4"/>
    <mergeCell ref="H4:M4"/>
    <mergeCell ref="D4:F4"/>
    <mergeCell ref="C6:E6"/>
    <mergeCell ref="G2:N2"/>
    <mergeCell ref="D37:E37"/>
    <mergeCell ref="D33:E33"/>
    <mergeCell ref="D35:E35"/>
    <mergeCell ref="C39:F39"/>
    <mergeCell ref="B2:D2"/>
    <mergeCell ref="B18:B19"/>
  </mergeCells>
  <printOptions horizontalCentered="1"/>
  <pageMargins left="0.23622047244094491" right="0.23622047244094491" top="0.74803149606299213" bottom="0.74803149606299213" header="0.31496062992125984" footer="0.31496062992125984"/>
  <pageSetup paperSize="9" scale="75" orientation="landscape" verticalDpi="4" r:id="rId1"/>
  <rowBreaks count="2" manualBreakCount="2">
    <brk id="2" min="1" max="20" man="1"/>
    <brk id="58" min="1" max="18" man="1"/>
  </rowBreaks>
  <ignoredErrors>
    <ignoredError sqref="G7" unlockedFormula="1"/>
  </ignoredError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4" tint="0.59999389629810485"/>
  </sheetPr>
  <dimension ref="A2:S141"/>
  <sheetViews>
    <sheetView showGridLines="0" showZeros="0" defaultGridColor="0" colorId="55" zoomScaleNormal="100" workbookViewId="0"/>
  </sheetViews>
  <sheetFormatPr defaultRowHeight="12.75" x14ac:dyDescent="0.2"/>
  <cols>
    <col min="1" max="1" width="5.7109375" customWidth="1"/>
    <col min="2" max="2" width="6.85546875" customWidth="1"/>
    <col min="3" max="3" width="4" customWidth="1"/>
    <col min="4" max="4" width="54.28515625" customWidth="1"/>
    <col min="5" max="5" width="9.28515625" customWidth="1"/>
    <col min="6" max="8" width="10.7109375" customWidth="1"/>
    <col min="9" max="9" width="3.140625" customWidth="1"/>
    <col min="10" max="11" width="9.140625" customWidth="1"/>
    <col min="12" max="12" width="11.7109375" customWidth="1"/>
    <col min="13" max="19" width="10.7109375" customWidth="1"/>
  </cols>
  <sheetData>
    <row r="2" spans="2:19" ht="15" customHeight="1" x14ac:dyDescent="0.2">
      <c r="B2" s="38"/>
      <c r="C2" s="1924" t="s">
        <v>449</v>
      </c>
      <c r="D2" s="1925"/>
      <c r="E2" s="1925"/>
      <c r="F2" s="1925"/>
      <c r="G2" s="1925"/>
      <c r="H2" s="1925"/>
      <c r="J2" s="19"/>
      <c r="K2" s="1682" t="s">
        <v>247</v>
      </c>
      <c r="L2" s="1682"/>
      <c r="M2" s="19"/>
      <c r="N2" s="1683"/>
      <c r="O2" s="1683"/>
    </row>
    <row r="3" spans="2:19" ht="15" customHeight="1" x14ac:dyDescent="0.2">
      <c r="J3" s="19"/>
      <c r="M3" s="19"/>
      <c r="N3" s="19"/>
      <c r="O3" s="19"/>
    </row>
    <row r="4" spans="2:19" ht="15" customHeight="1" x14ac:dyDescent="0.3">
      <c r="C4" s="1926" t="s">
        <v>450</v>
      </c>
      <c r="D4" s="1926"/>
      <c r="E4" s="1926"/>
      <c r="F4" s="1926"/>
      <c r="G4" s="1926"/>
      <c r="H4" s="1926"/>
      <c r="I4" s="505"/>
      <c r="J4" s="505"/>
      <c r="K4" s="505"/>
      <c r="L4" s="505"/>
      <c r="M4" s="505"/>
      <c r="N4" s="19"/>
      <c r="O4" s="19"/>
    </row>
    <row r="5" spans="2:19" ht="12" customHeight="1" x14ac:dyDescent="0.2">
      <c r="C5" s="107" t="str">
        <f>'K1 Kostnader'!C5</f>
        <v>Tjänsten erbjuds av:</v>
      </c>
      <c r="D5" s="107"/>
      <c r="J5" s="19"/>
      <c r="K5" s="19"/>
      <c r="L5" s="19"/>
      <c r="M5" s="19"/>
      <c r="N5" s="19"/>
      <c r="O5" s="19"/>
    </row>
    <row r="6" spans="2:19" ht="12" customHeight="1" x14ac:dyDescent="0.25">
      <c r="C6" s="64" t="str">
        <f>Startsidan!G35</f>
        <v xml:space="preserve">Karlebynejdens Utveckling Ab
</v>
      </c>
      <c r="I6" s="41"/>
      <c r="J6" s="12"/>
    </row>
    <row r="7" spans="2:19" ht="12" customHeight="1" x14ac:dyDescent="0.25">
      <c r="C7" s="107"/>
      <c r="I7" s="41"/>
      <c r="J7" s="12"/>
    </row>
    <row r="8" spans="2:19" ht="13.5" customHeight="1" x14ac:dyDescent="0.2">
      <c r="C8" s="963" t="s">
        <v>246</v>
      </c>
      <c r="D8" s="168"/>
      <c r="H8" s="155"/>
    </row>
    <row r="9" spans="2:19" ht="13.5" customHeight="1" x14ac:dyDescent="0.2">
      <c r="C9" s="1923">
        <v>0</v>
      </c>
      <c r="D9" s="1923"/>
      <c r="E9" s="1693"/>
      <c r="F9" s="1706"/>
      <c r="G9" s="1706"/>
      <c r="H9" s="1706"/>
      <c r="I9" s="504"/>
      <c r="J9" s="508">
        <f>C9</f>
        <v>0</v>
      </c>
      <c r="K9" s="504"/>
    </row>
    <row r="10" spans="2:19" ht="6" customHeight="1" x14ac:dyDescent="0.2">
      <c r="F10" s="36"/>
      <c r="G10" s="448"/>
      <c r="H10" s="36"/>
      <c r="I10" s="756"/>
      <c r="J10" s="1695"/>
      <c r="K10" s="1695"/>
      <c r="L10" s="1695"/>
      <c r="M10" s="1695"/>
      <c r="N10" s="1695"/>
    </row>
    <row r="11" spans="2:19" ht="15" customHeight="1" x14ac:dyDescent="0.2">
      <c r="B11" s="1687" t="s">
        <v>243</v>
      </c>
      <c r="C11" s="1927" t="str">
        <f>IF(F13=12,"VERKSAMHETSKOSTNADER UNDER RÄKENSKAPSPERIODEN (Moms 0 %)","VERKSAMHETSKOSTNADER UNDER RÄKENSKAPSPERIODEN (Moms 0 %). OBSERVERA RÄKENSKAPSPERIODENS LÄNGD!")</f>
        <v>VERKSAMHETSKOSTNADER UNDER RÄKENSKAPSPERIODEN (Moms 0 %)</v>
      </c>
      <c r="D11" s="1927"/>
      <c r="E11" s="1928"/>
      <c r="F11" s="1540" t="s">
        <v>354</v>
      </c>
      <c r="G11" s="1540" t="s">
        <v>355</v>
      </c>
      <c r="H11" s="1541" t="s">
        <v>356</v>
      </c>
      <c r="I11" s="1501"/>
      <c r="J11" s="1302" t="s">
        <v>351</v>
      </c>
      <c r="K11" s="143"/>
      <c r="L11" s="1278"/>
      <c r="M11" s="1279"/>
      <c r="N11" s="1279"/>
      <c r="O11" s="1279"/>
      <c r="P11" s="1279"/>
      <c r="Q11" s="1374"/>
      <c r="R11" s="1274"/>
      <c r="S11" s="1281"/>
    </row>
    <row r="12" spans="2:19" ht="13.5" customHeight="1" thickBot="1" x14ac:dyDescent="0.25">
      <c r="B12" s="1687"/>
      <c r="C12" s="1927"/>
      <c r="D12" s="1927"/>
      <c r="E12" s="1928"/>
      <c r="F12" s="1500">
        <v>2023</v>
      </c>
      <c r="G12" s="1005">
        <f>F12+1</f>
        <v>2024</v>
      </c>
      <c r="H12" s="1510">
        <f>G12+1</f>
        <v>2025</v>
      </c>
      <c r="I12" s="1502"/>
      <c r="J12" s="1303" t="s">
        <v>0</v>
      </c>
      <c r="K12" s="1286"/>
      <c r="L12" s="1287"/>
      <c r="M12" s="1287"/>
      <c r="N12" s="1287"/>
      <c r="O12" s="1287"/>
      <c r="P12" s="1287"/>
      <c r="Q12" s="1287"/>
      <c r="R12" s="1284"/>
      <c r="S12" s="1285"/>
    </row>
    <row r="13" spans="2:19" ht="13.5" thickBot="1" x14ac:dyDescent="0.25">
      <c r="B13" s="711"/>
      <c r="C13" s="1637"/>
      <c r="D13" s="1639" t="s">
        <v>249</v>
      </c>
      <c r="E13" s="1637"/>
      <c r="F13" s="1006">
        <v>12</v>
      </c>
      <c r="G13" s="548">
        <v>12</v>
      </c>
      <c r="H13" s="1511">
        <v>12</v>
      </c>
      <c r="I13" s="1502"/>
      <c r="J13" s="1303"/>
      <c r="K13" s="1286"/>
      <c r="L13" s="1287"/>
      <c r="M13" s="1287"/>
      <c r="N13" s="1287"/>
      <c r="O13" s="1287"/>
      <c r="P13" s="1287"/>
      <c r="Q13" s="1287"/>
      <c r="R13" s="1284"/>
      <c r="S13" s="1285"/>
    </row>
    <row r="14" spans="2:19" ht="13.5" thickBot="1" x14ac:dyDescent="0.25">
      <c r="B14" s="691" t="s">
        <v>109</v>
      </c>
      <c r="C14" s="163" t="s">
        <v>4</v>
      </c>
      <c r="D14" s="1675" t="s">
        <v>250</v>
      </c>
      <c r="E14" s="1675"/>
      <c r="F14" s="764">
        <f>F16*F18</f>
        <v>0</v>
      </c>
      <c r="G14" s="764">
        <f>G16*G18</f>
        <v>0</v>
      </c>
      <c r="H14" s="1512">
        <f>H16*H18</f>
        <v>0</v>
      </c>
      <c r="I14" s="1502"/>
      <c r="J14" s="1663" t="s">
        <v>352</v>
      </c>
      <c r="K14" s="1664"/>
      <c r="L14" s="1284"/>
      <c r="M14" s="1284"/>
      <c r="N14" s="1284"/>
      <c r="O14" s="1284"/>
      <c r="P14" s="1284"/>
      <c r="Q14" s="1284"/>
      <c r="R14" s="1284"/>
      <c r="S14" s="1285"/>
    </row>
    <row r="15" spans="2:19" x14ac:dyDescent="0.2">
      <c r="B15" s="692" t="s">
        <v>0</v>
      </c>
      <c r="C15" s="163">
        <v>0</v>
      </c>
      <c r="D15" s="1674" t="s">
        <v>609</v>
      </c>
      <c r="E15" s="1674"/>
      <c r="F15" s="765">
        <f>(F16+F17)*F18</f>
        <v>0</v>
      </c>
      <c r="G15" s="765">
        <f>(G16+G17)*G18</f>
        <v>0</v>
      </c>
      <c r="H15" s="1513">
        <f>(H16+H17)*H18</f>
        <v>0</v>
      </c>
      <c r="I15" s="1503"/>
      <c r="J15" s="1417">
        <f>G$12</f>
        <v>2024</v>
      </c>
      <c r="K15" s="1418">
        <f>H$12</f>
        <v>2025</v>
      </c>
      <c r="L15" s="1284"/>
      <c r="M15" s="1284"/>
      <c r="N15" s="1284"/>
      <c r="O15" s="1284"/>
      <c r="P15" s="1284"/>
      <c r="Q15" s="1284"/>
      <c r="R15" s="1284"/>
      <c r="S15" s="1285"/>
    </row>
    <row r="16" spans="2:19" x14ac:dyDescent="0.2">
      <c r="B16" s="692"/>
      <c r="C16" s="163"/>
      <c r="D16" s="712" t="s">
        <v>451</v>
      </c>
      <c r="E16" s="368"/>
      <c r="F16" s="1007">
        <v>0</v>
      </c>
      <c r="G16" s="1007">
        <f>F16 +F16*J16</f>
        <v>0</v>
      </c>
      <c r="H16" s="1514">
        <f>G16 +G16*K16</f>
        <v>0</v>
      </c>
      <c r="I16" s="1503"/>
      <c r="J16" s="1271">
        <v>0.03</v>
      </c>
      <c r="K16" s="1271">
        <f>J16</f>
        <v>0.03</v>
      </c>
      <c r="L16" s="1284"/>
      <c r="M16" s="1284"/>
      <c r="N16" s="1284"/>
      <c r="O16" s="1284"/>
      <c r="P16" s="1284"/>
      <c r="Q16" s="1284"/>
      <c r="R16" s="1284"/>
      <c r="S16" s="1285"/>
    </row>
    <row r="17" spans="1:19" x14ac:dyDescent="0.2">
      <c r="B17" s="692"/>
      <c r="C17" s="163"/>
      <c r="D17" s="712" t="s">
        <v>452</v>
      </c>
      <c r="E17" s="368"/>
      <c r="F17" s="1007">
        <v>0</v>
      </c>
      <c r="G17" s="1007">
        <f>F17 +F17*J17</f>
        <v>0</v>
      </c>
      <c r="H17" s="1514">
        <f>G17 +G17*K17</f>
        <v>0</v>
      </c>
      <c r="I17" s="1503"/>
      <c r="J17" s="1271">
        <v>0.03</v>
      </c>
      <c r="K17" s="1271">
        <f>J17</f>
        <v>0.03</v>
      </c>
      <c r="L17" s="1284"/>
      <c r="M17" s="1284"/>
      <c r="N17" s="1284"/>
      <c r="O17" s="1284"/>
      <c r="P17" s="1284"/>
      <c r="Q17" s="1284"/>
      <c r="R17" s="1284"/>
      <c r="S17" s="1285"/>
    </row>
    <row r="18" spans="1:19" x14ac:dyDescent="0.2">
      <c r="B18" s="692"/>
      <c r="C18" s="163"/>
      <c r="D18" s="712" t="s">
        <v>252</v>
      </c>
      <c r="E18" s="368"/>
      <c r="F18" s="1008">
        <v>12</v>
      </c>
      <c r="G18" s="1008">
        <v>12.5</v>
      </c>
      <c r="H18" s="1515">
        <f>G18</f>
        <v>12.5</v>
      </c>
      <c r="I18" s="1503"/>
      <c r="J18" s="746"/>
      <c r="K18" s="1284"/>
      <c r="L18" s="1284"/>
      <c r="M18" s="1284"/>
      <c r="N18" s="1284"/>
      <c r="O18" s="1284"/>
      <c r="P18" s="1284"/>
      <c r="Q18" s="1284"/>
      <c r="R18" s="1284"/>
      <c r="S18" s="1285"/>
    </row>
    <row r="19" spans="1:19" ht="13.5" thickBot="1" x14ac:dyDescent="0.25">
      <c r="B19" s="692"/>
      <c r="C19" s="375"/>
      <c r="D19" s="713" t="s">
        <v>702</v>
      </c>
      <c r="E19" s="359"/>
      <c r="F19" s="1009">
        <v>1</v>
      </c>
      <c r="G19" s="1009">
        <f>F19</f>
        <v>1</v>
      </c>
      <c r="H19" s="1516">
        <f>G19</f>
        <v>1</v>
      </c>
      <c r="I19" s="1503"/>
      <c r="J19" s="746"/>
      <c r="K19" s="1284"/>
      <c r="L19" s="1284"/>
      <c r="M19" s="1284"/>
      <c r="N19" s="1284"/>
      <c r="O19" s="1284"/>
      <c r="P19" s="1284"/>
      <c r="Q19" s="1284"/>
      <c r="R19" s="1284"/>
      <c r="S19" s="1285"/>
    </row>
    <row r="20" spans="1:19" x14ac:dyDescent="0.2">
      <c r="A20" s="168"/>
      <c r="B20" s="691" t="s">
        <v>110</v>
      </c>
      <c r="C20" s="163" t="s">
        <v>5</v>
      </c>
      <c r="D20" s="1675" t="s">
        <v>253</v>
      </c>
      <c r="E20" s="1675"/>
      <c r="F20" s="766">
        <f>IF($F13=6,'YP Lainat ja avustukset'!B142,IF($F13=7,'YP Lainat ja avustukset'!C143,IF($F13=8,'YP Lainat ja avustukset'!D144,IF($F13=9,'YP Lainat ja avustukset'!E145,IF($F13=10,'YP Lainat ja avustukset'!F146,IF($F13=11,'YP Lainat ja avustukset'!G147,IF($F13=12,'YP Lainat ja avustukset'!H148,IF($F13=13,'YP Lainat ja avustukset'!I149,IF($F13=14,'YP Lainat ja avustukset'!J150,IF($F13=15,'YP Lainat ja avustukset'!K151,IF($F13=16,'YP Lainat ja avustukset'!L152,IF($F13=17,'YP Lainat ja avustukset'!M153,'YP Lainat ja avustukset'!N154))))))))))))</f>
        <v>0</v>
      </c>
      <c r="G20" s="767">
        <f>IF($F13=6,'YP Lainat ja avustukset'!N142,IF($F13=7,'YP Lainat ja avustukset'!O143,IF($F13=8,'YP Lainat ja avustukset'!P144,IF($F13=9,'YP Lainat ja avustukset'!Q145,IF($F13=10,'YP Lainat ja avustukset'!R146,IF($F13=11,'YP Lainat ja avustukset'!S147,IF($F13=12,'YP Lainat ja avustukset'!T148,IF($F13=13,'YP Lainat ja avustukset'!U149,IF($F13=14,'YP Lainat ja avustukset'!V150,IF($F13=15,'YP Lainat ja avustukset'!W151,IF($F13=16,'YP Lainat ja avustukset'!X152,IF($F13=17,'YP Lainat ja avustukset'!Y153,'YP Lainat ja avustukset'!Z154))))))))))))</f>
        <v>0</v>
      </c>
      <c r="H20" s="1517">
        <f>IF($F13=6,'YP Lainat ja avustukset'!Z142,IF($F13=7,'YP Lainat ja avustukset'!AA143,IF($F13=8,'YP Lainat ja avustukset'!AB144,IF($F13=9,'YP Lainat ja avustukset'!AC145,IF($F13=10,'YP Lainat ja avustukset'!AD146,IF($F13=11,'YP Lainat ja avustukset'!AE147,IF($F13=12,'YP Lainat ja avustukset'!AF148,IF($F13=13,'YP Lainat ja avustukset'!AG149,IF($F13=14,'YP Lainat ja avustukset'!AH150,IF($F13=15,'YP Lainat ja avustukset'!AI151,IF($F13=16,'YP Lainat ja avustukset'!AJ152,IF($F13=17,'YP Lainat ja avustukset'!AK153,'YP Lainat ja avustukset'!AL154))))))))))))</f>
        <v>0</v>
      </c>
      <c r="I20" s="1504"/>
      <c r="J20" s="746"/>
      <c r="K20" s="1284"/>
      <c r="L20" s="1284"/>
      <c r="M20" s="1284"/>
      <c r="N20" s="1284"/>
      <c r="O20" s="1284"/>
      <c r="P20" s="1284"/>
      <c r="Q20" s="1284"/>
      <c r="R20" s="1284"/>
      <c r="S20" s="1285"/>
    </row>
    <row r="21" spans="1:19" x14ac:dyDescent="0.2">
      <c r="B21" s="692"/>
      <c r="C21" s="163"/>
      <c r="D21" s="712" t="s">
        <v>254</v>
      </c>
      <c r="E21" s="368"/>
      <c r="F21" s="768">
        <f>IF($F13=6,'YP Lainat ja avustukset'!B128,IF($F13=7,'YP Lainat ja avustukset'!C129,IF($F13=8,'YP Lainat ja avustukset'!D130,IF($F13=9,'YP Lainat ja avustukset'!E131,IF($F13=10,'YP Lainat ja avustukset'!F132,IF($F13=11,'YP Lainat ja avustukset'!G133,IF($F13=12,'YP Lainat ja avustukset'!H134,IF($F13=13,'YP Lainat ja avustukset'!I135,IF($F13=14,'YP Lainat ja avustukset'!J136,IF($F13=15,'YP Lainat ja avustukset'!K137,IF($F13=16,'YP Lainat ja avustukset'!L138,IF($F13=17,'YP Lainat ja avustukset'!M139,'YP Lainat ja avustukset'!N140))))))))))))</f>
        <v>0</v>
      </c>
      <c r="G21" s="768">
        <f>IF($F13=6,'YP Lainat ja avustukset'!N128,IF($F13=7,'YP Lainat ja avustukset'!O129,IF($F13=8,'YP Lainat ja avustukset'!P130,IF($F13=9,'YP Lainat ja avustukset'!Q131,IF($F13=10,'YP Lainat ja avustukset'!R132,IF($F13=11,'YP Lainat ja avustukset'!S133,IF($F13=12,'YP Lainat ja avustukset'!T134,IF($F13=13,'YP Lainat ja avustukset'!U135,IF($F13=14,'YP Lainat ja avustukset'!V136,IF($F13=15,'YP Lainat ja avustukset'!W137,IF($F13=16,'YP Lainat ja avustukset'!X138,IF($F13=17,'YP Lainat ja avustukset'!Y139,'YP Lainat ja avustukset'!Z140))))))))))))</f>
        <v>0</v>
      </c>
      <c r="H21" s="1518">
        <f>IF($F13=6,'YP Lainat ja avustukset'!Z128,IF($F13=7,'YP Lainat ja avustukset'!AA129,IF($F13=8,'YP Lainat ja avustukset'!AB130,IF($F13=9,'YP Lainat ja avustukset'!AC131,IF($F13=10,'YP Lainat ja avustukset'!AD132,IF($F13=11,'YP Lainat ja avustukset'!AE133,IF($F13=12,'YP Lainat ja avustukset'!AF134,IF($F13=13,'YP Lainat ja avustukset'!AG135,IF($F13=14,'YP Lainat ja avustukset'!AH136,IF($F13=15,'YP Lainat ja avustukset'!AI137,IF($F13=16,'YP Lainat ja avustukset'!AJ138,IF($F13=17,'YP Lainat ja avustukset'!AK139,'YP Lainat ja avustukset'!AL140))))))))))))</f>
        <v>0</v>
      </c>
      <c r="I21" s="1504"/>
      <c r="J21" s="746"/>
      <c r="K21" s="1284"/>
      <c r="L21" s="1284"/>
      <c r="M21" s="1284"/>
      <c r="N21" s="1284"/>
      <c r="O21" s="1284"/>
      <c r="P21" s="1284"/>
      <c r="Q21" s="1284"/>
      <c r="R21" s="1284"/>
      <c r="S21" s="1285"/>
    </row>
    <row r="22" spans="1:19" ht="13.5" thickBot="1" x14ac:dyDescent="0.25">
      <c r="A22" s="168"/>
      <c r="B22" s="692"/>
      <c r="C22" s="375"/>
      <c r="D22" s="713" t="s">
        <v>255</v>
      </c>
      <c r="E22" s="359"/>
      <c r="F22" s="769">
        <f>IF($F13&lt;12,'YP Lainat ja avustukset'!G125,IF($F13&lt;18,'YP Lainat ja avustukset'!M125,'YP Lainat ja avustukset'!N125))</f>
        <v>0</v>
      </c>
      <c r="G22" s="770">
        <f>IF($F13&lt;12,'YP Lainat ja avustukset'!S125,IF($F13&lt;18,'YP Lainat ja avustukset'!Y125,'YP Lainat ja avustukset'!Z125))</f>
        <v>0</v>
      </c>
      <c r="H22" s="1519">
        <f>IF($F13&lt;12,'YP Lainat ja avustukset'!AE125,IF($F13&lt;18,'YP Lainat ja avustukset'!AK125,'YP Lainat ja avustukset'!AL125))</f>
        <v>0</v>
      </c>
      <c r="I22" s="1504"/>
      <c r="J22" s="746"/>
      <c r="K22" s="1284">
        <v>0</v>
      </c>
      <c r="L22" s="1284"/>
      <c r="M22" s="1284"/>
      <c r="N22" s="1284"/>
      <c r="O22" s="1284"/>
      <c r="P22" s="1284"/>
      <c r="Q22" s="1284"/>
      <c r="R22" s="1284"/>
      <c r="S22" s="1285"/>
    </row>
    <row r="23" spans="1:19" ht="12.75" customHeight="1" thickBot="1" x14ac:dyDescent="0.25">
      <c r="A23" s="2"/>
      <c r="B23" s="691" t="s">
        <v>111</v>
      </c>
      <c r="C23" s="376" t="s">
        <v>6</v>
      </c>
      <c r="D23" s="377" t="s">
        <v>256</v>
      </c>
      <c r="E23" s="377"/>
      <c r="F23" s="764">
        <f>F14+F20</f>
        <v>0</v>
      </c>
      <c r="G23" s="758">
        <f>G14+G20</f>
        <v>0</v>
      </c>
      <c r="H23" s="1512">
        <f>H14+H20</f>
        <v>0</v>
      </c>
      <c r="I23" s="1504"/>
      <c r="J23" s="746"/>
      <c r="K23" s="1284"/>
      <c r="L23" s="1284"/>
      <c r="M23" s="1284"/>
      <c r="N23" s="1284"/>
      <c r="O23" s="1284"/>
      <c r="P23" s="1284"/>
      <c r="Q23" s="1284"/>
      <c r="R23" s="1284"/>
      <c r="S23" s="1285"/>
    </row>
    <row r="24" spans="1:19" ht="4.5" customHeight="1" x14ac:dyDescent="0.2">
      <c r="A24" s="168"/>
      <c r="B24" s="693"/>
      <c r="C24" s="163"/>
      <c r="D24" s="370"/>
      <c r="E24" s="370"/>
      <c r="F24" s="771"/>
      <c r="G24" s="771"/>
      <c r="H24" s="771"/>
      <c r="I24" s="3"/>
      <c r="J24" s="1344"/>
      <c r="K24" s="1287"/>
      <c r="L24" s="1287"/>
      <c r="M24" s="1287"/>
      <c r="N24" s="1287"/>
      <c r="O24" s="1287"/>
      <c r="P24" s="1287"/>
      <c r="Q24" s="1287"/>
      <c r="R24" s="1284"/>
      <c r="S24" s="1285"/>
    </row>
    <row r="25" spans="1:19" ht="13.5" thickBot="1" x14ac:dyDescent="0.25">
      <c r="B25" s="692"/>
      <c r="C25" s="375" t="s">
        <v>0</v>
      </c>
      <c r="D25" s="857" t="s">
        <v>691</v>
      </c>
      <c r="E25" s="371"/>
      <c r="F25" s="772"/>
      <c r="G25" s="772"/>
      <c r="H25" s="773"/>
      <c r="I25" s="436"/>
      <c r="J25" s="1303"/>
      <c r="K25" s="1284"/>
      <c r="L25" s="1284"/>
      <c r="M25" s="1284"/>
      <c r="N25" s="1284"/>
      <c r="O25" s="1284"/>
      <c r="P25" s="1284"/>
      <c r="Q25" s="1284"/>
      <c r="R25" s="1284"/>
      <c r="S25" s="1285"/>
    </row>
    <row r="26" spans="1:19" x14ac:dyDescent="0.2">
      <c r="A26" s="168"/>
      <c r="B26" s="691" t="s">
        <v>133</v>
      </c>
      <c r="C26" s="163" t="s">
        <v>7</v>
      </c>
      <c r="D26" s="1675" t="s">
        <v>257</v>
      </c>
      <c r="E26" s="1675"/>
      <c r="F26" s="774">
        <f>IF(F27=0,0,-F13*PMT('FS3 Resultat'!$H22/12,'FS3 Resultat'!$I22*12,'FS3 Resultat'!$K22)+10*F13)</f>
        <v>0</v>
      </c>
      <c r="G26" s="774">
        <f>IF(G27=0,0,-G13*PMT('FS3 Resultat'!$H22/12,'FS3 Resultat'!$I22*12,'FS3 Resultat'!$K22)+10*G13)</f>
        <v>0</v>
      </c>
      <c r="H26" s="1520">
        <f>IF(H27=0,0,-H13*PMT('FS3 Resultat'!$H22/12,'FS3 Resultat'!$I22*12,'FS3 Resultat'!$K22)+10*H13)</f>
        <v>0</v>
      </c>
      <c r="I26" s="1505"/>
      <c r="J26" s="1337"/>
      <c r="K26" s="856"/>
      <c r="L26" s="856"/>
      <c r="M26" s="856"/>
      <c r="N26" s="856"/>
      <c r="O26" s="856"/>
      <c r="P26" s="856"/>
      <c r="Q26" s="856"/>
      <c r="R26" s="856"/>
      <c r="S26" s="1375"/>
    </row>
    <row r="27" spans="1:19" ht="13.5" thickBot="1" x14ac:dyDescent="0.25">
      <c r="B27" s="692"/>
      <c r="C27" s="375"/>
      <c r="D27" s="1671" t="s">
        <v>258</v>
      </c>
      <c r="E27" s="1671"/>
      <c r="F27" s="775">
        <f>'FS3 Resultat'!K22</f>
        <v>0</v>
      </c>
      <c r="G27" s="768">
        <f>IF('FS3 Resultat'!$I$22&lt;2,0,F27)</f>
        <v>0</v>
      </c>
      <c r="H27" s="1518">
        <f>IF('FS3 Resultat'!$I$22&lt;3,0,G27)</f>
        <v>0</v>
      </c>
      <c r="I27" s="1299"/>
      <c r="J27" s="1337"/>
      <c r="K27" s="856"/>
      <c r="L27" s="856"/>
      <c r="M27" s="856"/>
      <c r="N27" s="856"/>
      <c r="O27" s="856"/>
      <c r="P27" s="856"/>
      <c r="Q27" s="856"/>
      <c r="R27" s="856"/>
      <c r="S27" s="1375"/>
    </row>
    <row r="28" spans="1:19" ht="13.5" thickBot="1" x14ac:dyDescent="0.25">
      <c r="A28" s="168"/>
      <c r="B28" s="691" t="s">
        <v>182</v>
      </c>
      <c r="C28" s="376" t="s">
        <v>8</v>
      </c>
      <c r="D28" s="1640" t="s">
        <v>259</v>
      </c>
      <c r="E28" s="511"/>
      <c r="F28" s="764">
        <f>Lönekostnader!C83</f>
        <v>40456.199999999997</v>
      </c>
      <c r="G28" s="764">
        <f>Lönekostnader!D83</f>
        <v>42912.42</v>
      </c>
      <c r="H28" s="1512">
        <f>Lönekostnader!E83</f>
        <v>43770.668400000002</v>
      </c>
      <c r="I28" s="1301"/>
      <c r="J28" s="1305"/>
      <c r="K28" s="1287"/>
      <c r="L28" s="1287"/>
      <c r="M28" s="1287"/>
      <c r="N28" s="1287"/>
      <c r="O28" s="1287"/>
      <c r="P28" s="1287"/>
      <c r="Q28" s="1287"/>
      <c r="R28" s="1287"/>
      <c r="S28" s="1292"/>
    </row>
    <row r="29" spans="1:19" ht="13.5" thickBot="1" x14ac:dyDescent="0.25">
      <c r="A29" s="168"/>
      <c r="B29" s="691" t="s">
        <v>112</v>
      </c>
      <c r="C29" s="163" t="s">
        <v>9</v>
      </c>
      <c r="D29" s="701" t="s">
        <v>260</v>
      </c>
      <c r="E29" s="367"/>
      <c r="F29" s="764">
        <f>F30+F33</f>
        <v>7582.4327999999987</v>
      </c>
      <c r="G29" s="764">
        <f>G30+G33</f>
        <v>8020.6761599999991</v>
      </c>
      <c r="H29" s="1512">
        <f>H30+H33</f>
        <v>8181.0896831999999</v>
      </c>
      <c r="I29" s="1301"/>
      <c r="J29" s="1307"/>
      <c r="K29" s="1284"/>
      <c r="L29" s="1284"/>
      <c r="M29" s="1284"/>
      <c r="N29" s="1284"/>
      <c r="O29" s="1284"/>
      <c r="P29" s="1284"/>
      <c r="Q29" s="1284"/>
      <c r="R29" s="1284"/>
      <c r="S29" s="1285"/>
    </row>
    <row r="30" spans="1:19" x14ac:dyDescent="0.2">
      <c r="B30" s="692" t="s">
        <v>0</v>
      </c>
      <c r="C30" s="163" t="s">
        <v>0</v>
      </c>
      <c r="D30" s="368" t="s">
        <v>261</v>
      </c>
      <c r="E30" s="368"/>
      <c r="F30" s="776">
        <f>F31*F13*F32/12</f>
        <v>0</v>
      </c>
      <c r="G30" s="776">
        <f>IF(G32&gt;0,G31*G32,G15*G31)</f>
        <v>0</v>
      </c>
      <c r="H30" s="1521">
        <f>IF(H32&gt;0,H31*H32,H15*H31)</f>
        <v>0</v>
      </c>
      <c r="I30" s="1301"/>
      <c r="J30" s="1663" t="s">
        <v>350</v>
      </c>
      <c r="K30" s="1664"/>
      <c r="L30" s="1284"/>
      <c r="M30" s="1284"/>
      <c r="N30" s="1284"/>
      <c r="O30" s="1284"/>
      <c r="P30" s="1284"/>
      <c r="Q30" s="1284"/>
      <c r="R30" s="1284"/>
      <c r="S30" s="1285"/>
    </row>
    <row r="31" spans="1:19" x14ac:dyDescent="0.2">
      <c r="A31" s="168"/>
      <c r="B31" s="692"/>
      <c r="C31" s="163"/>
      <c r="D31" s="368" t="s">
        <v>262</v>
      </c>
      <c r="E31" s="368"/>
      <c r="F31" s="1010">
        <v>0.188</v>
      </c>
      <c r="G31" s="1010">
        <f>F31</f>
        <v>0.188</v>
      </c>
      <c r="H31" s="1522">
        <f>G31</f>
        <v>0.188</v>
      </c>
      <c r="I31" s="1301"/>
      <c r="J31" s="1417">
        <f>G$12</f>
        <v>2024</v>
      </c>
      <c r="K31" s="1418">
        <f>H$12</f>
        <v>2025</v>
      </c>
      <c r="L31" s="1287"/>
      <c r="M31" s="1287"/>
      <c r="N31" s="1287"/>
      <c r="O31" s="1287"/>
      <c r="P31" s="1287"/>
      <c r="Q31" s="1287"/>
      <c r="R31" s="1287"/>
      <c r="S31" s="1292"/>
    </row>
    <row r="32" spans="1:19" x14ac:dyDescent="0.2">
      <c r="A32" s="2"/>
      <c r="B32" s="692"/>
      <c r="C32" s="163"/>
      <c r="D32" s="1674" t="s">
        <v>263</v>
      </c>
      <c r="E32" s="1674"/>
      <c r="F32" s="1011">
        <f>12.5*F16+12.5*F17</f>
        <v>0</v>
      </c>
      <c r="G32" s="1012">
        <f>F32 +F32*J32</f>
        <v>0</v>
      </c>
      <c r="H32" s="1523">
        <f>G32 +G32*K32</f>
        <v>0</v>
      </c>
      <c r="I32" s="1301"/>
      <c r="J32" s="1271">
        <v>0.03</v>
      </c>
      <c r="K32" s="1271">
        <f>J32</f>
        <v>0.03</v>
      </c>
      <c r="L32" s="1284"/>
      <c r="M32" s="1284"/>
      <c r="N32" s="1284"/>
      <c r="O32" s="1284"/>
      <c r="P32" s="1284"/>
      <c r="Q32" s="1284"/>
      <c r="R32" s="1284"/>
      <c r="S32" s="1285"/>
    </row>
    <row r="33" spans="1:19" x14ac:dyDescent="0.2">
      <c r="A33" s="2"/>
      <c r="B33" s="692"/>
      <c r="C33" s="163"/>
      <c r="D33" s="368" t="s">
        <v>264</v>
      </c>
      <c r="E33" s="368"/>
      <c r="F33" s="777">
        <f>(F34)*Lönekostnader!C85+F35</f>
        <v>7582.4327999999987</v>
      </c>
      <c r="G33" s="777">
        <f>(G34)*Lönekostnader!D85+G35</f>
        <v>8020.6761599999991</v>
      </c>
      <c r="H33" s="1497">
        <f>(H34)*Lönekostnader!E85+H35</f>
        <v>8181.0896831999999</v>
      </c>
      <c r="I33" s="1301"/>
      <c r="J33" s="746"/>
      <c r="K33" s="1284"/>
      <c r="L33" s="1284"/>
      <c r="M33" s="1284"/>
      <c r="N33" s="1284"/>
      <c r="O33" s="1284"/>
      <c r="P33" s="1284"/>
      <c r="Q33" s="1284"/>
      <c r="R33" s="1284"/>
      <c r="S33" s="1285"/>
    </row>
    <row r="34" spans="1:19" x14ac:dyDescent="0.2">
      <c r="A34" s="168"/>
      <c r="B34" s="692"/>
      <c r="C34" s="163"/>
      <c r="D34" s="368" t="s">
        <v>265</v>
      </c>
      <c r="E34" s="368"/>
      <c r="F34" s="1013">
        <v>0.17399999999999999</v>
      </c>
      <c r="G34" s="1010">
        <f t="shared" ref="G34:H35" si="0">F34</f>
        <v>0.17399999999999999</v>
      </c>
      <c r="H34" s="1522">
        <f t="shared" si="0"/>
        <v>0.17399999999999999</v>
      </c>
      <c r="I34" s="1301"/>
      <c r="J34" s="746"/>
      <c r="K34" s="1284"/>
      <c r="L34" s="1284"/>
      <c r="M34" s="1284"/>
      <c r="N34" s="1284"/>
      <c r="O34" s="1284"/>
      <c r="P34" s="1284"/>
      <c r="Q34" s="1284"/>
      <c r="R34" s="1284"/>
      <c r="S34" s="1285"/>
    </row>
    <row r="35" spans="1:19" ht="13.5" thickBot="1" x14ac:dyDescent="0.25">
      <c r="A35" s="168"/>
      <c r="B35" s="692"/>
      <c r="C35" s="375"/>
      <c r="D35" s="359" t="s">
        <v>266</v>
      </c>
      <c r="E35" s="359"/>
      <c r="F35" s="1009">
        <v>0</v>
      </c>
      <c r="G35" s="1009">
        <f>F35*12/F$13</f>
        <v>0</v>
      </c>
      <c r="H35" s="1516">
        <f t="shared" si="0"/>
        <v>0</v>
      </c>
      <c r="I35" s="1301"/>
      <c r="J35" s="746"/>
      <c r="K35" s="1284"/>
      <c r="L35" s="1284"/>
      <c r="M35" s="1284"/>
      <c r="N35" s="1284"/>
      <c r="O35" s="1284"/>
      <c r="P35" s="1284"/>
      <c r="Q35" s="1284"/>
      <c r="R35" s="1284"/>
      <c r="S35" s="1285"/>
    </row>
    <row r="36" spans="1:19" ht="13.5" thickBot="1" x14ac:dyDescent="0.25">
      <c r="A36" s="2"/>
      <c r="B36" s="691" t="s">
        <v>113</v>
      </c>
      <c r="C36" s="163" t="s">
        <v>10</v>
      </c>
      <c r="D36" s="1675" t="s">
        <v>267</v>
      </c>
      <c r="E36" s="1681"/>
      <c r="F36" s="764">
        <f>(F37)*Lönekostnader!C$85+F40+F38+F39</f>
        <v>1133.0071999999998</v>
      </c>
      <c r="G36" s="764">
        <f>(G37)*Lönekostnader!D$85+G40+G38+G39</f>
        <v>1198.4918399999999</v>
      </c>
      <c r="H36" s="1512">
        <f>(H37)*Lönekostnader!E$85+H40+H38+H39</f>
        <v>1222.4616768000001</v>
      </c>
      <c r="I36" s="1301"/>
      <c r="J36" s="1307"/>
      <c r="K36" s="1284"/>
      <c r="L36" s="1284"/>
      <c r="M36" s="1284"/>
      <c r="N36" s="1284"/>
      <c r="O36" s="1284"/>
      <c r="P36" s="1284"/>
      <c r="Q36" s="1284"/>
      <c r="R36" s="1284"/>
      <c r="S36" s="1285"/>
    </row>
    <row r="37" spans="1:19" x14ac:dyDescent="0.2">
      <c r="B37" s="692"/>
      <c r="C37" s="163"/>
      <c r="D37" s="1677" t="s">
        <v>657</v>
      </c>
      <c r="E37" s="1677"/>
      <c r="F37" s="1014">
        <v>2.5999999999999999E-2</v>
      </c>
      <c r="G37" s="1014">
        <f>F37</f>
        <v>2.5999999999999999E-2</v>
      </c>
      <c r="H37" s="1524">
        <f>G37</f>
        <v>2.5999999999999999E-2</v>
      </c>
      <c r="I37" s="1301"/>
      <c r="J37" s="1663" t="s">
        <v>350</v>
      </c>
      <c r="K37" s="1664"/>
      <c r="L37" s="1284"/>
      <c r="M37" s="1284"/>
      <c r="N37" s="1284"/>
      <c r="O37" s="1284"/>
      <c r="P37" s="1284"/>
      <c r="Q37" s="1284"/>
      <c r="R37" s="1284"/>
      <c r="S37" s="1285"/>
    </row>
    <row r="38" spans="1:19" x14ac:dyDescent="0.2">
      <c r="B38" s="692"/>
      <c r="C38" s="163"/>
      <c r="D38" s="1674" t="s">
        <v>658</v>
      </c>
      <c r="E38" s="1674"/>
      <c r="F38" s="777">
        <f>F13*(1.7%*F32+1.34%*F15+0.008*'FS3 Resultat'!$K16)/12</f>
        <v>0</v>
      </c>
      <c r="G38" s="777">
        <f>G13*(1.7%*G32+1.53%*G15+0.008*'FS3 Resultat'!$K16)/12</f>
        <v>0</v>
      </c>
      <c r="H38" s="1497">
        <f>H13*(1.7%*H32+1.53%*H15+0.008*'FS3 Resultat'!$K16)/12</f>
        <v>0</v>
      </c>
      <c r="I38" s="1301"/>
      <c r="J38" s="1417">
        <f>G$12</f>
        <v>2024</v>
      </c>
      <c r="K38" s="1418">
        <f>H$12</f>
        <v>2025</v>
      </c>
      <c r="L38" s="1284"/>
      <c r="M38" s="1284"/>
      <c r="N38" s="1284"/>
      <c r="O38" s="1284"/>
      <c r="P38" s="1284"/>
      <c r="Q38" s="1284"/>
      <c r="R38" s="1284"/>
      <c r="S38" s="1285"/>
    </row>
    <row r="39" spans="1:19" x14ac:dyDescent="0.2">
      <c r="A39" s="168"/>
      <c r="B39" s="692"/>
      <c r="C39" s="163"/>
      <c r="D39" s="1674" t="s">
        <v>268</v>
      </c>
      <c r="E39" s="1674"/>
      <c r="F39" s="1007">
        <v>0</v>
      </c>
      <c r="G39" s="1007">
        <f>F39*12/F$13+J39*F39*12/F$13</f>
        <v>0</v>
      </c>
      <c r="H39" s="1514">
        <f t="shared" ref="H39:H40" si="1">G39 +G39*K39</f>
        <v>0</v>
      </c>
      <c r="I39" s="1301"/>
      <c r="J39" s="1271">
        <v>0.03</v>
      </c>
      <c r="K39" s="1271">
        <f>J39</f>
        <v>0.03</v>
      </c>
      <c r="L39" s="1284"/>
      <c r="M39" s="1284"/>
      <c r="N39" s="1284"/>
      <c r="O39" s="1284"/>
      <c r="P39" s="1284"/>
      <c r="Q39" s="1284"/>
      <c r="R39" s="1284"/>
      <c r="S39" s="1285"/>
    </row>
    <row r="40" spans="1:19" ht="13.5" thickBot="1" x14ac:dyDescent="0.25">
      <c r="A40" s="2"/>
      <c r="B40" s="692"/>
      <c r="C40" s="375"/>
      <c r="D40" s="1671" t="s">
        <v>625</v>
      </c>
      <c r="E40" s="1671"/>
      <c r="F40" s="1009">
        <v>0</v>
      </c>
      <c r="G40" s="1007">
        <f>F40*12/F$13+J40*F40*12/F$13</f>
        <v>0</v>
      </c>
      <c r="H40" s="1514">
        <f t="shared" si="1"/>
        <v>0</v>
      </c>
      <c r="I40" s="1301"/>
      <c r="J40" s="1271">
        <v>0.03</v>
      </c>
      <c r="K40" s="1271">
        <f>J40</f>
        <v>0.03</v>
      </c>
      <c r="L40" s="1284"/>
      <c r="M40" s="1284"/>
      <c r="N40" s="1284"/>
      <c r="O40" s="1284"/>
      <c r="P40" s="1284"/>
      <c r="Q40" s="1284"/>
      <c r="R40" s="1284"/>
      <c r="S40" s="1285"/>
    </row>
    <row r="41" spans="1:19" ht="13.5" thickBot="1" x14ac:dyDescent="0.25">
      <c r="A41" s="168"/>
      <c r="B41" s="691" t="s">
        <v>114</v>
      </c>
      <c r="C41" s="163" t="s">
        <v>11</v>
      </c>
      <c r="D41" s="702" t="s">
        <v>275</v>
      </c>
      <c r="E41" s="369"/>
      <c r="F41" s="764">
        <f>SUM(F42:F46)</f>
        <v>0</v>
      </c>
      <c r="G41" s="764">
        <f>SUM(G42:G46)</f>
        <v>0</v>
      </c>
      <c r="H41" s="1512">
        <f>SUM(H42:H46)</f>
        <v>0</v>
      </c>
      <c r="I41" s="1301"/>
      <c r="J41" s="1417">
        <f>G$12</f>
        <v>2024</v>
      </c>
      <c r="K41" s="1418">
        <f>H$12</f>
        <v>2025</v>
      </c>
      <c r="L41" s="1284"/>
      <c r="M41" s="1284"/>
      <c r="N41" s="1284"/>
      <c r="O41" s="1284"/>
      <c r="P41" s="1284"/>
      <c r="Q41" s="1284"/>
      <c r="R41" s="1284"/>
      <c r="S41" s="1285"/>
    </row>
    <row r="42" spans="1:19" x14ac:dyDescent="0.2">
      <c r="B42" s="692"/>
      <c r="C42" s="163"/>
      <c r="D42" s="368" t="s">
        <v>270</v>
      </c>
      <c r="E42" s="330"/>
      <c r="F42" s="1015">
        <v>0</v>
      </c>
      <c r="G42" s="1015">
        <f>F42*12/F$13+J42*F42*12/F$13</f>
        <v>0</v>
      </c>
      <c r="H42" s="1525">
        <f t="shared" ref="H42:H46" si="2">G42 +G42*K42</f>
        <v>0</v>
      </c>
      <c r="I42" s="1301"/>
      <c r="J42" s="1271">
        <v>0.03</v>
      </c>
      <c r="K42" s="1271">
        <f>J42</f>
        <v>0.03</v>
      </c>
      <c r="L42" s="1284"/>
      <c r="M42" s="1284"/>
      <c r="N42" s="1284"/>
      <c r="O42" s="1284"/>
      <c r="P42" s="1284"/>
      <c r="Q42" s="1284"/>
      <c r="R42" s="1284"/>
      <c r="S42" s="1285"/>
    </row>
    <row r="43" spans="1:19" x14ac:dyDescent="0.2">
      <c r="A43" s="168"/>
      <c r="B43" s="692"/>
      <c r="C43" s="163"/>
      <c r="D43" s="368" t="s">
        <v>271</v>
      </c>
      <c r="E43" s="330"/>
      <c r="F43" s="1007">
        <v>0</v>
      </c>
      <c r="G43" s="1007">
        <f>F43*12/F$13+J43*F43*12/F$13</f>
        <v>0</v>
      </c>
      <c r="H43" s="1514">
        <f t="shared" si="2"/>
        <v>0</v>
      </c>
      <c r="I43" s="1301"/>
      <c r="J43" s="1271">
        <v>0.03</v>
      </c>
      <c r="K43" s="1271">
        <f>J43</f>
        <v>0.03</v>
      </c>
      <c r="L43" s="1284"/>
      <c r="M43" s="1284"/>
      <c r="N43" s="1284"/>
      <c r="O43" s="1284"/>
      <c r="P43" s="1284"/>
      <c r="Q43" s="1284"/>
      <c r="R43" s="1284"/>
      <c r="S43" s="1285"/>
    </row>
    <row r="44" spans="1:19" x14ac:dyDescent="0.2">
      <c r="A44" s="2"/>
      <c r="B44" s="692"/>
      <c r="C44" s="163"/>
      <c r="D44" s="368" t="s">
        <v>272</v>
      </c>
      <c r="E44" s="330"/>
      <c r="F44" s="1007">
        <v>0</v>
      </c>
      <c r="G44" s="1007">
        <f>F44*12/F$13+J44*F44*12/F$13</f>
        <v>0</v>
      </c>
      <c r="H44" s="1514">
        <f t="shared" si="2"/>
        <v>0</v>
      </c>
      <c r="I44" s="1301"/>
      <c r="J44" s="1271">
        <v>0.03</v>
      </c>
      <c r="K44" s="1271">
        <f>J44</f>
        <v>0.03</v>
      </c>
      <c r="L44" s="1284"/>
      <c r="M44" s="1284"/>
      <c r="N44" s="1284"/>
      <c r="O44" s="1284"/>
      <c r="P44" s="1284"/>
      <c r="Q44" s="1284"/>
      <c r="R44" s="1284"/>
      <c r="S44" s="1285"/>
    </row>
    <row r="45" spans="1:19" x14ac:dyDescent="0.2">
      <c r="B45" s="692"/>
      <c r="C45" s="163"/>
      <c r="D45" s="368" t="s">
        <v>273</v>
      </c>
      <c r="E45" s="330"/>
      <c r="F45" s="1007">
        <v>0</v>
      </c>
      <c r="G45" s="1007">
        <f>F45*12/F$13+J45*F45*12/F$13</f>
        <v>0</v>
      </c>
      <c r="H45" s="1514">
        <f t="shared" si="2"/>
        <v>0</v>
      </c>
      <c r="I45" s="1301"/>
      <c r="J45" s="1271">
        <v>0.03</v>
      </c>
      <c r="K45" s="1271">
        <f>J45</f>
        <v>0.03</v>
      </c>
      <c r="L45" s="1284"/>
      <c r="M45" s="1284"/>
      <c r="N45" s="1284"/>
      <c r="O45" s="1284"/>
      <c r="P45" s="1284"/>
      <c r="Q45" s="1284"/>
      <c r="R45" s="1284"/>
      <c r="S45" s="1285"/>
    </row>
    <row r="46" spans="1:19" ht="13.5" thickBot="1" x14ac:dyDescent="0.25">
      <c r="A46" s="168"/>
      <c r="B46" s="692"/>
      <c r="C46" s="375"/>
      <c r="D46" s="1671" t="s">
        <v>274</v>
      </c>
      <c r="E46" s="1671"/>
      <c r="F46" s="1009">
        <v>0</v>
      </c>
      <c r="G46" s="1009">
        <f>F46*12/F$13+J46*F46*12/F$13</f>
        <v>0</v>
      </c>
      <c r="H46" s="1516">
        <f t="shared" si="2"/>
        <v>0</v>
      </c>
      <c r="I46" s="1301"/>
      <c r="J46" s="1271">
        <v>0.03</v>
      </c>
      <c r="K46" s="1271">
        <f>J46</f>
        <v>0.03</v>
      </c>
      <c r="L46" s="1284"/>
      <c r="M46" s="1284"/>
      <c r="N46" s="1284"/>
      <c r="O46" s="1284"/>
      <c r="P46" s="1284"/>
      <c r="Q46" s="1284"/>
      <c r="R46" s="1284"/>
      <c r="S46" s="1285"/>
    </row>
    <row r="47" spans="1:19" ht="13.5" thickBot="1" x14ac:dyDescent="0.25">
      <c r="B47" s="691" t="s">
        <v>115</v>
      </c>
      <c r="C47" s="163" t="s">
        <v>12</v>
      </c>
      <c r="D47" s="702" t="s">
        <v>848</v>
      </c>
      <c r="E47" s="369"/>
      <c r="F47" s="764">
        <f>F48+F51+F52+F53+F54+F55+F56+F57*0.003*F13/12+F58</f>
        <v>0</v>
      </c>
      <c r="G47" s="764">
        <f>G48+G51+G52+G53+G54+G55+G56+G57*0.003+G58</f>
        <v>0</v>
      </c>
      <c r="H47" s="1512">
        <f>H48+H51+H52+H53+H54+H55+H56+H57*0.003+H58</f>
        <v>0</v>
      </c>
      <c r="I47" s="1301"/>
      <c r="J47" s="1304"/>
      <c r="K47" s="1289"/>
      <c r="L47" s="1284"/>
      <c r="M47" s="1284"/>
      <c r="N47" s="1284"/>
      <c r="O47" s="1284"/>
      <c r="P47" s="1284"/>
      <c r="Q47" s="1284"/>
      <c r="R47" s="1284"/>
      <c r="S47" s="1285"/>
    </row>
    <row r="48" spans="1:19" x14ac:dyDescent="0.2">
      <c r="A48" s="168"/>
      <c r="B48" s="692" t="s">
        <v>0</v>
      </c>
      <c r="C48" s="163">
        <v>0</v>
      </c>
      <c r="D48" s="368" t="s">
        <v>276</v>
      </c>
      <c r="E48" s="368"/>
      <c r="F48" s="776">
        <f>F50*F49</f>
        <v>0</v>
      </c>
      <c r="G48" s="776">
        <f>G50*G49</f>
        <v>0</v>
      </c>
      <c r="H48" s="1521">
        <f>H50*H49</f>
        <v>0</v>
      </c>
      <c r="I48" s="1301"/>
      <c r="J48" s="1417">
        <f>G$12</f>
        <v>2024</v>
      </c>
      <c r="K48" s="1418">
        <f>H$12</f>
        <v>2025</v>
      </c>
      <c r="L48" s="1284"/>
      <c r="M48" s="1284" t="s">
        <v>666</v>
      </c>
      <c r="N48" s="1284"/>
      <c r="O48" s="1284"/>
      <c r="P48" s="1284"/>
      <c r="Q48" s="1284"/>
      <c r="R48" s="1284"/>
      <c r="S48" s="1285"/>
    </row>
    <row r="49" spans="1:19" x14ac:dyDescent="0.2">
      <c r="A49" s="2"/>
      <c r="B49" s="692" t="s">
        <v>0</v>
      </c>
      <c r="C49" s="163"/>
      <c r="D49" s="368" t="s">
        <v>277</v>
      </c>
      <c r="E49" s="368"/>
      <c r="F49" s="1007">
        <v>0</v>
      </c>
      <c r="G49" s="1007">
        <f>F49 +F49*J49</f>
        <v>0</v>
      </c>
      <c r="H49" s="1514">
        <f>G49 +G49*K49</f>
        <v>0</v>
      </c>
      <c r="I49" s="1300"/>
      <c r="J49" s="1271">
        <v>0.03</v>
      </c>
      <c r="K49" s="1271">
        <f>J49</f>
        <v>0.03</v>
      </c>
      <c r="L49" s="1284"/>
      <c r="M49" s="1284"/>
      <c r="N49" s="1284"/>
      <c r="O49" s="1284"/>
      <c r="P49" s="1284"/>
      <c r="Q49" s="1284"/>
      <c r="R49" s="1284"/>
      <c r="S49" s="1285"/>
    </row>
    <row r="50" spans="1:19" x14ac:dyDescent="0.2">
      <c r="B50" s="692" t="s">
        <v>0</v>
      </c>
      <c r="C50" s="163"/>
      <c r="D50" s="368" t="s">
        <v>743</v>
      </c>
      <c r="E50" s="368"/>
      <c r="F50" s="1016">
        <f>F13</f>
        <v>12</v>
      </c>
      <c r="G50" s="1016">
        <v>12</v>
      </c>
      <c r="H50" s="1526">
        <f>G50</f>
        <v>12</v>
      </c>
      <c r="I50" s="1506"/>
      <c r="J50" s="1417">
        <f>G$12</f>
        <v>2024</v>
      </c>
      <c r="K50" s="1418">
        <f>H$12</f>
        <v>2025</v>
      </c>
      <c r="L50" s="1284"/>
      <c r="M50" s="1284"/>
      <c r="N50" s="1284"/>
      <c r="O50" s="1284"/>
      <c r="P50" s="1284"/>
      <c r="Q50" s="1284"/>
      <c r="R50" s="1284"/>
      <c r="S50" s="1285"/>
    </row>
    <row r="51" spans="1:19" x14ac:dyDescent="0.2">
      <c r="B51" s="692"/>
      <c r="C51" s="163"/>
      <c r="D51" s="368" t="s">
        <v>278</v>
      </c>
      <c r="E51" s="330"/>
      <c r="F51" s="1007">
        <v>0</v>
      </c>
      <c r="G51" s="1007">
        <f t="shared" ref="G51:G56" si="3">F51*12/F$13+J51*F51*12/F$13</f>
        <v>0</v>
      </c>
      <c r="H51" s="1514">
        <f t="shared" ref="H51:H58" si="4">G51 +G51*K51</f>
        <v>0</v>
      </c>
      <c r="I51" s="1507"/>
      <c r="J51" s="1271">
        <v>0.03</v>
      </c>
      <c r="K51" s="1271">
        <f t="shared" ref="K51:K58" si="5">J51</f>
        <v>0.03</v>
      </c>
      <c r="L51" s="1284"/>
      <c r="M51" s="1284"/>
      <c r="N51" s="1284"/>
      <c r="O51" s="1284"/>
      <c r="P51" s="1284"/>
      <c r="Q51" s="1284"/>
      <c r="R51" s="1284"/>
      <c r="S51" s="1285"/>
    </row>
    <row r="52" spans="1:19" x14ac:dyDescent="0.2">
      <c r="B52" s="692"/>
      <c r="C52" s="163"/>
      <c r="D52" s="368" t="s">
        <v>279</v>
      </c>
      <c r="E52" s="330"/>
      <c r="F52" s="1007">
        <v>0</v>
      </c>
      <c r="G52" s="1007">
        <f t="shared" si="3"/>
        <v>0</v>
      </c>
      <c r="H52" s="1514">
        <f t="shared" si="4"/>
        <v>0</v>
      </c>
      <c r="I52" s="1507"/>
      <c r="J52" s="1271">
        <v>0.03</v>
      </c>
      <c r="K52" s="1271">
        <f t="shared" si="5"/>
        <v>0.03</v>
      </c>
      <c r="L52" s="1284"/>
      <c r="M52" s="1284"/>
      <c r="N52" s="1284"/>
      <c r="O52" s="1284"/>
      <c r="P52" s="1284"/>
      <c r="Q52" s="1284"/>
      <c r="R52" s="1284"/>
      <c r="S52" s="1285"/>
    </row>
    <row r="53" spans="1:19" x14ac:dyDescent="0.2">
      <c r="B53" s="692"/>
      <c r="C53" s="163"/>
      <c r="D53" s="368" t="s">
        <v>280</v>
      </c>
      <c r="E53" s="330"/>
      <c r="F53" s="1007">
        <v>0</v>
      </c>
      <c r="G53" s="1007">
        <f t="shared" si="3"/>
        <v>0</v>
      </c>
      <c r="H53" s="1514">
        <f t="shared" si="4"/>
        <v>0</v>
      </c>
      <c r="I53" s="1507"/>
      <c r="J53" s="1271">
        <v>0.03</v>
      </c>
      <c r="K53" s="1271">
        <f t="shared" si="5"/>
        <v>0.03</v>
      </c>
      <c r="L53" s="1284"/>
      <c r="M53" s="1284"/>
      <c r="N53" s="1284"/>
      <c r="O53" s="1284"/>
      <c r="P53" s="1284"/>
      <c r="Q53" s="1284"/>
      <c r="R53" s="1284"/>
      <c r="S53" s="1285"/>
    </row>
    <row r="54" spans="1:19" x14ac:dyDescent="0.2">
      <c r="B54" s="692"/>
      <c r="C54" s="163"/>
      <c r="D54" s="368" t="s">
        <v>281</v>
      </c>
      <c r="E54" s="330"/>
      <c r="F54" s="1007">
        <v>0</v>
      </c>
      <c r="G54" s="1007">
        <f t="shared" si="3"/>
        <v>0</v>
      </c>
      <c r="H54" s="1514">
        <f t="shared" si="4"/>
        <v>0</v>
      </c>
      <c r="I54" s="1507"/>
      <c r="J54" s="1271">
        <v>0.03</v>
      </c>
      <c r="K54" s="1271">
        <f t="shared" si="5"/>
        <v>0.03</v>
      </c>
      <c r="L54" s="1284"/>
      <c r="M54" s="1284"/>
      <c r="N54" s="1284"/>
      <c r="O54" s="1284"/>
      <c r="P54" s="1284"/>
      <c r="Q54" s="1284"/>
      <c r="R54" s="1284"/>
      <c r="S54" s="1285"/>
    </row>
    <row r="55" spans="1:19" x14ac:dyDescent="0.2">
      <c r="B55" s="692"/>
      <c r="C55" s="163"/>
      <c r="D55" s="368" t="s">
        <v>282</v>
      </c>
      <c r="E55" s="330"/>
      <c r="F55" s="1007">
        <v>0</v>
      </c>
      <c r="G55" s="1007">
        <f t="shared" si="3"/>
        <v>0</v>
      </c>
      <c r="H55" s="1514">
        <f t="shared" si="4"/>
        <v>0</v>
      </c>
      <c r="I55" s="1507"/>
      <c r="J55" s="1271">
        <v>0.03</v>
      </c>
      <c r="K55" s="1271">
        <f t="shared" si="5"/>
        <v>0.03</v>
      </c>
      <c r="L55" s="1284"/>
      <c r="M55" s="1284"/>
      <c r="N55" s="1284"/>
      <c r="O55" s="1284"/>
      <c r="P55" s="1284"/>
      <c r="Q55" s="1284"/>
      <c r="R55" s="1284"/>
      <c r="S55" s="1285"/>
    </row>
    <row r="56" spans="1:19" x14ac:dyDescent="0.2">
      <c r="B56" s="692"/>
      <c r="C56" s="163"/>
      <c r="D56" s="1674" t="s">
        <v>283</v>
      </c>
      <c r="E56" s="1674"/>
      <c r="F56" s="1007">
        <v>0</v>
      </c>
      <c r="G56" s="1007">
        <f t="shared" si="3"/>
        <v>0</v>
      </c>
      <c r="H56" s="1514">
        <f>G56 +G56*K56</f>
        <v>0</v>
      </c>
      <c r="I56" s="1507"/>
      <c r="J56" s="1271">
        <v>0.03</v>
      </c>
      <c r="K56" s="1271">
        <f t="shared" si="5"/>
        <v>0.03</v>
      </c>
      <c r="L56" s="1284"/>
      <c r="M56" s="1284"/>
      <c r="N56" s="1284"/>
      <c r="O56" s="1284"/>
      <c r="P56" s="1284"/>
      <c r="Q56" s="1284"/>
      <c r="R56" s="1284"/>
      <c r="S56" s="1285"/>
    </row>
    <row r="57" spans="1:19" x14ac:dyDescent="0.2">
      <c r="B57" s="692"/>
      <c r="C57" s="163"/>
      <c r="D57" s="1674" t="s">
        <v>284</v>
      </c>
      <c r="E57" s="1674"/>
      <c r="F57" s="1007">
        <v>0</v>
      </c>
      <c r="G57" s="1007">
        <f>F57 +F57*J57</f>
        <v>0</v>
      </c>
      <c r="H57" s="1514">
        <f>G57 +G57*K57</f>
        <v>0</v>
      </c>
      <c r="I57" s="1507"/>
      <c r="J57" s="1271">
        <v>0.03</v>
      </c>
      <c r="K57" s="1271">
        <f t="shared" si="5"/>
        <v>0.03</v>
      </c>
      <c r="L57" s="1284"/>
      <c r="M57" s="1284"/>
      <c r="N57" s="1284"/>
      <c r="O57" s="1284"/>
      <c r="P57" s="1284"/>
      <c r="Q57" s="1284"/>
      <c r="R57" s="1284"/>
      <c r="S57" s="1285"/>
    </row>
    <row r="58" spans="1:19" ht="13.5" thickBot="1" x14ac:dyDescent="0.25">
      <c r="B58" s="692"/>
      <c r="C58" s="375"/>
      <c r="D58" s="1671" t="s">
        <v>285</v>
      </c>
      <c r="E58" s="1671"/>
      <c r="F58" s="1009">
        <v>0</v>
      </c>
      <c r="G58" s="1009">
        <f>F58*12/F$13+J58*F58*12/F$13</f>
        <v>0</v>
      </c>
      <c r="H58" s="1516">
        <f t="shared" si="4"/>
        <v>0</v>
      </c>
      <c r="I58" s="1507"/>
      <c r="J58" s="1271">
        <v>0.03</v>
      </c>
      <c r="K58" s="1271">
        <f t="shared" si="5"/>
        <v>0.03</v>
      </c>
      <c r="L58" s="1284"/>
      <c r="M58" s="1284"/>
      <c r="N58" s="1284"/>
      <c r="O58" s="1284"/>
      <c r="P58" s="1284"/>
      <c r="Q58" s="1284"/>
      <c r="R58" s="1284"/>
      <c r="S58" s="1285"/>
    </row>
    <row r="59" spans="1:19" x14ac:dyDescent="0.2">
      <c r="B59" s="691" t="s">
        <v>116</v>
      </c>
      <c r="C59" s="163" t="s">
        <v>13</v>
      </c>
      <c r="D59" s="703" t="s">
        <v>286</v>
      </c>
      <c r="E59" s="1026">
        <v>0.3</v>
      </c>
      <c r="F59" s="774">
        <f>IF(F60=0,0,F13*'YP Lainat ja avustukset'!$G60/12)</f>
        <v>0</v>
      </c>
      <c r="G59" s="774">
        <f>IF(G60=0,0,G13*'YP Lainat ja avustukset'!$G60/12)</f>
        <v>0</v>
      </c>
      <c r="H59" s="1520">
        <f>IF(H60=0,0,H13*'YP Lainat ja avustukset'!$G60/12)</f>
        <v>0</v>
      </c>
      <c r="I59" s="1299"/>
      <c r="J59" s="1412"/>
      <c r="K59" s="1339"/>
      <c r="L59" s="1339"/>
      <c r="M59" s="1339"/>
      <c r="N59" s="1339"/>
      <c r="O59" s="1284"/>
      <c r="P59" s="1284"/>
      <c r="Q59" s="1284"/>
      <c r="R59" s="1284"/>
      <c r="S59" s="1285"/>
    </row>
    <row r="60" spans="1:19" ht="13.5" thickBot="1" x14ac:dyDescent="0.25">
      <c r="B60" s="692"/>
      <c r="C60" s="375"/>
      <c r="D60" s="1671" t="s">
        <v>287</v>
      </c>
      <c r="E60" s="1680"/>
      <c r="F60" s="775">
        <f>'FS3 Resultat'!K21</f>
        <v>0</v>
      </c>
      <c r="G60" s="775">
        <f>IF('FS3 Resultat'!I21&gt;1,F60,0)</f>
        <v>0</v>
      </c>
      <c r="H60" s="1527">
        <f>IF('FS3 Resultat'!I21&gt;2,G60,0)</f>
        <v>0</v>
      </c>
      <c r="I60" s="1299"/>
      <c r="J60" s="1413"/>
      <c r="K60" s="1414"/>
      <c r="L60" s="1339"/>
      <c r="M60" s="1339"/>
      <c r="N60" s="1339"/>
      <c r="O60" s="1284"/>
      <c r="P60" s="1284"/>
      <c r="Q60" s="1284"/>
      <c r="R60" s="1284"/>
      <c r="S60" s="1285"/>
    </row>
    <row r="61" spans="1:19" ht="13.5" thickBot="1" x14ac:dyDescent="0.25">
      <c r="B61" s="691" t="s">
        <v>117</v>
      </c>
      <c r="C61" s="163" t="s">
        <v>758</v>
      </c>
      <c r="D61" s="1675" t="s">
        <v>291</v>
      </c>
      <c r="E61" s="1675"/>
      <c r="F61" s="764">
        <f>F62*F63*F64+F65+F66+F67</f>
        <v>0</v>
      </c>
      <c r="G61" s="764">
        <f>G62*G63*G64+G65+G66+G67</f>
        <v>0</v>
      </c>
      <c r="H61" s="1512">
        <f>H62*H63*H64+H65+H66+H67</f>
        <v>0</v>
      </c>
      <c r="I61" s="1299"/>
      <c r="J61" s="1419">
        <f>G$12</f>
        <v>2024</v>
      </c>
      <c r="K61" s="1418">
        <f>H$12</f>
        <v>2025</v>
      </c>
      <c r="L61" s="1284"/>
      <c r="M61" s="1284"/>
      <c r="N61" s="1284"/>
      <c r="O61" s="1284"/>
      <c r="P61" s="1284"/>
      <c r="Q61" s="1284"/>
      <c r="R61" s="1284"/>
      <c r="S61" s="1285"/>
    </row>
    <row r="62" spans="1:19" x14ac:dyDescent="0.2">
      <c r="B62" s="692"/>
      <c r="C62" s="163"/>
      <c r="D62" s="368" t="s">
        <v>757</v>
      </c>
      <c r="E62" s="714"/>
      <c r="F62" s="1015">
        <v>0</v>
      </c>
      <c r="G62" s="1015">
        <f>F62*12/F$13+J62*F62*12/F$13</f>
        <v>0</v>
      </c>
      <c r="H62" s="1525">
        <f t="shared" ref="H62" si="6">G62 +G62*K62</f>
        <v>0</v>
      </c>
      <c r="I62" s="1299"/>
      <c r="J62" s="1271">
        <v>0.03</v>
      </c>
      <c r="K62" s="1271">
        <f>J62</f>
        <v>0.03</v>
      </c>
      <c r="L62" s="1284"/>
      <c r="M62" s="1284"/>
      <c r="N62" s="1284"/>
      <c r="O62" s="1284"/>
      <c r="P62" s="1284"/>
      <c r="Q62" s="1284"/>
      <c r="R62" s="1284"/>
      <c r="S62" s="1285"/>
    </row>
    <row r="63" spans="1:19" x14ac:dyDescent="0.2">
      <c r="B63" s="692"/>
      <c r="C63" s="163"/>
      <c r="D63" s="368" t="s">
        <v>846</v>
      </c>
      <c r="E63" s="714"/>
      <c r="F63" s="1017">
        <v>0</v>
      </c>
      <c r="G63" s="1017">
        <f>F63</f>
        <v>0</v>
      </c>
      <c r="H63" s="1528">
        <f>G63</f>
        <v>0</v>
      </c>
      <c r="I63" s="1299"/>
      <c r="J63" s="1419">
        <f>G$12</f>
        <v>2024</v>
      </c>
      <c r="K63" s="1418">
        <f>H$12</f>
        <v>2025</v>
      </c>
      <c r="L63" s="1284"/>
      <c r="M63" s="1284"/>
      <c r="N63" s="1284"/>
      <c r="O63" s="1284"/>
      <c r="P63" s="1284"/>
      <c r="Q63" s="1284"/>
      <c r="R63" s="1284"/>
      <c r="S63" s="1285"/>
    </row>
    <row r="64" spans="1:19" x14ac:dyDescent="0.2">
      <c r="B64" s="692"/>
      <c r="C64" s="163"/>
      <c r="D64" s="368" t="s">
        <v>847</v>
      </c>
      <c r="E64" s="714"/>
      <c r="F64" s="1017">
        <v>0</v>
      </c>
      <c r="G64" s="778">
        <f t="shared" ref="G64:H67" si="7">F64 +F64*J64</f>
        <v>0</v>
      </c>
      <c r="H64" s="1529">
        <f t="shared" si="7"/>
        <v>0</v>
      </c>
      <c r="I64" s="1299"/>
      <c r="J64" s="1271">
        <v>0.03</v>
      </c>
      <c r="K64" s="1271">
        <f>J64</f>
        <v>0.03</v>
      </c>
      <c r="L64" s="1284"/>
      <c r="M64" s="1284"/>
      <c r="N64" s="1284"/>
      <c r="O64" s="1284"/>
      <c r="P64" s="1284"/>
      <c r="Q64" s="1284"/>
      <c r="R64" s="1284"/>
      <c r="S64" s="1285"/>
    </row>
    <row r="65" spans="1:19" x14ac:dyDescent="0.2">
      <c r="B65" s="692"/>
      <c r="C65" s="163"/>
      <c r="D65" s="368" t="s">
        <v>288</v>
      </c>
      <c r="E65" s="714"/>
      <c r="F65" s="1015">
        <v>0</v>
      </c>
      <c r="G65" s="1007">
        <f>F65*12/F$13+J65*F65*12/F$13</f>
        <v>0</v>
      </c>
      <c r="H65" s="1514">
        <f t="shared" si="7"/>
        <v>0</v>
      </c>
      <c r="I65" s="1299"/>
      <c r="J65" s="1271">
        <v>0.03</v>
      </c>
      <c r="K65" s="1271">
        <f>J65</f>
        <v>0.03</v>
      </c>
      <c r="L65" s="1284"/>
      <c r="M65" s="1284"/>
      <c r="N65" s="1284"/>
      <c r="O65" s="1284"/>
      <c r="P65" s="1284"/>
      <c r="Q65" s="1284"/>
      <c r="R65" s="1284"/>
      <c r="S65" s="1285"/>
    </row>
    <row r="66" spans="1:19" x14ac:dyDescent="0.2">
      <c r="B66" s="692"/>
      <c r="C66" s="163"/>
      <c r="D66" s="368" t="s">
        <v>289</v>
      </c>
      <c r="E66" s="714"/>
      <c r="F66" s="1015">
        <v>0</v>
      </c>
      <c r="G66" s="1007">
        <f>F66*12/F$13+J66*F66*12/F$13</f>
        <v>0</v>
      </c>
      <c r="H66" s="1514">
        <f t="shared" si="7"/>
        <v>0</v>
      </c>
      <c r="I66" s="1299"/>
      <c r="J66" s="1271">
        <v>0.03</v>
      </c>
      <c r="K66" s="1271">
        <f>J66</f>
        <v>0.03</v>
      </c>
      <c r="L66" s="1284"/>
      <c r="M66" s="1284"/>
      <c r="N66" s="1284"/>
      <c r="O66" s="1284"/>
      <c r="P66" s="1284"/>
      <c r="Q66" s="1284"/>
      <c r="R66" s="1284"/>
      <c r="S66" s="1285"/>
    </row>
    <row r="67" spans="1:19" ht="13.5" thickBot="1" x14ac:dyDescent="0.25">
      <c r="B67" s="692"/>
      <c r="C67" s="375"/>
      <c r="D67" s="359" t="s">
        <v>290</v>
      </c>
      <c r="E67" s="715"/>
      <c r="F67" s="1009">
        <v>0</v>
      </c>
      <c r="G67" s="1009">
        <f>F67*12/F$13+J67*F67*12/F$13</f>
        <v>0</v>
      </c>
      <c r="H67" s="1516">
        <f t="shared" si="7"/>
        <v>0</v>
      </c>
      <c r="I67" s="1299"/>
      <c r="J67" s="1271">
        <v>0.03</v>
      </c>
      <c r="K67" s="1271">
        <f>J67</f>
        <v>0.03</v>
      </c>
      <c r="L67" s="1284"/>
      <c r="M67" s="1284"/>
      <c r="N67" s="1284"/>
      <c r="O67" s="1284"/>
      <c r="P67" s="1284"/>
      <c r="Q67" s="1284"/>
      <c r="R67" s="1284"/>
      <c r="S67" s="1285"/>
    </row>
    <row r="68" spans="1:19" ht="13.5" thickBot="1" x14ac:dyDescent="0.25">
      <c r="B68" s="691" t="s">
        <v>118</v>
      </c>
      <c r="C68" s="721" t="s">
        <v>759</v>
      </c>
      <c r="D68" s="702" t="s">
        <v>296</v>
      </c>
      <c r="E68" s="367"/>
      <c r="F68" s="764">
        <f>SUM(F69:F72)</f>
        <v>0</v>
      </c>
      <c r="G68" s="764">
        <f>SUM(G69:G72)</f>
        <v>0</v>
      </c>
      <c r="H68" s="1512">
        <f>SUM(H69:H72)</f>
        <v>0</v>
      </c>
      <c r="I68" s="1299"/>
      <c r="J68" s="1417">
        <f>G$12</f>
        <v>2024</v>
      </c>
      <c r="K68" s="1418">
        <f>H$12</f>
        <v>2025</v>
      </c>
      <c r="L68" s="1284"/>
      <c r="M68" s="1284"/>
      <c r="N68" s="1284"/>
      <c r="O68" s="1284"/>
      <c r="P68" s="1284"/>
      <c r="Q68" s="1284"/>
      <c r="R68" s="1284"/>
      <c r="S68" s="1285"/>
    </row>
    <row r="69" spans="1:19" x14ac:dyDescent="0.2">
      <c r="B69" s="692"/>
      <c r="C69" s="163"/>
      <c r="D69" s="368" t="s">
        <v>292</v>
      </c>
      <c r="E69" s="368"/>
      <c r="F69" s="1015">
        <v>0</v>
      </c>
      <c r="G69" s="1015">
        <f>F69*12/F$13+J69*F69*12/F$13</f>
        <v>0</v>
      </c>
      <c r="H69" s="1525">
        <f t="shared" ref="H69:H72" si="8">G69 +G69*K69</f>
        <v>0</v>
      </c>
      <c r="I69" s="1299"/>
      <c r="J69" s="1271">
        <v>0.03</v>
      </c>
      <c r="K69" s="1271">
        <f>J69</f>
        <v>0.03</v>
      </c>
      <c r="L69" s="1284"/>
      <c r="M69" s="1284"/>
      <c r="N69" s="1284"/>
      <c r="O69" s="1284"/>
      <c r="P69" s="1284"/>
      <c r="Q69" s="1284"/>
      <c r="R69" s="1284"/>
      <c r="S69" s="1285"/>
    </row>
    <row r="70" spans="1:19" x14ac:dyDescent="0.2">
      <c r="B70" s="692"/>
      <c r="C70" s="163"/>
      <c r="D70" s="368" t="s">
        <v>293</v>
      </c>
      <c r="E70" s="368"/>
      <c r="F70" s="1007">
        <v>0</v>
      </c>
      <c r="G70" s="1007">
        <f>F70*12/F$13+J70*F70*12/F$13</f>
        <v>0</v>
      </c>
      <c r="H70" s="1514">
        <f t="shared" si="8"/>
        <v>0</v>
      </c>
      <c r="I70" s="1299"/>
      <c r="J70" s="1271">
        <v>0.03</v>
      </c>
      <c r="K70" s="1271">
        <f>J70</f>
        <v>0.03</v>
      </c>
      <c r="L70" s="1284"/>
      <c r="M70" s="1284"/>
      <c r="N70" s="1284"/>
      <c r="O70" s="1284"/>
      <c r="P70" s="1284"/>
      <c r="Q70" s="1284"/>
      <c r="R70" s="1284"/>
      <c r="S70" s="1285"/>
    </row>
    <row r="71" spans="1:19" x14ac:dyDescent="0.2">
      <c r="B71" s="692"/>
      <c r="C71" s="163"/>
      <c r="D71" s="368" t="s">
        <v>294</v>
      </c>
      <c r="E71" s="368"/>
      <c r="F71" s="1007">
        <v>0</v>
      </c>
      <c r="G71" s="1007">
        <f>F71*12/F$13+J71*F71*12/F$13</f>
        <v>0</v>
      </c>
      <c r="H71" s="1514">
        <f t="shared" si="8"/>
        <v>0</v>
      </c>
      <c r="I71" s="1299"/>
      <c r="J71" s="1271">
        <v>0.03</v>
      </c>
      <c r="K71" s="1271">
        <f>J71</f>
        <v>0.03</v>
      </c>
      <c r="L71" s="1284"/>
      <c r="M71" s="1284"/>
      <c r="N71" s="1284"/>
      <c r="O71" s="1284"/>
      <c r="P71" s="1284"/>
      <c r="Q71" s="1284"/>
      <c r="R71" s="1284"/>
      <c r="S71" s="1285"/>
    </row>
    <row r="72" spans="1:19" ht="13.5" thickBot="1" x14ac:dyDescent="0.25">
      <c r="B72" s="692"/>
      <c r="C72" s="375"/>
      <c r="D72" s="359" t="s">
        <v>295</v>
      </c>
      <c r="E72" s="359"/>
      <c r="F72" s="1009">
        <v>0</v>
      </c>
      <c r="G72" s="1007">
        <f>F72*12/F$13+J72*F72*12/F$13</f>
        <v>0</v>
      </c>
      <c r="H72" s="1514">
        <f t="shared" si="8"/>
        <v>0</v>
      </c>
      <c r="I72" s="1299"/>
      <c r="J72" s="1271">
        <v>0.03</v>
      </c>
      <c r="K72" s="1271">
        <f>J72</f>
        <v>0.03</v>
      </c>
      <c r="L72" s="1284"/>
      <c r="M72" s="1284"/>
      <c r="N72" s="1284"/>
      <c r="O72" s="1284"/>
      <c r="P72" s="1284"/>
      <c r="Q72" s="1284"/>
      <c r="R72" s="1284"/>
      <c r="S72" s="1285"/>
    </row>
    <row r="73" spans="1:19" ht="13.5" thickBot="1" x14ac:dyDescent="0.25">
      <c r="B73" s="691" t="s">
        <v>119</v>
      </c>
      <c r="C73" s="163" t="s">
        <v>760</v>
      </c>
      <c r="D73" s="702" t="s">
        <v>299</v>
      </c>
      <c r="E73" s="367"/>
      <c r="F73" s="764">
        <f>SUM(F74:F77)</f>
        <v>0</v>
      </c>
      <c r="G73" s="764">
        <f>SUM(G74:G77)</f>
        <v>0</v>
      </c>
      <c r="H73" s="1512">
        <f>SUM(H74:H77)</f>
        <v>0</v>
      </c>
      <c r="I73" s="1299"/>
      <c r="J73" s="1417">
        <f>G$12</f>
        <v>2024</v>
      </c>
      <c r="K73" s="1418">
        <f>H$12</f>
        <v>2025</v>
      </c>
      <c r="L73" s="1284"/>
      <c r="M73" s="1284"/>
      <c r="N73" s="1284"/>
      <c r="O73" s="1284"/>
      <c r="P73" s="1284"/>
      <c r="Q73" s="1284"/>
      <c r="R73" s="1284"/>
      <c r="S73" s="1285"/>
    </row>
    <row r="74" spans="1:19" x14ac:dyDescent="0.2">
      <c r="B74" s="692"/>
      <c r="C74" s="163"/>
      <c r="D74" s="368" t="s">
        <v>741</v>
      </c>
      <c r="E74" s="368"/>
      <c r="F74" s="1015">
        <v>0</v>
      </c>
      <c r="G74" s="1015">
        <f>F74*12/F$13+J74*F74*12/F$13</f>
        <v>0</v>
      </c>
      <c r="H74" s="1525">
        <f t="shared" ref="H74:H77" si="9">G74 +G74*K74</f>
        <v>0</v>
      </c>
      <c r="I74" s="1299"/>
      <c r="J74" s="1271">
        <v>0.03</v>
      </c>
      <c r="K74" s="1271">
        <f>J74</f>
        <v>0.03</v>
      </c>
      <c r="L74" s="1284"/>
      <c r="M74" s="1284"/>
      <c r="N74" s="1284"/>
      <c r="O74" s="1284"/>
      <c r="P74" s="1284"/>
      <c r="Q74" s="1284"/>
      <c r="R74" s="1284"/>
      <c r="S74" s="1285"/>
    </row>
    <row r="75" spans="1:19" x14ac:dyDescent="0.2">
      <c r="A75" s="168"/>
      <c r="B75" s="692"/>
      <c r="C75" s="163"/>
      <c r="D75" s="368" t="s">
        <v>297</v>
      </c>
      <c r="E75" s="368"/>
      <c r="F75" s="1007">
        <v>0</v>
      </c>
      <c r="G75" s="1007">
        <f>F75*12/F$13+J75*F75*12/F$13</f>
        <v>0</v>
      </c>
      <c r="H75" s="1514">
        <f t="shared" si="9"/>
        <v>0</v>
      </c>
      <c r="I75" s="1299"/>
      <c r="J75" s="1271">
        <v>0.03</v>
      </c>
      <c r="K75" s="1271">
        <f>J75</f>
        <v>0.03</v>
      </c>
      <c r="L75" s="1284"/>
      <c r="M75" s="1284"/>
      <c r="N75" s="1284"/>
      <c r="O75" s="1284"/>
      <c r="P75" s="1284"/>
      <c r="Q75" s="1284"/>
      <c r="R75" s="1284"/>
      <c r="S75" s="1285"/>
    </row>
    <row r="76" spans="1:19" x14ac:dyDescent="0.2">
      <c r="B76" s="692"/>
      <c r="C76" s="163"/>
      <c r="D76" s="368" t="s">
        <v>701</v>
      </c>
      <c r="E76" s="368"/>
      <c r="F76" s="1007">
        <v>0</v>
      </c>
      <c r="G76" s="1007">
        <f>F76*12/F$13+J76*F76*12/F$13</f>
        <v>0</v>
      </c>
      <c r="H76" s="1514">
        <f t="shared" si="9"/>
        <v>0</v>
      </c>
      <c r="I76" s="1299"/>
      <c r="J76" s="1271">
        <v>0.03</v>
      </c>
      <c r="K76" s="1271">
        <f>J76</f>
        <v>0.03</v>
      </c>
      <c r="L76" s="1284"/>
      <c r="M76" s="1284"/>
      <c r="N76" s="1284"/>
      <c r="O76" s="1284"/>
      <c r="P76" s="1284"/>
      <c r="Q76" s="1284"/>
      <c r="R76" s="1284"/>
      <c r="S76" s="1285"/>
    </row>
    <row r="77" spans="1:19" ht="13.5" thickBot="1" x14ac:dyDescent="0.25">
      <c r="A77" s="168"/>
      <c r="B77" s="692"/>
      <c r="C77" s="375"/>
      <c r="D77" s="710" t="s">
        <v>298</v>
      </c>
      <c r="E77" s="359"/>
      <c r="F77" s="1009">
        <v>0</v>
      </c>
      <c r="G77" s="1007">
        <f>F77*12/F$13+J77*F77*12/F$13</f>
        <v>0</v>
      </c>
      <c r="H77" s="1514">
        <f t="shared" si="9"/>
        <v>0</v>
      </c>
      <c r="I77" s="1299"/>
      <c r="J77" s="1271">
        <v>0.03</v>
      </c>
      <c r="K77" s="1271">
        <f>J77</f>
        <v>0.03</v>
      </c>
      <c r="L77" s="1284"/>
      <c r="M77" s="1284"/>
      <c r="N77" s="1284"/>
      <c r="O77" s="1284"/>
      <c r="P77" s="1284"/>
      <c r="Q77" s="1284"/>
      <c r="R77" s="1284"/>
      <c r="S77" s="1285"/>
    </row>
    <row r="78" spans="1:19" ht="13.5" thickBot="1" x14ac:dyDescent="0.25">
      <c r="A78" s="2"/>
      <c r="B78" s="691" t="s">
        <v>120</v>
      </c>
      <c r="C78" s="163" t="s">
        <v>761</v>
      </c>
      <c r="D78" s="1675" t="s">
        <v>331</v>
      </c>
      <c r="E78" s="1675"/>
      <c r="F78" s="764">
        <f>F81+F79+F80</f>
        <v>0</v>
      </c>
      <c r="G78" s="764">
        <f>G81+G79+G80</f>
        <v>0</v>
      </c>
      <c r="H78" s="1512">
        <f>H81+H79+H80</f>
        <v>0</v>
      </c>
      <c r="I78" s="1301"/>
      <c r="J78" s="1417">
        <f>G$12</f>
        <v>2024</v>
      </c>
      <c r="K78" s="1418">
        <f>H$12</f>
        <v>2025</v>
      </c>
      <c r="L78" s="1284"/>
      <c r="M78" s="1284"/>
      <c r="N78" s="1284"/>
      <c r="O78" s="1284"/>
      <c r="P78" s="1284"/>
      <c r="Q78" s="1284"/>
      <c r="R78" s="1284"/>
      <c r="S78" s="1285"/>
    </row>
    <row r="79" spans="1:19" x14ac:dyDescent="0.2">
      <c r="A79" s="168"/>
      <c r="B79" s="692"/>
      <c r="C79" s="163"/>
      <c r="D79" s="1674" t="s">
        <v>304</v>
      </c>
      <c r="E79" s="1674"/>
      <c r="F79" s="1015">
        <v>0</v>
      </c>
      <c r="G79" s="1015">
        <f>F79*12/F$13+J79*F79*12/F$13</f>
        <v>0</v>
      </c>
      <c r="H79" s="1525">
        <f t="shared" ref="H79:H81" si="10">G79 +G79*K79</f>
        <v>0</v>
      </c>
      <c r="I79" s="1300"/>
      <c r="J79" s="1271">
        <v>0.03</v>
      </c>
      <c r="K79" s="1271">
        <f>J79</f>
        <v>0.03</v>
      </c>
      <c r="L79" s="1284"/>
      <c r="M79" s="1284"/>
      <c r="N79" s="1284"/>
      <c r="O79" s="1284"/>
      <c r="P79" s="1284"/>
      <c r="Q79" s="1284"/>
      <c r="R79" s="1284"/>
      <c r="S79" s="1285"/>
    </row>
    <row r="80" spans="1:19" x14ac:dyDescent="0.2">
      <c r="A80" s="168"/>
      <c r="B80" s="692"/>
      <c r="C80" s="163"/>
      <c r="D80" s="1674" t="s">
        <v>305</v>
      </c>
      <c r="E80" s="1674"/>
      <c r="F80" s="1007">
        <v>0</v>
      </c>
      <c r="G80" s="1007">
        <f>F80*12/F$13+J80*F80*12/F$13</f>
        <v>0</v>
      </c>
      <c r="H80" s="1514">
        <f t="shared" si="10"/>
        <v>0</v>
      </c>
      <c r="I80" s="1300"/>
      <c r="J80" s="1271">
        <v>0.03</v>
      </c>
      <c r="K80" s="1271">
        <f>J80</f>
        <v>0.03</v>
      </c>
      <c r="L80" s="1284"/>
      <c r="M80" s="1284"/>
      <c r="N80" s="1284"/>
      <c r="O80" s="1284"/>
      <c r="P80" s="1284"/>
      <c r="Q80" s="1284"/>
      <c r="R80" s="1284"/>
      <c r="S80" s="1285"/>
    </row>
    <row r="81" spans="1:19" ht="13.5" thickBot="1" x14ac:dyDescent="0.25">
      <c r="B81" s="692" t="s">
        <v>0</v>
      </c>
      <c r="C81" s="375"/>
      <c r="D81" s="1671" t="s">
        <v>306</v>
      </c>
      <c r="E81" s="1671"/>
      <c r="F81" s="1009">
        <v>0</v>
      </c>
      <c r="G81" s="1009">
        <f>F81*12/F$13+J81*F81*12/F$13</f>
        <v>0</v>
      </c>
      <c r="H81" s="1516">
        <f t="shared" si="10"/>
        <v>0</v>
      </c>
      <c r="I81" s="1299"/>
      <c r="J81" s="1271">
        <v>0.03</v>
      </c>
      <c r="K81" s="1271">
        <f>J81</f>
        <v>0.03</v>
      </c>
      <c r="L81" s="1284"/>
      <c r="M81" s="1284"/>
      <c r="N81" s="1284"/>
      <c r="O81" s="1284"/>
      <c r="P81" s="1284"/>
      <c r="Q81" s="1284"/>
      <c r="R81" s="1284"/>
      <c r="S81" s="1285"/>
    </row>
    <row r="82" spans="1:19" ht="13.5" thickBot="1" x14ac:dyDescent="0.25">
      <c r="A82" s="168"/>
      <c r="B82" s="691" t="s">
        <v>121</v>
      </c>
      <c r="C82" s="163" t="s">
        <v>762</v>
      </c>
      <c r="D82" s="702" t="s">
        <v>332</v>
      </c>
      <c r="E82" s="367"/>
      <c r="F82" s="764">
        <f>F83*F84+F86*F85</f>
        <v>0</v>
      </c>
      <c r="G82" s="764">
        <f>G83*G84+G86*G85</f>
        <v>0</v>
      </c>
      <c r="H82" s="1512">
        <f>H83*H84+H86*H85</f>
        <v>0</v>
      </c>
      <c r="I82" s="1299"/>
      <c r="J82" s="1304"/>
      <c r="K82" s="1289"/>
      <c r="L82" s="1284"/>
      <c r="M82" s="1284"/>
      <c r="N82" s="1284"/>
      <c r="O82" s="1284"/>
      <c r="P82" s="1284"/>
      <c r="Q82" s="1284"/>
      <c r="R82" s="1284"/>
      <c r="S82" s="1285"/>
    </row>
    <row r="83" spans="1:19" x14ac:dyDescent="0.2">
      <c r="A83" s="2"/>
      <c r="B83" s="692" t="s">
        <v>0</v>
      </c>
      <c r="C83" s="163"/>
      <c r="D83" s="368" t="s">
        <v>300</v>
      </c>
      <c r="E83" s="368"/>
      <c r="F83" s="1015">
        <v>0</v>
      </c>
      <c r="G83" s="1015">
        <f>F83*12/F$13+J83*F83*12/F$13</f>
        <v>0</v>
      </c>
      <c r="H83" s="1525">
        <f t="shared" ref="G83:H85" si="11">G83</f>
        <v>0</v>
      </c>
      <c r="I83" s="1299"/>
      <c r="J83" s="1304"/>
      <c r="K83" s="1289"/>
      <c r="L83" s="1284"/>
      <c r="M83" s="1284"/>
      <c r="N83" s="1284"/>
      <c r="O83" s="1284"/>
      <c r="P83" s="1284"/>
      <c r="Q83" s="1284"/>
      <c r="R83" s="1284"/>
      <c r="S83" s="1285"/>
    </row>
    <row r="84" spans="1:19" x14ac:dyDescent="0.2">
      <c r="A84" s="2"/>
      <c r="B84" s="692" t="s">
        <v>0</v>
      </c>
      <c r="C84" s="163"/>
      <c r="D84" s="368" t="s">
        <v>301</v>
      </c>
      <c r="E84" s="368"/>
      <c r="F84" s="1018">
        <v>0.46</v>
      </c>
      <c r="G84" s="1018">
        <f t="shared" si="11"/>
        <v>0.46</v>
      </c>
      <c r="H84" s="1530">
        <f t="shared" si="11"/>
        <v>0.46</v>
      </c>
      <c r="I84" s="1508"/>
      <c r="J84" s="1304"/>
      <c r="K84" s="1289"/>
      <c r="L84" s="1284"/>
      <c r="M84" s="1284"/>
      <c r="N84" s="1284"/>
      <c r="O84" s="1284"/>
      <c r="P84" s="1284"/>
      <c r="Q84" s="1284"/>
      <c r="R84" s="1284"/>
      <c r="S84" s="1285"/>
    </row>
    <row r="85" spans="1:19" x14ac:dyDescent="0.2">
      <c r="A85" s="168"/>
      <c r="B85" s="692" t="s">
        <v>0</v>
      </c>
      <c r="C85" s="163"/>
      <c r="D85" s="368" t="s">
        <v>302</v>
      </c>
      <c r="E85" s="368"/>
      <c r="F85" s="1007">
        <v>0</v>
      </c>
      <c r="G85" s="1007">
        <f t="shared" si="11"/>
        <v>0</v>
      </c>
      <c r="H85" s="1514">
        <f t="shared" si="11"/>
        <v>0</v>
      </c>
      <c r="I85" s="1299"/>
      <c r="J85" s="1304"/>
      <c r="K85" s="1289"/>
      <c r="L85" s="1284"/>
      <c r="M85" s="1284"/>
      <c r="N85" s="1284"/>
      <c r="O85" s="1284"/>
      <c r="P85" s="1284"/>
      <c r="Q85" s="1284"/>
      <c r="R85" s="1284"/>
      <c r="S85" s="1285"/>
    </row>
    <row r="86" spans="1:19" ht="13.5" thickBot="1" x14ac:dyDescent="0.25">
      <c r="B86" s="692" t="s">
        <v>0</v>
      </c>
      <c r="C86" s="375"/>
      <c r="D86" s="359" t="s">
        <v>303</v>
      </c>
      <c r="E86" s="359"/>
      <c r="F86" s="1019">
        <v>45</v>
      </c>
      <c r="G86" s="1020">
        <f>F86</f>
        <v>45</v>
      </c>
      <c r="H86" s="1531">
        <f>G86</f>
        <v>45</v>
      </c>
      <c r="I86" s="1299"/>
      <c r="J86" s="1417">
        <f>G$12</f>
        <v>2024</v>
      </c>
      <c r="K86" s="1418">
        <f>H$12</f>
        <v>2025</v>
      </c>
      <c r="L86" s="1284"/>
      <c r="M86" s="1284"/>
      <c r="N86" s="1284"/>
      <c r="O86" s="1284"/>
      <c r="P86" s="1284"/>
      <c r="Q86" s="1284"/>
      <c r="R86" s="1284"/>
      <c r="S86" s="1285"/>
    </row>
    <row r="87" spans="1:19" ht="13.5" thickBot="1" x14ac:dyDescent="0.25">
      <c r="A87" s="168"/>
      <c r="B87" s="691" t="s">
        <v>122</v>
      </c>
      <c r="C87" s="376" t="s">
        <v>763</v>
      </c>
      <c r="D87" s="1667" t="s">
        <v>333</v>
      </c>
      <c r="E87" s="1667"/>
      <c r="F87" s="1021">
        <v>0</v>
      </c>
      <c r="G87" s="1021">
        <f>F87*12/F$13+J87*F87*12/F$13</f>
        <v>0</v>
      </c>
      <c r="H87" s="1532">
        <f>G87 +G87*K87</f>
        <v>0</v>
      </c>
      <c r="I87" s="1300"/>
      <c r="J87" s="1271">
        <v>0.03</v>
      </c>
      <c r="K87" s="1271">
        <f>J87</f>
        <v>0.03</v>
      </c>
      <c r="L87" s="1284"/>
      <c r="M87" s="1284"/>
      <c r="N87" s="1284"/>
      <c r="O87" s="1284"/>
      <c r="P87" s="1284"/>
      <c r="Q87" s="1284"/>
      <c r="R87" s="1284"/>
      <c r="S87" s="1285"/>
    </row>
    <row r="88" spans="1:19" ht="13.5" thickBot="1" x14ac:dyDescent="0.25">
      <c r="A88" s="2"/>
      <c r="B88" s="691" t="s">
        <v>123</v>
      </c>
      <c r="C88" s="163" t="s">
        <v>764</v>
      </c>
      <c r="D88" s="1675" t="s">
        <v>334</v>
      </c>
      <c r="E88" s="1675"/>
      <c r="F88" s="764">
        <f>SUM(F89:F93)</f>
        <v>0</v>
      </c>
      <c r="G88" s="764">
        <f>SUM(G89:G93)</f>
        <v>0</v>
      </c>
      <c r="H88" s="1512">
        <f>SUM(H89:H93)</f>
        <v>0</v>
      </c>
      <c r="I88" s="1300"/>
      <c r="J88" s="1417">
        <f>G$12</f>
        <v>2024</v>
      </c>
      <c r="K88" s="1418">
        <f>H$12</f>
        <v>2025</v>
      </c>
      <c r="L88" s="1284"/>
      <c r="M88" s="1284"/>
      <c r="N88" s="1284"/>
      <c r="O88" s="1284"/>
      <c r="P88" s="1284"/>
      <c r="Q88" s="1284"/>
      <c r="R88" s="1284"/>
      <c r="S88" s="1285"/>
    </row>
    <row r="89" spans="1:19" x14ac:dyDescent="0.2">
      <c r="B89" s="692"/>
      <c r="C89" s="163"/>
      <c r="D89" s="1674" t="s">
        <v>307</v>
      </c>
      <c r="E89" s="1674"/>
      <c r="F89" s="1015">
        <v>0</v>
      </c>
      <c r="G89" s="1015">
        <f>F89*12/F$13+J89*F89*12/F$13</f>
        <v>0</v>
      </c>
      <c r="H89" s="1525">
        <f t="shared" ref="H89:H93" si="12">G89 +G89*K89</f>
        <v>0</v>
      </c>
      <c r="I89" s="1300"/>
      <c r="J89" s="1271">
        <v>0.03</v>
      </c>
      <c r="K89" s="1271">
        <f>J89</f>
        <v>0.03</v>
      </c>
      <c r="L89" s="1284"/>
      <c r="M89" s="1284"/>
      <c r="N89" s="1284"/>
      <c r="O89" s="1284"/>
      <c r="P89" s="1284"/>
      <c r="Q89" s="1284"/>
      <c r="R89" s="1284"/>
      <c r="S89" s="1285"/>
    </row>
    <row r="90" spans="1:19" x14ac:dyDescent="0.2">
      <c r="A90" s="168"/>
      <c r="B90" s="692"/>
      <c r="C90" s="163"/>
      <c r="D90" s="1674" t="s">
        <v>308</v>
      </c>
      <c r="E90" s="1674"/>
      <c r="F90" s="1007">
        <v>0</v>
      </c>
      <c r="G90" s="1007">
        <f>F90*12/F$13+J90*F90*12/F$13</f>
        <v>0</v>
      </c>
      <c r="H90" s="1514">
        <f t="shared" si="12"/>
        <v>0</v>
      </c>
      <c r="I90" s="1300"/>
      <c r="J90" s="1271">
        <v>0.03</v>
      </c>
      <c r="K90" s="1271">
        <f>J90</f>
        <v>0.03</v>
      </c>
      <c r="L90" s="1284"/>
      <c r="M90" s="1284"/>
      <c r="N90" s="1284"/>
      <c r="O90" s="1284"/>
      <c r="P90" s="1284"/>
      <c r="Q90" s="1284"/>
      <c r="R90" s="1284"/>
      <c r="S90" s="1285"/>
    </row>
    <row r="91" spans="1:19" x14ac:dyDescent="0.2">
      <c r="B91" s="692"/>
      <c r="C91" s="163"/>
      <c r="D91" s="1674" t="s">
        <v>309</v>
      </c>
      <c r="E91" s="1674"/>
      <c r="F91" s="1007">
        <v>0</v>
      </c>
      <c r="G91" s="1007">
        <f>F91*12/F$13+J91*F91*12/F$13</f>
        <v>0</v>
      </c>
      <c r="H91" s="1514">
        <f t="shared" si="12"/>
        <v>0</v>
      </c>
      <c r="I91" s="1300"/>
      <c r="J91" s="1271">
        <v>0.03</v>
      </c>
      <c r="K91" s="1271">
        <f>J91</f>
        <v>0.03</v>
      </c>
      <c r="L91" s="1284"/>
      <c r="M91" s="1284"/>
      <c r="N91" s="1284"/>
      <c r="O91" s="1284"/>
      <c r="P91" s="1284"/>
      <c r="Q91" s="1284"/>
      <c r="R91" s="1284"/>
      <c r="S91" s="1285"/>
    </row>
    <row r="92" spans="1:19" x14ac:dyDescent="0.2">
      <c r="A92" s="168"/>
      <c r="B92" s="692"/>
      <c r="C92" s="163"/>
      <c r="D92" s="1674" t="s">
        <v>310</v>
      </c>
      <c r="E92" s="1674"/>
      <c r="F92" s="1007">
        <v>0</v>
      </c>
      <c r="G92" s="1007">
        <f>F92*12/F$13+J92*F92*12/F$13</f>
        <v>0</v>
      </c>
      <c r="H92" s="1514">
        <f t="shared" si="12"/>
        <v>0</v>
      </c>
      <c r="I92" s="1300"/>
      <c r="J92" s="1271">
        <v>0.03</v>
      </c>
      <c r="K92" s="1271">
        <f>J92</f>
        <v>0.03</v>
      </c>
      <c r="L92" s="1284"/>
      <c r="M92" s="1284"/>
      <c r="N92" s="1284"/>
      <c r="O92" s="1284"/>
      <c r="P92" s="1284"/>
      <c r="Q92" s="1284"/>
      <c r="R92" s="1284"/>
      <c r="S92" s="1285"/>
    </row>
    <row r="93" spans="1:19" ht="13.5" thickBot="1" x14ac:dyDescent="0.25">
      <c r="A93" s="2"/>
      <c r="B93" s="692"/>
      <c r="C93" s="375">
        <v>0</v>
      </c>
      <c r="D93" s="1671" t="s">
        <v>311</v>
      </c>
      <c r="E93" s="1671"/>
      <c r="F93" s="1009">
        <v>0</v>
      </c>
      <c r="G93" s="1007">
        <f>F93*12/F$13+J93*F93*12/F$13</f>
        <v>0</v>
      </c>
      <c r="H93" s="1514">
        <f t="shared" si="12"/>
        <v>0</v>
      </c>
      <c r="I93" s="1301"/>
      <c r="J93" s="1271">
        <v>0.03</v>
      </c>
      <c r="K93" s="1271">
        <f>J93</f>
        <v>0.03</v>
      </c>
      <c r="L93" s="1284"/>
      <c r="M93" s="1284"/>
      <c r="N93" s="1284"/>
      <c r="O93" s="1284"/>
      <c r="P93" s="1284"/>
      <c r="Q93" s="1284"/>
      <c r="R93" s="1284"/>
      <c r="S93" s="1285"/>
    </row>
    <row r="94" spans="1:19" ht="13.5" thickBot="1" x14ac:dyDescent="0.25">
      <c r="A94" s="168"/>
      <c r="B94" s="691" t="s">
        <v>124</v>
      </c>
      <c r="C94" s="163" t="s">
        <v>765</v>
      </c>
      <c r="D94" s="1675" t="s">
        <v>335</v>
      </c>
      <c r="E94" s="1675"/>
      <c r="F94" s="764">
        <f>SUM(F95:F96)</f>
        <v>0</v>
      </c>
      <c r="G94" s="764">
        <f>SUM(G95:G96)</f>
        <v>0</v>
      </c>
      <c r="H94" s="1512">
        <f>SUM(H95:H96)</f>
        <v>0</v>
      </c>
      <c r="I94" s="1301"/>
      <c r="J94" s="1417">
        <f>G$12</f>
        <v>2024</v>
      </c>
      <c r="K94" s="1418">
        <f>H$12</f>
        <v>2025</v>
      </c>
      <c r="L94" s="1284"/>
      <c r="M94" s="1284"/>
      <c r="N94" s="1284"/>
      <c r="O94" s="1284"/>
      <c r="P94" s="1284"/>
      <c r="Q94" s="1284"/>
      <c r="R94" s="1284"/>
      <c r="S94" s="1285"/>
    </row>
    <row r="95" spans="1:19" x14ac:dyDescent="0.2">
      <c r="B95" s="692"/>
      <c r="C95" s="163"/>
      <c r="D95" s="1674" t="s">
        <v>312</v>
      </c>
      <c r="E95" s="1674"/>
      <c r="F95" s="1015">
        <v>0</v>
      </c>
      <c r="G95" s="1015">
        <f>F95*12/F$13+J95*F95*12/F$13</f>
        <v>0</v>
      </c>
      <c r="H95" s="1525">
        <f>G95 +G95*K95</f>
        <v>0</v>
      </c>
      <c r="I95" s="1301"/>
      <c r="J95" s="1271">
        <v>0.03</v>
      </c>
      <c r="K95" s="1271">
        <f>J95</f>
        <v>0.03</v>
      </c>
      <c r="L95" s="1284"/>
      <c r="M95" s="1284"/>
      <c r="N95" s="1284"/>
      <c r="O95" s="1284"/>
      <c r="P95" s="1284"/>
      <c r="Q95" s="1284"/>
      <c r="R95" s="1284"/>
      <c r="S95" s="1285"/>
    </row>
    <row r="96" spans="1:19" ht="13.5" thickBot="1" x14ac:dyDescent="0.25">
      <c r="A96" s="168"/>
      <c r="B96" s="692"/>
      <c r="C96" s="375"/>
      <c r="D96" s="1671" t="s">
        <v>313</v>
      </c>
      <c r="E96" s="1671"/>
      <c r="F96" s="1009">
        <v>0</v>
      </c>
      <c r="G96" s="1007">
        <f>F96*12/F$13+J96*F96*12/F$13</f>
        <v>0</v>
      </c>
      <c r="H96" s="1514">
        <f>G96 +G96*K96</f>
        <v>0</v>
      </c>
      <c r="I96" s="1301"/>
      <c r="J96" s="1271">
        <v>0.03</v>
      </c>
      <c r="K96" s="1271">
        <f>J96</f>
        <v>0.03</v>
      </c>
      <c r="L96" s="1284"/>
      <c r="M96" s="1284"/>
      <c r="N96" s="1284"/>
      <c r="O96" s="1284"/>
      <c r="P96" s="1284"/>
      <c r="Q96" s="1284"/>
      <c r="R96" s="1284"/>
      <c r="S96" s="1285"/>
    </row>
    <row r="97" spans="1:19" ht="12.75" customHeight="1" thickBot="1" x14ac:dyDescent="0.25">
      <c r="A97" s="2"/>
      <c r="B97" s="691" t="s">
        <v>125</v>
      </c>
      <c r="C97" s="163" t="s">
        <v>766</v>
      </c>
      <c r="D97" s="1675" t="s">
        <v>336</v>
      </c>
      <c r="E97" s="1675"/>
      <c r="F97" s="764">
        <f>SUM(F98:F100)</f>
        <v>0</v>
      </c>
      <c r="G97" s="764">
        <f>SUM(G98:G100)</f>
        <v>0</v>
      </c>
      <c r="H97" s="1512">
        <f>SUM(H98:H100)</f>
        <v>0</v>
      </c>
      <c r="I97" s="1301"/>
      <c r="J97" s="1417">
        <f>G$12</f>
        <v>2024</v>
      </c>
      <c r="K97" s="1418">
        <f>H$12</f>
        <v>2025</v>
      </c>
      <c r="L97" s="1284"/>
      <c r="M97" s="1284"/>
      <c r="N97" s="1284"/>
      <c r="O97" s="1284"/>
      <c r="P97" s="1284"/>
      <c r="Q97" s="1284"/>
      <c r="R97" s="1284"/>
      <c r="S97" s="1285"/>
    </row>
    <row r="98" spans="1:19" x14ac:dyDescent="0.2">
      <c r="B98" s="692"/>
      <c r="C98" s="163"/>
      <c r="D98" s="1674" t="s">
        <v>314</v>
      </c>
      <c r="E98" s="1674"/>
      <c r="F98" s="1015">
        <v>0</v>
      </c>
      <c r="G98" s="1015">
        <f>F98*12/F$13+J98*F98*12/F$13</f>
        <v>0</v>
      </c>
      <c r="H98" s="1525">
        <f t="shared" ref="H98:H100" si="13">G98 +G98*K98</f>
        <v>0</v>
      </c>
      <c r="I98" s="1301"/>
      <c r="J98" s="1271">
        <v>0.03</v>
      </c>
      <c r="K98" s="1271">
        <f>J98</f>
        <v>0.03</v>
      </c>
      <c r="L98" s="1284"/>
      <c r="M98" s="1284"/>
      <c r="N98" s="1284"/>
      <c r="O98" s="1284"/>
      <c r="P98" s="1284"/>
      <c r="Q98" s="1284"/>
      <c r="R98" s="1284"/>
      <c r="S98" s="1285"/>
    </row>
    <row r="99" spans="1:19" x14ac:dyDescent="0.2">
      <c r="A99" s="168"/>
      <c r="B99" s="692"/>
      <c r="C99" s="163"/>
      <c r="D99" s="1674" t="s">
        <v>315</v>
      </c>
      <c r="E99" s="1674"/>
      <c r="F99" s="1007">
        <v>0</v>
      </c>
      <c r="G99" s="1007">
        <f>F99*12/F$13+J99*F99*12/F$13</f>
        <v>0</v>
      </c>
      <c r="H99" s="1514">
        <f t="shared" si="13"/>
        <v>0</v>
      </c>
      <c r="I99" s="1301"/>
      <c r="J99" s="1271">
        <v>0.03</v>
      </c>
      <c r="K99" s="1271">
        <f>J99</f>
        <v>0.03</v>
      </c>
      <c r="L99" s="1284"/>
      <c r="M99" s="1284"/>
      <c r="N99" s="1284"/>
      <c r="O99" s="1284"/>
      <c r="P99" s="1284"/>
      <c r="Q99" s="1284"/>
      <c r="R99" s="1284"/>
      <c r="S99" s="1285"/>
    </row>
    <row r="100" spans="1:19" ht="13.5" thickBot="1" x14ac:dyDescent="0.25">
      <c r="B100" s="692"/>
      <c r="C100" s="375"/>
      <c r="D100" s="1671" t="s">
        <v>316</v>
      </c>
      <c r="E100" s="1671"/>
      <c r="F100" s="1009">
        <v>0</v>
      </c>
      <c r="G100" s="1007">
        <f>F100*12/F$13+J100*F100*12/F$13</f>
        <v>0</v>
      </c>
      <c r="H100" s="1514">
        <f t="shared" si="13"/>
        <v>0</v>
      </c>
      <c r="I100" s="1301"/>
      <c r="J100" s="1271">
        <v>0.03</v>
      </c>
      <c r="K100" s="1271">
        <f>J100</f>
        <v>0.03</v>
      </c>
      <c r="L100" s="1284"/>
      <c r="M100" s="1284"/>
      <c r="N100" s="1284"/>
      <c r="O100" s="1284"/>
      <c r="P100" s="1284"/>
      <c r="Q100" s="1284"/>
      <c r="R100" s="1376"/>
      <c r="S100" s="1377"/>
    </row>
    <row r="101" spans="1:19" ht="13.5" thickBot="1" x14ac:dyDescent="0.25">
      <c r="A101" s="168"/>
      <c r="B101" s="691" t="s">
        <v>126</v>
      </c>
      <c r="C101" s="163" t="s">
        <v>767</v>
      </c>
      <c r="D101" s="1675" t="s">
        <v>337</v>
      </c>
      <c r="E101" s="1675"/>
      <c r="F101" s="764">
        <f>SUM(F102:F104)</f>
        <v>0</v>
      </c>
      <c r="G101" s="764">
        <f>SUM(G102:G104)</f>
        <v>0</v>
      </c>
      <c r="H101" s="1512">
        <f>SUM(H102:H104)</f>
        <v>0</v>
      </c>
      <c r="I101" s="1301"/>
      <c r="J101" s="1417">
        <f>G$12</f>
        <v>2024</v>
      </c>
      <c r="K101" s="1418">
        <f>H$12</f>
        <v>2025</v>
      </c>
      <c r="L101" s="1284"/>
      <c r="M101" s="1284"/>
      <c r="N101" s="1284"/>
      <c r="O101" s="1284"/>
      <c r="P101" s="1284"/>
      <c r="Q101" s="1284"/>
      <c r="R101" s="1284"/>
      <c r="S101" s="1285"/>
    </row>
    <row r="102" spans="1:19" x14ac:dyDescent="0.2">
      <c r="A102" s="2"/>
      <c r="B102" s="692"/>
      <c r="C102" s="163"/>
      <c r="D102" s="1674" t="s">
        <v>317</v>
      </c>
      <c r="E102" s="1674"/>
      <c r="F102" s="1015">
        <v>0</v>
      </c>
      <c r="G102" s="1015">
        <f>F102*12/F$13+J102*F102*12/F$13</f>
        <v>0</v>
      </c>
      <c r="H102" s="1525">
        <f t="shared" ref="H102:H104" si="14">G102 +G102*K102</f>
        <v>0</v>
      </c>
      <c r="I102" s="1301"/>
      <c r="J102" s="1271">
        <v>0.03</v>
      </c>
      <c r="K102" s="1271">
        <f>J102</f>
        <v>0.03</v>
      </c>
      <c r="L102" s="1284"/>
      <c r="M102" s="1284"/>
      <c r="N102" s="1284"/>
      <c r="O102" s="1284"/>
      <c r="P102" s="1284"/>
      <c r="Q102" s="1284"/>
      <c r="R102" s="1284"/>
      <c r="S102" s="1285"/>
    </row>
    <row r="103" spans="1:19" x14ac:dyDescent="0.2">
      <c r="B103" s="692"/>
      <c r="C103" s="163"/>
      <c r="D103" s="1674" t="s">
        <v>318</v>
      </c>
      <c r="E103" s="1674"/>
      <c r="F103" s="1022">
        <v>0</v>
      </c>
      <c r="G103" s="1007">
        <f>F103*12/F$13+J103*F103*12/F$13</f>
        <v>0</v>
      </c>
      <c r="H103" s="1514">
        <f t="shared" si="14"/>
        <v>0</v>
      </c>
      <c r="I103" s="1301"/>
      <c r="J103" s="1271">
        <v>0.03</v>
      </c>
      <c r="K103" s="1271">
        <f>J103</f>
        <v>0.03</v>
      </c>
      <c r="L103" s="1284"/>
      <c r="M103" s="1284"/>
      <c r="N103" s="1284"/>
      <c r="O103" s="1284"/>
      <c r="P103" s="1284"/>
      <c r="Q103" s="1284"/>
      <c r="R103" s="1284"/>
      <c r="S103" s="1285"/>
    </row>
    <row r="104" spans="1:19" ht="13.5" thickBot="1" x14ac:dyDescent="0.25">
      <c r="B104" s="692"/>
      <c r="C104" s="375"/>
      <c r="D104" s="1671" t="s">
        <v>319</v>
      </c>
      <c r="E104" s="1671"/>
      <c r="F104" s="1009">
        <v>0</v>
      </c>
      <c r="G104" s="1007">
        <f>F104*12/F$13+J104*F104*12/F$13</f>
        <v>0</v>
      </c>
      <c r="H104" s="1514">
        <f t="shared" si="14"/>
        <v>0</v>
      </c>
      <c r="I104" s="1301"/>
      <c r="J104" s="1271">
        <v>0.03</v>
      </c>
      <c r="K104" s="1271">
        <f>J104</f>
        <v>0.03</v>
      </c>
      <c r="L104" s="1284"/>
      <c r="M104" s="1284"/>
      <c r="N104" s="1284"/>
      <c r="O104" s="1284"/>
      <c r="P104" s="1284"/>
      <c r="Q104" s="1284"/>
      <c r="R104" s="1284"/>
      <c r="S104" s="1285"/>
    </row>
    <row r="105" spans="1:19" ht="12.75" customHeight="1" thickBot="1" x14ac:dyDescent="0.25">
      <c r="B105" s="691" t="s">
        <v>127</v>
      </c>
      <c r="C105" s="163" t="s">
        <v>768</v>
      </c>
      <c r="D105" s="1675" t="s">
        <v>338</v>
      </c>
      <c r="E105" s="1675"/>
      <c r="F105" s="764">
        <f>SUM(F106:F109)</f>
        <v>0</v>
      </c>
      <c r="G105" s="764">
        <f>SUM(G106:G109)</f>
        <v>0</v>
      </c>
      <c r="H105" s="1512">
        <f>SUM(H106:H109)</f>
        <v>0</v>
      </c>
      <c r="I105" s="1301"/>
      <c r="J105" s="1417">
        <f>G$12</f>
        <v>2024</v>
      </c>
      <c r="K105" s="1418">
        <f>H$12</f>
        <v>2025</v>
      </c>
      <c r="L105" s="1284"/>
      <c r="M105" s="1284"/>
      <c r="N105" s="1284"/>
      <c r="O105" s="1284"/>
      <c r="P105" s="1284"/>
      <c r="Q105" s="1284"/>
      <c r="R105" s="1284"/>
      <c r="S105" s="1285"/>
    </row>
    <row r="106" spans="1:19" x14ac:dyDescent="0.2">
      <c r="B106" s="692"/>
      <c r="C106" s="163"/>
      <c r="D106" s="1674" t="s">
        <v>320</v>
      </c>
      <c r="E106" s="1674"/>
      <c r="F106" s="1015">
        <v>0</v>
      </c>
      <c r="G106" s="1015">
        <f>F106*12/F$13+J106*F106*12/F$13</f>
        <v>0</v>
      </c>
      <c r="H106" s="1525">
        <f t="shared" ref="H106:H109" si="15">G106 +G106*K106</f>
        <v>0</v>
      </c>
      <c r="I106" s="1301"/>
      <c r="J106" s="1271">
        <v>0.03</v>
      </c>
      <c r="K106" s="1271">
        <f>J106</f>
        <v>0.03</v>
      </c>
      <c r="L106" s="1284"/>
      <c r="M106" s="1284"/>
      <c r="N106" s="1284"/>
      <c r="O106" s="1284"/>
      <c r="P106" s="1284"/>
      <c r="Q106" s="1284"/>
      <c r="R106" s="1284"/>
      <c r="S106" s="1285"/>
    </row>
    <row r="107" spans="1:19" x14ac:dyDescent="0.2">
      <c r="B107" s="692"/>
      <c r="C107" s="163"/>
      <c r="D107" s="1674" t="s">
        <v>321</v>
      </c>
      <c r="E107" s="1674"/>
      <c r="F107" s="1007">
        <v>0</v>
      </c>
      <c r="G107" s="1007">
        <f>F107*12/F$13+J107*F107*12/F$13</f>
        <v>0</v>
      </c>
      <c r="H107" s="1514">
        <f t="shared" si="15"/>
        <v>0</v>
      </c>
      <c r="I107" s="1301"/>
      <c r="J107" s="1271">
        <v>0.03</v>
      </c>
      <c r="K107" s="1271">
        <f>J107</f>
        <v>0.03</v>
      </c>
      <c r="L107" s="1284"/>
      <c r="M107" s="1284"/>
      <c r="N107" s="1284"/>
      <c r="O107" s="1284"/>
      <c r="P107" s="1284"/>
      <c r="Q107" s="1284"/>
      <c r="R107" s="1284"/>
      <c r="S107" s="1285"/>
    </row>
    <row r="108" spans="1:19" x14ac:dyDescent="0.2">
      <c r="B108" s="692"/>
      <c r="C108" s="163"/>
      <c r="D108" s="1674" t="s">
        <v>322</v>
      </c>
      <c r="E108" s="1674"/>
      <c r="F108" s="1007">
        <v>0</v>
      </c>
      <c r="G108" s="1007">
        <f>F108*12/F$13+J108*F108*12/F$13</f>
        <v>0</v>
      </c>
      <c r="H108" s="1514">
        <f t="shared" si="15"/>
        <v>0</v>
      </c>
      <c r="I108" s="1301"/>
      <c r="J108" s="1271">
        <v>0.03</v>
      </c>
      <c r="K108" s="1271">
        <f>J108</f>
        <v>0.03</v>
      </c>
      <c r="L108" s="1284"/>
      <c r="M108" s="1284"/>
      <c r="N108" s="1284"/>
      <c r="O108" s="1284"/>
      <c r="P108" s="1284"/>
      <c r="Q108" s="1284"/>
      <c r="R108" s="1284"/>
      <c r="S108" s="1285"/>
    </row>
    <row r="109" spans="1:19" ht="13.5" thickBot="1" x14ac:dyDescent="0.25">
      <c r="B109" s="692"/>
      <c r="C109" s="375">
        <v>0</v>
      </c>
      <c r="D109" s="1671" t="s">
        <v>323</v>
      </c>
      <c r="E109" s="1671"/>
      <c r="F109" s="1009">
        <v>0</v>
      </c>
      <c r="G109" s="1007">
        <f>F109*12/F$13+J109*F109*12/F$13</f>
        <v>0</v>
      </c>
      <c r="H109" s="1514">
        <f t="shared" si="15"/>
        <v>0</v>
      </c>
      <c r="I109" s="1509"/>
      <c r="J109" s="1271">
        <v>0.03</v>
      </c>
      <c r="K109" s="1271">
        <f>J109</f>
        <v>0.03</v>
      </c>
      <c r="L109" s="1284"/>
      <c r="M109" s="1284"/>
      <c r="N109" s="1284"/>
      <c r="O109" s="1284"/>
      <c r="P109" s="1284"/>
      <c r="Q109" s="1284"/>
      <c r="R109" s="1284"/>
      <c r="S109" s="1285"/>
    </row>
    <row r="110" spans="1:19" ht="13.5" thickBot="1" x14ac:dyDescent="0.25">
      <c r="B110" s="691" t="s">
        <v>134</v>
      </c>
      <c r="C110" s="163" t="s">
        <v>769</v>
      </c>
      <c r="D110" s="1675" t="s">
        <v>339</v>
      </c>
      <c r="E110" s="1675"/>
      <c r="F110" s="764">
        <f>SUM(F111:F112)</f>
        <v>0</v>
      </c>
      <c r="G110" s="764">
        <f>SUM(G111:G112)</f>
        <v>0</v>
      </c>
      <c r="H110" s="1512">
        <f>SUM(H111:H112)</f>
        <v>0</v>
      </c>
      <c r="I110" s="1509"/>
      <c r="J110" s="1417">
        <f>G$12</f>
        <v>2024</v>
      </c>
      <c r="K110" s="1418">
        <f>H$12</f>
        <v>2025</v>
      </c>
      <c r="L110" s="1284"/>
      <c r="M110" s="1284"/>
      <c r="N110" s="1284"/>
      <c r="O110" s="1284"/>
      <c r="P110" s="1284"/>
      <c r="Q110" s="1284"/>
      <c r="R110" s="1284"/>
      <c r="S110" s="1285"/>
    </row>
    <row r="111" spans="1:19" x14ac:dyDescent="0.2">
      <c r="B111" s="692"/>
      <c r="C111" s="163"/>
      <c r="D111" s="1674" t="s">
        <v>324</v>
      </c>
      <c r="E111" s="1674"/>
      <c r="F111" s="1015">
        <v>0</v>
      </c>
      <c r="G111" s="1015">
        <f t="shared" ref="G111:G117" si="16">F111*12/F$13+J111*F111*12/F$13</f>
        <v>0</v>
      </c>
      <c r="H111" s="1533">
        <f t="shared" ref="H111:H115" si="17">G111 +G111*K111</f>
        <v>0</v>
      </c>
      <c r="I111" s="1509"/>
      <c r="J111" s="1271">
        <v>0.03</v>
      </c>
      <c r="K111" s="1271">
        <f>J111</f>
        <v>0.03</v>
      </c>
      <c r="L111" s="1284"/>
      <c r="M111" s="1284"/>
      <c r="N111" s="1284"/>
      <c r="O111" s="1284">
        <v>0</v>
      </c>
      <c r="P111" s="1284"/>
      <c r="Q111" s="1284"/>
      <c r="R111" s="1284"/>
      <c r="S111" s="1285"/>
    </row>
    <row r="112" spans="1:19" ht="13.5" thickBot="1" x14ac:dyDescent="0.25">
      <c r="B112" s="692"/>
      <c r="C112" s="375"/>
      <c r="D112" s="1671" t="s">
        <v>325</v>
      </c>
      <c r="E112" s="1671"/>
      <c r="F112" s="1022">
        <v>0</v>
      </c>
      <c r="G112" s="1022">
        <f t="shared" si="16"/>
        <v>0</v>
      </c>
      <c r="H112" s="1534">
        <f t="shared" si="17"/>
        <v>0</v>
      </c>
      <c r="I112" s="1509"/>
      <c r="J112" s="1271">
        <v>0.03</v>
      </c>
      <c r="K112" s="1271">
        <f>J112</f>
        <v>0.03</v>
      </c>
      <c r="L112" s="1284"/>
      <c r="M112" s="1284"/>
      <c r="N112" s="1284"/>
      <c r="O112" s="1284"/>
      <c r="P112" s="1284"/>
      <c r="Q112" s="1284"/>
      <c r="R112" s="1284"/>
      <c r="S112" s="1285"/>
    </row>
    <row r="113" spans="2:19" ht="13.5" thickBot="1" x14ac:dyDescent="0.25">
      <c r="B113" s="691" t="s">
        <v>180</v>
      </c>
      <c r="C113" s="376" t="s">
        <v>770</v>
      </c>
      <c r="D113" s="1667" t="s">
        <v>340</v>
      </c>
      <c r="E113" s="1668"/>
      <c r="F113" s="1021">
        <v>0</v>
      </c>
      <c r="G113" s="1021">
        <f t="shared" si="16"/>
        <v>0</v>
      </c>
      <c r="H113" s="1532">
        <f t="shared" si="17"/>
        <v>0</v>
      </c>
      <c r="I113" s="1509"/>
      <c r="J113" s="1271">
        <v>0.03</v>
      </c>
      <c r="K113" s="1271">
        <f>J113</f>
        <v>0.03</v>
      </c>
      <c r="L113" s="1284"/>
      <c r="M113" s="1284"/>
      <c r="N113" s="1284"/>
      <c r="O113" s="1284"/>
      <c r="P113" s="1284"/>
      <c r="Q113" s="1284"/>
      <c r="R113" s="1284"/>
      <c r="S113" s="1285"/>
    </row>
    <row r="114" spans="2:19" ht="13.5" thickBot="1" x14ac:dyDescent="0.25">
      <c r="B114" s="691" t="s">
        <v>178</v>
      </c>
      <c r="C114" s="376" t="s">
        <v>771</v>
      </c>
      <c r="D114" s="1667" t="s">
        <v>341</v>
      </c>
      <c r="E114" s="1668"/>
      <c r="F114" s="1021">
        <v>0</v>
      </c>
      <c r="G114" s="1021">
        <f t="shared" si="16"/>
        <v>0</v>
      </c>
      <c r="H114" s="1532">
        <f t="shared" si="17"/>
        <v>0</v>
      </c>
      <c r="I114" s="1509"/>
      <c r="J114" s="1271">
        <v>0.03</v>
      </c>
      <c r="K114" s="1271">
        <f>J114</f>
        <v>0.03</v>
      </c>
      <c r="L114" s="1284"/>
      <c r="M114" s="1284"/>
      <c r="N114" s="1284"/>
      <c r="O114" s="1284"/>
      <c r="P114" s="1284"/>
      <c r="Q114" s="1284"/>
      <c r="R114" s="1284"/>
      <c r="S114" s="1285"/>
    </row>
    <row r="115" spans="2:19" ht="13.5" thickBot="1" x14ac:dyDescent="0.25">
      <c r="B115" s="691" t="s">
        <v>179</v>
      </c>
      <c r="C115" s="376" t="s">
        <v>772</v>
      </c>
      <c r="D115" s="1672" t="s">
        <v>811</v>
      </c>
      <c r="E115" s="1673"/>
      <c r="F115" s="1023">
        <v>0</v>
      </c>
      <c r="G115" s="1021">
        <f t="shared" si="16"/>
        <v>0</v>
      </c>
      <c r="H115" s="1535">
        <f t="shared" si="17"/>
        <v>0</v>
      </c>
      <c r="I115" s="1509"/>
      <c r="J115" s="1025">
        <v>0.03</v>
      </c>
      <c r="K115" s="1025">
        <f>J115</f>
        <v>0.03</v>
      </c>
      <c r="L115" s="1284"/>
      <c r="M115" s="1284"/>
      <c r="N115" s="1284"/>
      <c r="O115" s="1284"/>
      <c r="P115" s="1284"/>
      <c r="Q115" s="1284"/>
      <c r="R115" s="1284"/>
      <c r="S115" s="1285"/>
    </row>
    <row r="116" spans="2:19" ht="13.5" thickBot="1" x14ac:dyDescent="0.25">
      <c r="B116" s="692"/>
      <c r="C116" s="376" t="s">
        <v>773</v>
      </c>
      <c r="D116" s="737" t="s">
        <v>626</v>
      </c>
      <c r="E116" s="738"/>
      <c r="F116" s="1021">
        <v>0</v>
      </c>
      <c r="G116" s="1024">
        <f t="shared" si="16"/>
        <v>0</v>
      </c>
      <c r="H116" s="1535">
        <f t="shared" ref="H116" si="18">G116 +G116*K116</f>
        <v>0</v>
      </c>
      <c r="I116" s="1509"/>
      <c r="J116" s="1271">
        <v>0.03</v>
      </c>
      <c r="K116" s="1271">
        <f t="shared" ref="K116:K117" si="19">J116</f>
        <v>0.03</v>
      </c>
      <c r="L116" s="746"/>
      <c r="M116" s="1284"/>
      <c r="N116" s="1284"/>
      <c r="O116" s="1284"/>
      <c r="P116" s="1284"/>
      <c r="Q116" s="1284"/>
      <c r="R116" s="1284"/>
      <c r="S116" s="1285"/>
    </row>
    <row r="117" spans="2:19" ht="13.5" thickBot="1" x14ac:dyDescent="0.25">
      <c r="B117" s="692"/>
      <c r="C117" s="376" t="s">
        <v>774</v>
      </c>
      <c r="D117" s="737" t="s">
        <v>627</v>
      </c>
      <c r="E117" s="738"/>
      <c r="F117" s="1021">
        <v>0</v>
      </c>
      <c r="G117" s="1021">
        <f t="shared" si="16"/>
        <v>0</v>
      </c>
      <c r="H117" s="1532">
        <f t="shared" ref="H117" si="20">G117 +G117*K117</f>
        <v>0</v>
      </c>
      <c r="I117" s="1509"/>
      <c r="J117" s="1378">
        <v>0.03</v>
      </c>
      <c r="K117" s="1378">
        <f t="shared" si="19"/>
        <v>0.03</v>
      </c>
      <c r="L117" s="1325"/>
      <c r="M117" s="1272"/>
      <c r="N117" s="1272"/>
      <c r="O117" s="1272"/>
      <c r="P117" s="1272"/>
      <c r="Q117" s="1272"/>
      <c r="R117" s="1272"/>
      <c r="S117" s="1293"/>
    </row>
    <row r="118" spans="2:19" ht="13.5" thickBot="1" x14ac:dyDescent="0.25">
      <c r="B118" s="691" t="s">
        <v>181</v>
      </c>
      <c r="C118" s="376" t="s">
        <v>775</v>
      </c>
      <c r="D118" s="377" t="s">
        <v>342</v>
      </c>
      <c r="E118" s="373"/>
      <c r="F118" s="779">
        <f>-'FS3 Resultat'!F51</f>
        <v>0</v>
      </c>
      <c r="G118" s="779">
        <f>-'FS3 Resultat'!H51</f>
        <v>0</v>
      </c>
      <c r="H118" s="1536">
        <f>-'FS3 Resultat'!K51</f>
        <v>0</v>
      </c>
      <c r="I118" s="1301"/>
      <c r="J118" s="1372"/>
      <c r="K118" s="1373"/>
      <c r="L118" s="1291"/>
      <c r="M118" s="1291"/>
      <c r="N118" s="1291"/>
      <c r="O118" s="1291"/>
      <c r="P118" s="1291"/>
      <c r="Q118" s="1291"/>
      <c r="R118" s="1291"/>
      <c r="S118" s="1291"/>
    </row>
    <row r="119" spans="2:19" ht="13.5" thickBot="1" x14ac:dyDescent="0.25">
      <c r="B119" s="692"/>
      <c r="C119" s="376" t="s">
        <v>776</v>
      </c>
      <c r="D119" s="1933" t="s">
        <v>628</v>
      </c>
      <c r="E119" s="1933"/>
      <c r="F119" s="780">
        <f>F26+F28+F29+F36+F41+F47+F61+F68+F73+F78+F87+F88+F94+F97+F101+F105+F110+F113+F114+F115+F82+F59+F118+F116+F117</f>
        <v>49171.639999999992</v>
      </c>
      <c r="G119" s="780">
        <f>G26+G28+G29+G36+G41+G47+G61+G68+G73+G78+G87+G88+G94+G97+G101+G105+G110+G113+G114+G115+G82+G59+G118+G116+G117</f>
        <v>52131.588000000003</v>
      </c>
      <c r="H119" s="1537">
        <f>H26+H28+H29+H36+H41+H47+H61+H68+H73+H78+H87+H88+H94+H97+H101+H105+H110+H113+H114+H115+H82+H59+H118+H116+H117</f>
        <v>53174.21976</v>
      </c>
      <c r="I119" s="1300"/>
      <c r="J119" s="435"/>
      <c r="K119" s="381"/>
      <c r="L119" s="381"/>
      <c r="M119" s="381"/>
      <c r="N119" s="381"/>
      <c r="O119" s="381"/>
      <c r="P119" s="381"/>
      <c r="Q119" s="381"/>
      <c r="R119" s="381"/>
      <c r="S119" s="381"/>
    </row>
    <row r="120" spans="2:19" ht="13.5" thickBot="1" x14ac:dyDescent="0.25">
      <c r="B120" s="692"/>
      <c r="C120" s="376" t="s">
        <v>777</v>
      </c>
      <c r="D120" s="1665" t="s">
        <v>649</v>
      </c>
      <c r="E120" s="1666"/>
      <c r="F120" s="782">
        <f>F121/F13</f>
        <v>4097.6366666666663</v>
      </c>
      <c r="G120" s="782">
        <f t="shared" ref="G120:H120" si="21">G121/G13</f>
        <v>4344.299</v>
      </c>
      <c r="H120" s="1538">
        <f t="shared" si="21"/>
        <v>4431.18498</v>
      </c>
      <c r="I120" s="1300"/>
      <c r="J120" s="435"/>
      <c r="K120" s="381"/>
      <c r="L120" s="381"/>
      <c r="M120" s="381"/>
      <c r="N120" s="381"/>
      <c r="O120" s="381"/>
      <c r="P120" s="381"/>
      <c r="Q120" s="381"/>
      <c r="R120" s="381"/>
      <c r="S120" s="381"/>
    </row>
    <row r="121" spans="2:19" ht="13.5" thickBot="1" x14ac:dyDescent="0.25">
      <c r="B121" s="693" t="s">
        <v>0</v>
      </c>
      <c r="C121" s="375" t="s">
        <v>778</v>
      </c>
      <c r="D121" s="1690" t="s">
        <v>629</v>
      </c>
      <c r="E121" s="1690"/>
      <c r="F121" s="781">
        <f>F119+F23</f>
        <v>49171.639999999992</v>
      </c>
      <c r="G121" s="781">
        <f>G119+G23</f>
        <v>52131.588000000003</v>
      </c>
      <c r="H121" s="1539">
        <f>H119+H23</f>
        <v>53174.21976</v>
      </c>
      <c r="I121" s="1301"/>
      <c r="J121" s="435"/>
      <c r="K121" s="381"/>
      <c r="L121" s="381"/>
      <c r="M121" s="381"/>
      <c r="N121" s="381"/>
      <c r="O121" s="381"/>
      <c r="P121" s="381"/>
      <c r="Q121" s="381"/>
      <c r="R121" s="381"/>
      <c r="S121" s="381"/>
    </row>
    <row r="122" spans="2:19" ht="6" customHeight="1" x14ac:dyDescent="0.2">
      <c r="B122" s="693"/>
      <c r="C122" s="721"/>
      <c r="D122" s="1488"/>
      <c r="E122" s="1488"/>
      <c r="F122" s="1428"/>
      <c r="G122" s="1428"/>
      <c r="H122" s="1489"/>
      <c r="I122" s="436"/>
      <c r="J122" s="435"/>
      <c r="K122" s="381"/>
      <c r="L122" s="381"/>
      <c r="M122" s="381"/>
      <c r="N122" s="381"/>
      <c r="O122" s="381"/>
      <c r="P122" s="381"/>
      <c r="Q122" s="381"/>
      <c r="R122" s="381"/>
      <c r="S122" s="381"/>
    </row>
    <row r="123" spans="2:19" x14ac:dyDescent="0.2">
      <c r="B123" s="692" t="s">
        <v>0</v>
      </c>
      <c r="C123" s="1433" t="s">
        <v>779</v>
      </c>
      <c r="D123" s="1929" t="s">
        <v>486</v>
      </c>
      <c r="E123" s="1929"/>
      <c r="F123" s="1490">
        <f>'FS2 Försäljning '!C238-'FS2 Försäljning '!C239</f>
        <v>0</v>
      </c>
      <c r="G123" s="1490">
        <f>'FS2 Försäljning '!D238-'FS2 Försäljning '!D239</f>
        <v>0</v>
      </c>
      <c r="H123" s="1491">
        <f>'FS2 Försäljning '!E238-'FS2 Försäljning '!E239</f>
        <v>0</v>
      </c>
      <c r="I123" s="5"/>
      <c r="J123" s="435" t="s">
        <v>0</v>
      </c>
      <c r="K123" s="381"/>
      <c r="L123" s="381"/>
      <c r="M123" s="381"/>
      <c r="N123" s="381"/>
      <c r="O123" s="381"/>
      <c r="P123" s="381"/>
      <c r="Q123" s="381"/>
      <c r="R123" s="381"/>
      <c r="S123" s="381"/>
    </row>
    <row r="124" spans="2:19" x14ac:dyDescent="0.2">
      <c r="B124" s="692"/>
      <c r="C124" s="1434" t="s">
        <v>780</v>
      </c>
      <c r="D124" s="1698" t="s">
        <v>326</v>
      </c>
      <c r="E124" s="1698"/>
      <c r="F124" s="855">
        <f>F123-F121</f>
        <v>-49171.639999999992</v>
      </c>
      <c r="G124" s="855">
        <f>G123-G121</f>
        <v>-52131.588000000003</v>
      </c>
      <c r="H124" s="1492">
        <f>H123-H121</f>
        <v>-53174.21976</v>
      </c>
      <c r="I124" s="43"/>
      <c r="J124" s="1385"/>
      <c r="K124" s="381"/>
      <c r="L124" s="381"/>
      <c r="M124" s="381"/>
      <c r="N124" s="381"/>
      <c r="O124" s="381"/>
      <c r="P124" s="381"/>
      <c r="Q124" s="381"/>
      <c r="R124" s="381"/>
      <c r="S124" s="381"/>
    </row>
    <row r="125" spans="2:19" x14ac:dyDescent="0.2">
      <c r="B125" s="694"/>
      <c r="C125" s="1435" t="s">
        <v>781</v>
      </c>
      <c r="D125" s="1934" t="s">
        <v>327</v>
      </c>
      <c r="E125" s="1934"/>
      <c r="F125" s="1493">
        <f>IF(F123=0,0,F124/F123)</f>
        <v>0</v>
      </c>
      <c r="G125" s="1493">
        <f>IF(G123=0,0,G124/G123)</f>
        <v>0</v>
      </c>
      <c r="H125" s="1494">
        <f>IF(H123=0,0,H124/H123)</f>
        <v>0</v>
      </c>
      <c r="I125" s="43"/>
      <c r="J125" s="435" t="s">
        <v>0</v>
      </c>
      <c r="K125" s="381"/>
      <c r="L125" s="381"/>
      <c r="M125" s="381"/>
      <c r="N125" s="381"/>
      <c r="O125" s="381"/>
      <c r="P125" s="381"/>
      <c r="Q125" s="381"/>
      <c r="R125" s="381"/>
      <c r="S125" s="381"/>
    </row>
    <row r="126" spans="2:19" s="828" customFormat="1" ht="6" customHeight="1" x14ac:dyDescent="0.2">
      <c r="B126" s="694"/>
      <c r="C126" s="1429"/>
      <c r="D126" s="1430"/>
      <c r="E126" s="1430"/>
      <c r="F126" s="1431"/>
      <c r="G126" s="1431"/>
      <c r="H126" s="1431"/>
      <c r="I126" s="43"/>
      <c r="J126" s="435"/>
      <c r="K126" s="381"/>
      <c r="L126" s="381"/>
      <c r="M126" s="381"/>
      <c r="N126" s="381"/>
      <c r="O126" s="381"/>
      <c r="P126" s="381"/>
      <c r="Q126" s="381"/>
      <c r="R126" s="381"/>
      <c r="S126" s="381"/>
    </row>
    <row r="127" spans="2:19" x14ac:dyDescent="0.2">
      <c r="B127" s="693"/>
      <c r="C127" s="1433" t="s">
        <v>782</v>
      </c>
      <c r="D127" s="1929" t="s">
        <v>328</v>
      </c>
      <c r="E127" s="1929"/>
      <c r="F127" s="1495">
        <f>'FS2 Försäljning '!C238</f>
        <v>0</v>
      </c>
      <c r="G127" s="1495">
        <f>'FS2 Försäljning '!D238</f>
        <v>0</v>
      </c>
      <c r="H127" s="1496">
        <f>'FS2 Försäljning '!E238</f>
        <v>0</v>
      </c>
      <c r="I127" s="5"/>
      <c r="J127" s="381"/>
      <c r="K127" s="381"/>
      <c r="L127" s="381"/>
      <c r="M127" s="381"/>
      <c r="N127" s="381"/>
      <c r="O127" s="381"/>
      <c r="P127" s="381"/>
      <c r="Q127" s="381"/>
      <c r="R127" s="381"/>
      <c r="S127" s="381"/>
    </row>
    <row r="128" spans="2:19" x14ac:dyDescent="0.2">
      <c r="B128" s="695"/>
      <c r="C128" s="1434" t="s">
        <v>783</v>
      </c>
      <c r="D128" s="1930" t="s">
        <v>329</v>
      </c>
      <c r="E128" s="1931"/>
      <c r="F128" s="777">
        <f>-'FS3 Resultat'!F42</f>
        <v>0</v>
      </c>
      <c r="G128" s="777">
        <f>-'FS3 Resultat'!H42</f>
        <v>0</v>
      </c>
      <c r="H128" s="1497">
        <f>-'FS3 Resultat'!K42</f>
        <v>0</v>
      </c>
      <c r="I128" s="17"/>
      <c r="J128" s="146"/>
      <c r="K128" s="146"/>
      <c r="L128" s="146"/>
      <c r="M128" s="146"/>
      <c r="N128" s="146"/>
      <c r="O128" s="146"/>
      <c r="P128" s="146"/>
      <c r="Q128" s="146"/>
    </row>
    <row r="129" spans="2:17" x14ac:dyDescent="0.2">
      <c r="B129" s="696"/>
      <c r="C129" s="1435" t="s">
        <v>784</v>
      </c>
      <c r="D129" s="1932" t="s">
        <v>330</v>
      </c>
      <c r="E129" s="1932"/>
      <c r="F129" s="1498">
        <f>F127+F128</f>
        <v>0</v>
      </c>
      <c r="G129" s="1498">
        <f>G127+G128</f>
        <v>0</v>
      </c>
      <c r="H129" s="1499">
        <f>H127+H128</f>
        <v>0</v>
      </c>
      <c r="I129" s="5"/>
      <c r="J129" s="146"/>
      <c r="K129" s="146"/>
      <c r="L129" s="146"/>
      <c r="M129" s="146"/>
      <c r="N129" s="146"/>
      <c r="O129" s="146"/>
      <c r="P129" s="146"/>
      <c r="Q129" s="146"/>
    </row>
    <row r="131" spans="2:17" x14ac:dyDescent="0.2">
      <c r="C131" s="61"/>
      <c r="D131" s="167"/>
    </row>
    <row r="132" spans="2:17" x14ac:dyDescent="0.2">
      <c r="B132" s="379" t="s">
        <v>346</v>
      </c>
      <c r="C132" s="61"/>
      <c r="D132" s="167"/>
      <c r="F132" s="50"/>
      <c r="G132" s="50"/>
      <c r="H132" s="50"/>
    </row>
    <row r="133" spans="2:17" x14ac:dyDescent="0.2">
      <c r="B133" s="108" t="s">
        <v>347</v>
      </c>
      <c r="C133" s="61"/>
      <c r="D133" s="167"/>
    </row>
    <row r="134" spans="2:17" x14ac:dyDescent="0.2">
      <c r="B134" s="108" t="s">
        <v>348</v>
      </c>
      <c r="C134" s="61"/>
      <c r="D134" s="167"/>
    </row>
    <row r="135" spans="2:17" x14ac:dyDescent="0.2">
      <c r="C135" s="61"/>
      <c r="D135" s="8"/>
    </row>
    <row r="136" spans="2:17" x14ac:dyDescent="0.2">
      <c r="D136" s="332"/>
    </row>
    <row r="137" spans="2:17" x14ac:dyDescent="0.2">
      <c r="D137" s="8"/>
    </row>
    <row r="138" spans="2:17" x14ac:dyDescent="0.2">
      <c r="D138" s="8"/>
    </row>
    <row r="139" spans="2:17" x14ac:dyDescent="0.2">
      <c r="D139" s="8"/>
    </row>
    <row r="140" spans="2:17" x14ac:dyDescent="0.2">
      <c r="D140" s="332"/>
    </row>
    <row r="141" spans="2:17" x14ac:dyDescent="0.2">
      <c r="F141" s="50"/>
    </row>
  </sheetData>
  <sheetProtection algorithmName="SHA-512" hashValue="HtxVjgPU4q78zV90/PNjiRHMw8KWE123liXaIIlYXgsMBLLhp4Rc9o/ijAghsKnZK6nX0nlTlKNqrOhjgABNVA==" saltValue="Up97nDKkX1Zhyam5P1dU2A==" spinCount="100000" sheet="1" objects="1" scenarios="1"/>
  <mergeCells count="71">
    <mergeCell ref="D127:E127"/>
    <mergeCell ref="D128:E128"/>
    <mergeCell ref="D129:E129"/>
    <mergeCell ref="D119:E119"/>
    <mergeCell ref="D120:E120"/>
    <mergeCell ref="D121:E121"/>
    <mergeCell ref="D123:E123"/>
    <mergeCell ref="D125:E125"/>
    <mergeCell ref="D124:E124"/>
    <mergeCell ref="D111:E111"/>
    <mergeCell ref="D112:E112"/>
    <mergeCell ref="D113:E113"/>
    <mergeCell ref="D114:E114"/>
    <mergeCell ref="D115:E115"/>
    <mergeCell ref="D106:E106"/>
    <mergeCell ref="D107:E107"/>
    <mergeCell ref="D108:E108"/>
    <mergeCell ref="D109:E109"/>
    <mergeCell ref="D110:E110"/>
    <mergeCell ref="D101:E101"/>
    <mergeCell ref="D102:E102"/>
    <mergeCell ref="D103:E103"/>
    <mergeCell ref="D104:E104"/>
    <mergeCell ref="D105:E105"/>
    <mergeCell ref="D96:E96"/>
    <mergeCell ref="D97:E97"/>
    <mergeCell ref="D98:E98"/>
    <mergeCell ref="D99:E99"/>
    <mergeCell ref="D100:E100"/>
    <mergeCell ref="D91:E91"/>
    <mergeCell ref="D92:E92"/>
    <mergeCell ref="D93:E93"/>
    <mergeCell ref="D94:E94"/>
    <mergeCell ref="D95:E95"/>
    <mergeCell ref="D81:E81"/>
    <mergeCell ref="D87:E87"/>
    <mergeCell ref="D88:E88"/>
    <mergeCell ref="D89:E89"/>
    <mergeCell ref="D90:E90"/>
    <mergeCell ref="D32:E32"/>
    <mergeCell ref="D80:E80"/>
    <mergeCell ref="N2:O2"/>
    <mergeCell ref="K2:L2"/>
    <mergeCell ref="C9:D9"/>
    <mergeCell ref="C2:H2"/>
    <mergeCell ref="J10:N10"/>
    <mergeCell ref="C4:H4"/>
    <mergeCell ref="E9:H9"/>
    <mergeCell ref="J14:K14"/>
    <mergeCell ref="J30:K30"/>
    <mergeCell ref="J37:K37"/>
    <mergeCell ref="D36:E36"/>
    <mergeCell ref="D37:E37"/>
    <mergeCell ref="C11:E12"/>
    <mergeCell ref="D14:E14"/>
    <mergeCell ref="B11:B12"/>
    <mergeCell ref="D27:E27"/>
    <mergeCell ref="D15:E15"/>
    <mergeCell ref="D20:E20"/>
    <mergeCell ref="D26:E26"/>
    <mergeCell ref="D46:E46"/>
    <mergeCell ref="D60:E60"/>
    <mergeCell ref="D79:E79"/>
    <mergeCell ref="D38:E38"/>
    <mergeCell ref="D39:E39"/>
    <mergeCell ref="D58:E58"/>
    <mergeCell ref="D78:E78"/>
    <mergeCell ref="D61:E61"/>
    <mergeCell ref="D40:E40"/>
    <mergeCell ref="D56:E56"/>
    <mergeCell ref="D57:E57"/>
  </mergeCells>
  <hyperlinks>
    <hyperlink ref="D28" location="Lönekostnader!A1" display="Penninglönekostnader (ArPL - anställda och ArPL - företagare)"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&amp;C&amp;8FT5 Nyföretagets ekonomiplan </oddFooter>
  </headerFooter>
  <rowBreaks count="1" manualBreakCount="1">
    <brk id="67" min="2" max="18" man="1"/>
  </rowBreaks>
  <colBreaks count="1" manualBreakCount="1">
    <brk id="8" min="3" max="12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15</vt:i4>
      </vt:variant>
    </vt:vector>
  </HeadingPairs>
  <TitlesOfParts>
    <vt:vector size="32" baseType="lpstr">
      <vt:lpstr>Startsidan</vt:lpstr>
      <vt:lpstr>K1 Kostnader</vt:lpstr>
      <vt:lpstr>K2 Försäljning</vt:lpstr>
      <vt:lpstr>Kauppa AT lainat ja avustukset</vt:lpstr>
      <vt:lpstr>K3 Resultat</vt:lpstr>
      <vt:lpstr>Lönekostnader</vt:lpstr>
      <vt:lpstr>AT3 Kassa</vt:lpstr>
      <vt:lpstr>Kassabudget</vt:lpstr>
      <vt:lpstr>FS1 Kostnader </vt:lpstr>
      <vt:lpstr>FS2 Försäljning </vt:lpstr>
      <vt:lpstr>FS3 Resultat</vt:lpstr>
      <vt:lpstr>AT1 Palkat, alv</vt:lpstr>
      <vt:lpstr>AT2 Myynnin alv</vt:lpstr>
      <vt:lpstr>YP Lainat ja avustukset</vt:lpstr>
      <vt:lpstr>Ekonomiska parametrar</vt:lpstr>
      <vt:lpstr>Päivitystapahtumat</vt:lpstr>
      <vt:lpstr>Kaaviot</vt:lpstr>
      <vt:lpstr>Rahapalkat__TyEL_työntekijät</vt:lpstr>
      <vt:lpstr>'K1 Kostnader'!Teksti37</vt:lpstr>
      <vt:lpstr>'FS1 Kostnader '!Teksti38</vt:lpstr>
      <vt:lpstr>'K1 Kostnader'!Teksti38</vt:lpstr>
      <vt:lpstr>'K1 Kostnader'!Teksti39</vt:lpstr>
      <vt:lpstr>'Ekonomiska parametrar'!Tulostusalue</vt:lpstr>
      <vt:lpstr>'FS1 Kostnader '!Tulostusalue</vt:lpstr>
      <vt:lpstr>'FS2 Försäljning '!Tulostusalue</vt:lpstr>
      <vt:lpstr>'FS3 Resultat'!Tulostusalue</vt:lpstr>
      <vt:lpstr>'K1 Kostnader'!Tulostusalue</vt:lpstr>
      <vt:lpstr>'K2 Försäljning'!Tulostusalue</vt:lpstr>
      <vt:lpstr>'K3 Resultat'!Tulostusalue</vt:lpstr>
      <vt:lpstr>Kassabudget!Tulostusalue</vt:lpstr>
      <vt:lpstr>Lönekostnader!Tulostusalue</vt:lpstr>
      <vt:lpstr>Startsidan!Tulostusalue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FT5 Ekonomiplan</dc:title>
  <dc:creator>Företagstolken</dc:creator>
  <cp:keywords>Företagstolken</cp:keywords>
  <cp:lastModifiedBy>Yritystulkki</cp:lastModifiedBy>
  <cp:lastPrinted>2022-04-05T03:43:08Z</cp:lastPrinted>
  <dcterms:created xsi:type="dcterms:W3CDTF">2006-08-01T10:09:48Z</dcterms:created>
  <dcterms:modified xsi:type="dcterms:W3CDTF">2022-04-20T08:30:17Z</dcterms:modified>
</cp:coreProperties>
</file>