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FBCC746D-9621-4FE6-B5A1-E3E7F1FC45C2}"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80" yWindow="-120" windowWidth="51840" windowHeight="21120"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<sst xmlns="http://schemas.openxmlformats.org/spreadsheetml/2006/main" count="1492" uniqueCount="517">
  <si>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</si>
  <si>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</si>
  <si>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</si>
  <si>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</si>
  <si>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</si>
  <si>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</si>
  <si>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</si>
  <si>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</si>
  <si>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</si>
  <si>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</si>
  <si>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</si>
  <si>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</si>
  <si>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</si>
  <si>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</si>
  <si>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</si>
  <si>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</si>
  <si>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</si>
  <si>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</si>
  <si>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</si>
  <si>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</si>
  <si>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</si>
  <si>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</si>
  <si>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</si>
  <si>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</si>
  <si>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</si>
  <si>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</si>
  <si>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</si>
  <si>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</si>
  <si>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</si>
  <si>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</si>
  <si>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</si>
  <si>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</si>
  <si>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</si>
  <si>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</si>
  <si>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</si>
  <si>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</si>
  <si>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</si>
  <si>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</si>
  <si>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</si>
  <si>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</si>
  <si>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</si>
  <si>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</si>
  <si>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</si>
  <si>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</si>
  <si>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</si>
  <si>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</si>
  <si>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</si>
  <si>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</si>
  <si>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</si>
  <si>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</si>
  <si>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</si>
  <si>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</si>
  <si>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</si>
  <si>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</si>
  <si>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</si>
  <si>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</si>
  <si>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</si>
  <si>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</si>
  <si>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</si>
  <si>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</si>
  <si>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</si>
  <si>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</si>
  <si>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</si>
  <si>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</si>
  <si>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</si>
  <si>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</si>
  <si>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</si>
  <si>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</si>
  <si>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</si>
  <si>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</si>
  <si>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</si>
  <si>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</si>
  <si>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</si>
  <si>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</si>
  <si>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</si>
  <si>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</si>
  <si>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</si>
  <si>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</si>
  <si>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</si>
  <si>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</si>
  <si>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</si>
  <si>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</si>
  <si>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</si>
  <si>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</si>
  <si>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</si>
  <si>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</si>
  <si>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</si>
  <si>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</si>
  <si>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</si>
  <si>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</si>
  <si>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</si>
  <si>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</si>
  <si>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</si>
  <si>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</si>
  <si>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</si>
  <si>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</si>
  <si>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</si>
  <si>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</si>
  <si>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</si>
  <si>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</si>
  <si>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</si>
  <si>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</si>
  <si>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</si>
  <si>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</si>
  <si>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</si>
  <si>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</si>
  <si>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</si>
  <si>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</si>
  <si>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</si>
  <si>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</si>
  <si>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</si>
  <si>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</si>
  <si>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</si>
  <si>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</si>
  <si>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</si>
  <si>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</si>
  <si>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</si>
  <si>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</si>
  <si>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</si>
  <si>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</si>
  <si>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</si>
  <si>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</si>
  <si>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</si>
  <si>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</si>
  <si>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</si>
  <si>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</si>
  <si>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</si>
  <si>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</si>
  <si>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</si>
  <si>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</si>
  <si>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</si>
  <si>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</si>
  <si>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</si>
  <si>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</si>
  <si>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</si>
  <si>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</si>
  <si>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</si>
  <si>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</si>
  <si>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</si>
  <si>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</si>
  <si>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</si>
  <si>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</si>
  <si>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</si>
  <si>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</si>
  <si>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</si>
  <si>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</si>
  <si>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</si>
  <si>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</si>
  <si>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</si>
  <si>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</si>
  <si>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</si>
  <si>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</si>
  <si>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</si>
  <si>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</si>
  <si>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</si>
  <si>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</si>
  <si>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</si>
  <si>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</si>
  <si>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</si>
  <si>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</si>
  <si>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</si>
  <si>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</si>
  <si>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</si>
  <si>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</si>
  <si>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</si>
  <si>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</si>
  <si>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</si>
  <si>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</si>
  <si>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</si>
  <si>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</si>
  <si>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</si>
  <si>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</si>
  <si>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</si>
  <si>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</si>
  <si>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</si>
  <si>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</si>
  <si>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</si>
  <si>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</si>
  <si>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</si>
  <si>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</si>
  <si>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</si>
  <si>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</si>
  <si>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</si>
  <si>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</si>
  <si>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</si>
  <si>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</si>
  <si>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</si>
  <si>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</si>
  <si>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</si>
  <si>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</si>
  <si>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</si>
  <si>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</si>
  <si>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</si>
  <si>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</si>
  <si>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</si>
  <si>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</si>
  <si>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</si>
  <si>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</si>
  <si>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</si>
  <si>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</si>
  <si>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</si>
  <si>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</si>
  <si>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</si>
  <si>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</si>
  <si>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</si>
  <si>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</si>
  <si>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</si>
  <si>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</si>
  <si>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</si>
  <si>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</si>
  <si>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</si>
  <si>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</si>
  <si>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</si>
  <si>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</si>
  <si>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</si>
  <si>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</si>
  <si>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</si>
  <si>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</si>
  <si>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</si>
  <si>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</si>
  <si>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</si>
  <si>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</si>
  <si>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</si>
  <si>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</si>
  <si>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</si>
  <si>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</si>
  <si>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</si>
  <si>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</si>
  <si>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</si>
  <si>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</si>
  <si>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</si>
  <si>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</si>
  <si>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</si>
  <si>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</si>
  <si>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</si>
  <si>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</si>
  <si>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</si>
  <si>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</si>
  <si>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</si>
  <si>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</si>
  <si>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</si>
  <si>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</si>
  <si>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</si>
  <si>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</si>
  <si>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</si>
  <si>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</si>
  <si>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</si>
  <si>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</si>
  <si>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</si>
  <si>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</si>
  <si>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</si>
  <si>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</si>
  <si>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</si>
  <si>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</si>
  <si>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</si>
  <si>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</si>
  <si>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</si>
  <si>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</si>
  <si>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</si>
  <si>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</si>
  <si>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</si>
  <si>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</si>
  <si>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</si>
  <si>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</si>
  <si>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</si>
  <si>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</si>
  <si>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</si>
  <si>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</si>
  <si>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</si>
  <si>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</si>
  <si>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</si>
  <si>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</si>
  <si>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</si>
  <si>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</si>
  <si>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</si>
  <si>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</si>
  <si>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</si>
  <si>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</si>
  <si>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</si>
  <si>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</si>
  <si>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</si>
  <si>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</si>
  <si>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</si>
  <si>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</si>
  <si>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</si>
  <si>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</si>
  <si>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</si>
  <si>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</si>
  <si>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</si>
  <si>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</si>
  <si>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</si>
  <si>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</si>
  <si>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</si>
  <si>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</si>
  <si>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</si>
  <si>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</si>
  <si>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</si>
  <si>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</si>
  <si>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</si>
  <si>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</si>
  <si>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</si>
  <si>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</si>
  <si>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</si>
  <si>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</si>
  <si>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</si>
  <si>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</si>
  <si>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</si>
  <si>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</si>
  <si>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</si>
  <si>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</si>
  <si>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</si>
  <si>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</si>
  <si>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</si>
  <si>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</si>
  <si>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</si>
  <si>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</si>
  <si>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</si>
  <si>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</si>
  <si>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</si>
  <si>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</si>
  <si>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</si>
  <si>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</si>
  <si>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</si>
  <si>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</si>
  <si>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</si>
  <si>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</si>
  <si>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</si>
  <si>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</si>
  <si>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</si>
  <si>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</si>
  <si>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</si>
  <si>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</si>
  <si>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</si>
  <si>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</si>
  <si>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</si>
  <si>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</si>
  <si>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</si>
  <si>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</si>
  <si>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</si>
  <si>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</si>
  <si>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</si>
  <si>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</si>
  <si>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</si>
  <si>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</si>
  <si>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</si>
  <si>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</si>
  <si>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</si>
  <si>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</si>
  <si>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</si>
  <si>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</si>
  <si>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</si>
  <si>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</si>
  <si>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</si>
  <si>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</si>
  <si>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</si>
  <si>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</si>
  <si>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</si>
  <si>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</si>
  <si>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</si>
  <si>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</si>
  <si>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</si>
  <si>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</si>
  <si>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</si>
  <si>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</si>
  <si>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</si>
  <si>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</si>
  <si>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</si>
  <si>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</si>
  <si>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</si>
  <si>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</si>
  <si>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</si>
  <si>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</si>
  <si>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</si>
  <si>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</si>
  <si>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</si>
  <si>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</si>
  <si>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</si>
  <si>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</si>
  <si>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</si>
  <si>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</si>
  <si>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</si>
  <si>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</si>
  <si>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</si>
  <si>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</si>
  <si>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</si>
  <si>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</si>
  <si>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</si>
  <si>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</si>
  <si>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</si>
  <si>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</si>
  <si>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</si>
  <si>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</si>
  <si>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</si>
  <si>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</si>
  <si>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</si>
  <si>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</si>
  <si>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</si>
  <si>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</si>
  <si>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</si>
  <si>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</si>
  <si>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</si>
  <si>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</si>
  <si>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</si>
  <si>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</si>
  <si>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</si>
  <si>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</si>
  <si>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</si>
  <si>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</si>
  <si>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</si>
  <si>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</si>
  <si>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</si>
  <si>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</si>
  <si>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</si>
  <si>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</si>
  <si>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</si>
  <si>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</si>
  <si>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</si>
  <si>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</si>
  <si>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</si>
  <si>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</si>
  <si>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</si>
  <si>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</si>
  <si>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</si>
  <si>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</si>
  <si>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</si>
  <si>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</si>
  <si>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</si>
  <si>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</si>
  <si>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</si>
  <si>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</si>
  <si>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</si>
  <si>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</si>
  <si>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</si>
  <si>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</si>
  <si>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</si>
  <si>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</si>
  <si>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</si>
  <si>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</si>
  <si>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</si>
  <si>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</si>
  <si>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</si>
  <si>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</si>
  <si>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</si>
  <si>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</si>
  <si>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</si>
  <si>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</si>
  <si>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</si>
  <si>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</si>
  <si>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</si>
  <si>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</si>
  <si>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</si>
  <si>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</si>
  <si>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</si>
  <si>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</si>
  <si>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</si>
  <si>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</si>
  <si>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</si>
  <si>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</si>
  <si>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</si>
  <si>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</si>
  <si>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</si>
  <si>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</si>
  <si>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</si>
  <si>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</si>
  <si>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</si>
  <si>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</si>
  <si>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</si>
  <si>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</si>
  <si>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</si>
  <si>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</si>
  <si>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</si>
  <si>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</si>
  <si>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</si>
  <si>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</si>
  <si>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</si>
  <si>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</si>
  <si>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</si>
  <si>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</si>
  <si>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</si>
  <si>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</si>
  <si>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</si>
  <si>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</si>
  <si>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</si>
  <si>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</si>
  <si>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</si>
  <si>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</si>
  <si>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</si>
  <si>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</si>
  <si>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</si>
  <si>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</si>
  <si>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</si>
  <si>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</si>
  <si>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</si>
  <si>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</si>
  <si>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</si>
  <si>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</si>
  <si>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</si>
  <si>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</si>
  <si>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</si>
  <si>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</si>
  <si>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</si>
  <si>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</si>
  <si>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</si>
  <si>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</si>
  <si>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</si>
  <si>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</si>
  <si>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</si>
  <si>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</si>
  <si>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</si>
  <si>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</si>
  <si>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</si>
  <si>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</si>
  <si>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</si>
  <si>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</si>
  <si>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</si>
  <si>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t>Business Tornio, Keminmaa, Simo, Tervola, Ylitornio</t>
  </si>
  <si>
    <r>
      <t xml:space="preserve">KASSABUDJETTI ENSIMMÄISELLE VUODELLE </t>
    </r>
    <r>
      <rPr>
        <b/>
        <sz val="11"/>
        <color rgb="FF0152A1"/>
        <rFont val="Arial"/>
        <family val="2"/>
      </rPr>
      <t>(arvonlisäveroton liiketoiminta)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</si>
</sst>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1">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pn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07519" cy="5638255"/>
        </a:xfrm>
        <a:prstGeom prst="rect">
          <a:avLst/>
        </a:prstGeom>
      </xdr:spPr>
    </xdr:pic>
    <xdr:clientData/>
  </xdr:twoCellAnchor>
  <xdr:twoCellAnchor>
    <xdr:from>
      <xdr:col>2</xdr:col>
      <xdr:colOff>389139</xdr:colOff>
      <xdr:row>5</xdr:row>
      <xdr:rowOff>40777</xdr:rowOff>
    </xdr:from>
    <xdr:to>
      <xdr:col>6</xdr:col>
      <xdr:colOff>488673</xdr:colOff>
      <xdr:row>7</xdr:row>
      <xdr:rowOff>68859</xdr:rowOff>
    </xdr:to>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2053943" y="869038"/>
          <a:ext cx="4307100"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clientData/>
  </xdr:twoCellAnchor>
  <xdr:twoCellAnchor editAs="oneCell">
    <xdr:from>
      <xdr:col>1</xdr:col>
      <xdr:colOff>381123</xdr:colOff>
      <xdr:row>4</xdr:row>
      <xdr:rowOff>152736</xdr:rowOff>
    </xdr:from>
    <xdr:to>
      <xdr:col>2</xdr:col>
      <xdr:colOff>231339</xdr:colOff>
      <xdr:row>7</xdr:row>
      <xdr:rowOff>88318</xdr:rowOff>
    </xdr:to>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94036" y="815345"/>
          <a:ext cx="902107" cy="432538"/>
        </a:xfrm>
        <a:prstGeom prst="rect">
          <a:avLst/>
        </a:prstGeom>
      </xdr:spPr>
    </xdr:pic>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1</xdr:col>
      <xdr:colOff>1018761</xdr:colOff>
      <xdr:row>36</xdr:row>
      <xdr:rowOff>16568</xdr:rowOff>
    </xdr:from>
    <xdr:to>
      <xdr:col>7</xdr:col>
      <xdr:colOff>414543</xdr:colOff>
      <xdr:row>39</xdr:row>
      <xdr:rowOff>57375</xdr:rowOff>
    </xdr:to>
    <xdr:pic>
      <xdr:nvPicPr>
        <xdr:cNvPr id="36" name="Kuva 35">
          <a:extLst>
            <a:ext uri="{FF2B5EF4-FFF2-40B4-BE49-F238E27FC236}">
              <a16:creationId xmlns:a16="http://schemas.microsoft.com/office/drawing/2014/main" id="{774C21A5-E222-4BC8-B9B1-88F6AADD217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631674" y="5980046"/>
          <a:ext cx="5707130" cy="4383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I44" sqref="I44"/>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5"/>
      <c r="C39" s="927"/>
      <c r="D39" s="927"/>
      <c r="E39" s="927"/>
      <c r="F39" s="927"/>
      <c r="G39" s="927"/>
      <c r="H39" s="927"/>
      <c r="I39" s="927"/>
    </row>
    <row r="40" spans="2:9" x14ac:dyDescent="0.2">
      <c r="B40" s="995"/>
      <c r="C40" s="927"/>
      <c r="D40" s="927"/>
      <c r="E40" s="996" t="s">
        <v>515</v>
      </c>
      <c r="F40" s="997"/>
      <c r="G40" s="997"/>
      <c r="H40" s="997"/>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g/TGdR+hXd8Wndb6w9Mnr3si7M/GE5OrbF82Y/COnwB77iu9TZDa+7DoXQUtRlzqpsi00lvhO7Ln3+3Kfv3pcw==" saltValue="Dut3tBZ0M+zoOm68YjnQNA=="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4" t="s">
        <v>25</v>
      </c>
      <c r="H13" s="1364"/>
      <c r="I13" s="1364"/>
      <c r="O13" s="1368">
        <f>'3. Taloussuunnitelma ei alv'!J32</f>
        <v>2027</v>
      </c>
      <c r="P13" s="1369"/>
      <c r="Q13" s="1369"/>
      <c r="R13" s="1369"/>
      <c r="S13" s="1369"/>
      <c r="T13" s="1370"/>
      <c r="U13" s="1368">
        <f>'3. Taloussuunnitelma ei alv'!K32</f>
        <v>2028</v>
      </c>
      <c r="V13" s="1369"/>
      <c r="W13" s="1369"/>
      <c r="X13" s="1369"/>
      <c r="Y13" s="1369"/>
      <c r="Z13" s="1370"/>
      <c r="AA13" s="1368">
        <f>'3. Taloussuunnitelma ei alv'!M32</f>
        <v>2029</v>
      </c>
      <c r="AB13" s="1369"/>
      <c r="AC13" s="1369"/>
      <c r="AD13" s="1369"/>
      <c r="AE13" s="1369"/>
      <c r="AF13" s="1370"/>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5" t="s">
        <v>30</v>
      </c>
      <c r="D21" s="1365"/>
      <c r="E21" s="1365"/>
      <c r="G21" s="1365" t="s">
        <v>356</v>
      </c>
      <c r="H21" s="1365"/>
      <c r="I21" s="1365"/>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4" t="s">
        <v>31</v>
      </c>
      <c r="H30" s="1364"/>
      <c r="I30" s="1364"/>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6" t="s">
        <v>409</v>
      </c>
      <c r="D51" s="1367"/>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2" t="s">
        <v>400</v>
      </c>
      <c r="D68" s="1363"/>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Business Tornio, Keminmaa, Simo, Tervola, Ylitornio</v>
      </c>
      <c r="K4" s="1158"/>
      <c r="L4" s="1158"/>
      <c r="M4" s="1158"/>
      <c r="R4" s="249"/>
    </row>
    <row r="5" spans="2:24" ht="13.35" customHeight="1" x14ac:dyDescent="0.2">
      <c r="B5" s="1221"/>
      <c r="C5" s="1114" t="s">
        <v>131</v>
      </c>
      <c r="D5" s="1114"/>
      <c r="E5" s="1114"/>
      <c r="F5" s="282"/>
      <c r="G5" s="282"/>
      <c r="H5" s="403">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142"/>
      <c r="D7" s="1142"/>
      <c r="E7" s="1142"/>
      <c r="F7" s="24"/>
      <c r="G7" s="24"/>
      <c r="H7" s="1142">
        <v>0</v>
      </c>
      <c r="I7" s="1142"/>
      <c r="J7" s="1142"/>
      <c r="K7" s="1142"/>
      <c r="L7" s="1142"/>
      <c r="M7" s="1142"/>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928" t="s">
        <v>369</v>
      </c>
      <c r="P9" s="929"/>
      <c r="Q9" s="929"/>
      <c r="R9" s="929"/>
      <c r="S9" s="929"/>
      <c r="T9" s="929"/>
      <c r="U9" s="929"/>
      <c r="V9" s="929"/>
      <c r="W9" s="929"/>
      <c r="X9" s="930"/>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476">
        <v>0</v>
      </c>
      <c r="F11" s="1060">
        <v>0</v>
      </c>
      <c r="G11" s="1060"/>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502</v>
      </c>
      <c r="D12" s="1056"/>
      <c r="E12" s="476">
        <v>0</v>
      </c>
      <c r="F12" s="1060">
        <v>0</v>
      </c>
      <c r="G12" s="1060"/>
      <c r="H12" s="1080" t="s">
        <v>85</v>
      </c>
      <c r="I12" s="1080"/>
      <c r="J12" s="477">
        <v>0</v>
      </c>
      <c r="K12" s="491">
        <v>0</v>
      </c>
      <c r="L12" s="492">
        <v>0</v>
      </c>
      <c r="M12" s="493">
        <v>0</v>
      </c>
      <c r="O12" s="685"/>
      <c r="P12" s="683"/>
      <c r="Q12" s="683"/>
      <c r="R12" s="683"/>
      <c r="S12" s="683"/>
      <c r="T12" s="683"/>
      <c r="U12" s="683"/>
      <c r="V12" s="683"/>
      <c r="W12" s="683"/>
      <c r="X12" s="684"/>
    </row>
    <row r="13" spans="2:24" ht="13.5" customHeight="1" x14ac:dyDescent="0.2">
      <c r="C13" s="1146" t="s">
        <v>503</v>
      </c>
      <c r="D13" s="1147"/>
      <c r="E13" s="476">
        <v>0</v>
      </c>
      <c r="F13" s="1060">
        <v>0</v>
      </c>
      <c r="G13" s="1060"/>
      <c r="H13" s="1148" t="s">
        <v>84</v>
      </c>
      <c r="I13" s="1149"/>
      <c r="J13" s="476">
        <v>0</v>
      </c>
      <c r="K13" s="485">
        <v>0</v>
      </c>
      <c r="L13" s="486">
        <v>0</v>
      </c>
      <c r="M13" s="487">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080"/>
      <c r="I14" s="1080"/>
      <c r="J14" s="476">
        <v>0</v>
      </c>
      <c r="K14" s="485">
        <v>0</v>
      </c>
      <c r="L14" s="486">
        <v>0</v>
      </c>
      <c r="M14" s="487">
        <v>0</v>
      </c>
      <c r="O14" s="685"/>
      <c r="P14" s="683"/>
      <c r="Q14" s="683"/>
      <c r="R14" s="683"/>
      <c r="S14" s="683"/>
      <c r="T14" s="683"/>
      <c r="U14" s="683"/>
      <c r="V14" s="683"/>
      <c r="W14" s="683"/>
      <c r="X14" s="684"/>
    </row>
    <row r="15" spans="2:24" ht="13.5" customHeight="1" x14ac:dyDescent="0.2">
      <c r="C15" s="1052"/>
      <c r="D15" s="1053"/>
      <c r="E15" s="476">
        <v>0</v>
      </c>
      <c r="F15" s="1060">
        <v>0</v>
      </c>
      <c r="G15" s="1060"/>
      <c r="H15" s="1104" t="s">
        <v>194</v>
      </c>
      <c r="I15" s="1009"/>
      <c r="J15" s="476">
        <v>0</v>
      </c>
      <c r="K15" s="1043">
        <v>0</v>
      </c>
      <c r="L15" s="1043"/>
      <c r="M15" s="487">
        <v>0</v>
      </c>
      <c r="O15" s="685"/>
      <c r="P15" s="683"/>
      <c r="Q15" s="683"/>
      <c r="R15" s="683"/>
      <c r="S15" s="683"/>
      <c r="T15" s="683"/>
      <c r="U15" s="683"/>
      <c r="V15" s="683"/>
      <c r="W15" s="683"/>
      <c r="X15" s="684"/>
    </row>
    <row r="16" spans="2:24" ht="13.5" customHeight="1" x14ac:dyDescent="0.2">
      <c r="C16" s="1148"/>
      <c r="D16" s="1152"/>
      <c r="E16" s="476">
        <v>0</v>
      </c>
      <c r="F16" s="1060">
        <v>0</v>
      </c>
      <c r="G16" s="1060"/>
      <c r="H16" s="1104" t="s">
        <v>195</v>
      </c>
      <c r="I16" s="1009"/>
      <c r="J16" s="476">
        <v>0</v>
      </c>
      <c r="K16" s="1043">
        <v>0</v>
      </c>
      <c r="L16" s="1043"/>
      <c r="M16" s="487">
        <v>0</v>
      </c>
      <c r="O16" s="685"/>
      <c r="P16" s="683"/>
      <c r="Q16" s="683"/>
      <c r="R16" s="683"/>
      <c r="S16" s="683"/>
      <c r="T16" s="683"/>
      <c r="U16" s="683"/>
      <c r="V16" s="683"/>
      <c r="W16" s="683"/>
      <c r="X16" s="684"/>
    </row>
    <row r="17" spans="1:24" ht="13.5" customHeight="1" x14ac:dyDescent="0.2">
      <c r="C17" s="1037"/>
      <c r="D17" s="1038"/>
      <c r="E17" s="476">
        <v>0</v>
      </c>
      <c r="F17" s="1060">
        <v>0</v>
      </c>
      <c r="G17" s="1060"/>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504</v>
      </c>
      <c r="D18" s="1106"/>
      <c r="E18" s="482">
        <v>0</v>
      </c>
      <c r="F18" s="1060">
        <v>0</v>
      </c>
      <c r="G18" s="1060"/>
      <c r="H18" s="1080" t="s">
        <v>440</v>
      </c>
      <c r="I18" s="1080"/>
      <c r="J18" s="1080"/>
      <c r="K18" s="1080"/>
      <c r="L18" s="1080"/>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5" t="s">
        <v>505</v>
      </c>
      <c r="D19" s="1056"/>
      <c r="E19" s="482"/>
      <c r="F19" s="1060">
        <v>0</v>
      </c>
      <c r="G19" s="1060"/>
      <c r="H19" s="1057" t="s">
        <v>442</v>
      </c>
      <c r="I19" s="1058"/>
      <c r="J19" s="1058"/>
      <c r="K19" s="1058"/>
      <c r="L19" s="1059"/>
      <c r="M19" s="487">
        <v>0</v>
      </c>
      <c r="O19" s="685"/>
      <c r="P19" s="683"/>
      <c r="Q19" s="683"/>
      <c r="R19" s="683"/>
      <c r="S19" s="683"/>
      <c r="T19" s="683"/>
      <c r="U19" s="683"/>
      <c r="V19" s="683"/>
      <c r="W19" s="683"/>
      <c r="X19" s="684"/>
    </row>
    <row r="20" spans="1:24" ht="13.5" customHeight="1" x14ac:dyDescent="0.2">
      <c r="C20" s="1088" t="s">
        <v>509</v>
      </c>
      <c r="D20" s="1089"/>
      <c r="E20" s="483">
        <v>0</v>
      </c>
      <c r="F20" s="1093">
        <v>0</v>
      </c>
      <c r="G20" s="1093"/>
      <c r="H20" s="1081"/>
      <c r="I20" s="1081"/>
      <c r="J20" s="1081"/>
      <c r="K20" s="1081"/>
      <c r="L20" s="1081"/>
      <c r="M20" s="487">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085" t="s">
        <v>197</v>
      </c>
      <c r="I21" s="1085"/>
      <c r="J21" s="1085"/>
      <c r="K21" s="1085"/>
      <c r="L21" s="1086"/>
      <c r="M21" s="449">
        <f>IF((F13+F14+F21-F20-M15-F18)*0.20319&lt;0,0,(F13+F14+F21-F20-M15-F18)*0.20319)</f>
        <v>0</v>
      </c>
      <c r="O21" s="685"/>
      <c r="P21" s="683"/>
      <c r="Q21" s="683"/>
      <c r="R21" s="683"/>
      <c r="S21" s="683"/>
      <c r="T21" s="683"/>
      <c r="U21" s="683"/>
      <c r="V21" s="683"/>
      <c r="W21" s="683"/>
      <c r="X21" s="684"/>
    </row>
    <row r="22" spans="1:24" ht="13.5" customHeight="1" x14ac:dyDescent="0.2">
      <c r="C22" s="1052"/>
      <c r="D22" s="1053"/>
      <c r="E22" s="1054"/>
      <c r="F22" s="1014">
        <v>0</v>
      </c>
      <c r="G22" s="1015"/>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037"/>
      <c r="D23" s="1038"/>
      <c r="E23" s="1039"/>
      <c r="F23" s="1014">
        <v>0</v>
      </c>
      <c r="G23" s="1015"/>
      <c r="H23" s="1049" t="s">
        <v>443</v>
      </c>
      <c r="I23" s="1049"/>
      <c r="J23" s="1049"/>
      <c r="K23" s="1049"/>
      <c r="L23" s="1050"/>
      <c r="M23" s="487">
        <v>0</v>
      </c>
      <c r="O23" s="685"/>
      <c r="P23" s="683"/>
      <c r="Q23" s="683"/>
      <c r="R23" s="683"/>
      <c r="S23" s="683"/>
      <c r="T23" s="683"/>
      <c r="U23" s="683"/>
      <c r="V23" s="683"/>
      <c r="W23" s="683"/>
      <c r="X23" s="684"/>
    </row>
    <row r="24" spans="1:24" ht="13.5" customHeight="1" x14ac:dyDescent="0.2">
      <c r="C24" s="1051" t="s">
        <v>191</v>
      </c>
      <c r="D24" s="1051"/>
      <c r="E24" s="1051"/>
      <c r="F24" s="1090">
        <v>0</v>
      </c>
      <c r="G24" s="1090"/>
      <c r="H24" s="1058" t="s">
        <v>444</v>
      </c>
      <c r="I24" s="1058"/>
      <c r="J24" s="1058"/>
      <c r="K24" s="1058"/>
      <c r="L24" s="1059"/>
      <c r="M24" s="487">
        <v>0</v>
      </c>
      <c r="O24" s="685"/>
      <c r="P24" s="683"/>
      <c r="Q24" s="683"/>
      <c r="R24" s="683"/>
      <c r="S24" s="683"/>
      <c r="T24" s="683"/>
      <c r="U24" s="683"/>
      <c r="V24" s="683"/>
      <c r="W24" s="683"/>
      <c r="X24" s="684"/>
    </row>
    <row r="25" spans="1:24" ht="13.5" customHeight="1" x14ac:dyDescent="0.2">
      <c r="A25" s="1234"/>
      <c r="B25" s="1234"/>
      <c r="C25" s="1051" t="s">
        <v>192</v>
      </c>
      <c r="D25" s="1051"/>
      <c r="E25" s="1051"/>
      <c r="F25" s="1040">
        <v>0</v>
      </c>
      <c r="G25" s="1040"/>
      <c r="H25" s="1058" t="s">
        <v>0</v>
      </c>
      <c r="I25" s="1058"/>
      <c r="J25" s="1058"/>
      <c r="K25" s="1058"/>
      <c r="L25" s="1059"/>
      <c r="M25" s="487">
        <v>0</v>
      </c>
      <c r="O25" s="685"/>
      <c r="P25" s="683"/>
      <c r="Q25" s="683"/>
      <c r="R25" s="683"/>
      <c r="S25" s="683"/>
      <c r="T25" s="683"/>
      <c r="U25" s="683"/>
      <c r="V25" s="683"/>
      <c r="W25" s="683"/>
      <c r="X25" s="684"/>
    </row>
    <row r="26" spans="1:24" ht="13.5" customHeight="1" x14ac:dyDescent="0.2">
      <c r="A26" s="1234"/>
      <c r="B26" s="1234"/>
      <c r="C26" s="1051" t="s">
        <v>199</v>
      </c>
      <c r="D26" s="1051"/>
      <c r="E26" s="1051"/>
      <c r="F26" s="1040">
        <v>0</v>
      </c>
      <c r="G26" s="1040"/>
      <c r="H26" s="1101"/>
      <c r="I26" s="1102"/>
      <c r="J26" s="1102"/>
      <c r="K26" s="1102"/>
      <c r="L26" s="1103"/>
      <c r="M26" s="487">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4"/>
      <c r="B29" s="1234"/>
      <c r="C29" s="1046" t="s">
        <v>166</v>
      </c>
      <c r="D29" s="1046"/>
      <c r="E29" s="1046"/>
      <c r="F29" s="1115">
        <f>ROUND(F27-M27,0)</f>
        <v>0</v>
      </c>
      <c r="G29" s="1116"/>
      <c r="H29" s="1046" t="s">
        <v>159</v>
      </c>
      <c r="I29" s="1046"/>
      <c r="J29" s="1046"/>
      <c r="K29" s="1046"/>
      <c r="L29" s="1046"/>
      <c r="M29" s="484">
        <f>M17+M21</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tr">
        <f>IF(J33=12,"TOIMINTAKUSTANNUKSET TILIKAUDELLA ALV 0 %","TOIMINTAKUSTANNUKSET TILIKAUDELLA. HUOMIOI KUSTANNUKSISSA TILIKAUDEN PITUUS!")</f>
        <v>TOIMINTAKUSTANNUKSET TILIKAUDELLA ALV 0 %</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496">
        <v>2027</v>
      </c>
      <c r="K32" s="1047">
        <f>J32+1</f>
        <v>2028</v>
      </c>
      <c r="L32" s="1048"/>
      <c r="M32" s="496">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910">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'4 AT Lainat ja avustukset alv'!G30</f>
        <v>0</v>
      </c>
      <c r="K34" s="1179">
        <f>'4 AT Lainat ja avustukset alv'!H30</f>
        <v>0</v>
      </c>
      <c r="L34" s="1180">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1">
        <f>'4 AT Lainat ja avustukset alv'!G22</f>
        <v>0</v>
      </c>
      <c r="K35" s="1044">
        <f>'4 AT Lainat ja avustukset alv'!H22</f>
        <v>0</v>
      </c>
      <c r="L35" s="1045">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1">
        <f>'4 AT Lainat ja avustukset alv'!G39</f>
        <v>0</v>
      </c>
      <c r="K36" s="1044">
        <f>'4 AT Lainat ja avustukset alv'!H39</f>
        <v>0</v>
      </c>
      <c r="L36" s="1045">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49">
        <f>IF($M16=0,0,-M33*PMT($J16/12,$K16*12,$M16)+M33*10)</f>
        <v>0</v>
      </c>
      <c r="O37" s="1131" t="s">
        <v>168</v>
      </c>
      <c r="P37" s="1132"/>
      <c r="Q37" s="683"/>
      <c r="R37" s="683"/>
      <c r="S37" s="683"/>
      <c r="T37" s="683"/>
      <c r="U37" s="683"/>
      <c r="V37" s="683"/>
      <c r="W37" s="683"/>
      <c r="X37" s="684"/>
    </row>
    <row r="38" spans="2:27" s="2" customFormat="1" ht="12.75" customHeight="1" x14ac:dyDescent="0.2">
      <c r="B38" s="253" t="s">
        <v>61</v>
      </c>
      <c r="C38" s="466" t="s">
        <v>141</v>
      </c>
      <c r="D38" s="1008" t="s">
        <v>337</v>
      </c>
      <c r="E38" s="1008"/>
      <c r="F38" s="1008"/>
      <c r="G38" s="1008"/>
      <c r="H38" s="1009"/>
      <c r="I38" s="497">
        <f>J38/J$33</f>
        <v>0</v>
      </c>
      <c r="J38" s="502">
        <f>J39*J41</f>
        <v>0</v>
      </c>
      <c r="K38" s="1022">
        <f>K39*K41</f>
        <v>0</v>
      </c>
      <c r="L38" s="1023"/>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6" t="s">
        <v>447</v>
      </c>
      <c r="E39" s="1006"/>
      <c r="F39" s="1006"/>
      <c r="G39" s="1006"/>
      <c r="H39" s="1007"/>
      <c r="I39" s="498"/>
      <c r="J39" s="503">
        <v>0</v>
      </c>
      <c r="K39" s="1017">
        <f>J39+J39*O39</f>
        <v>0</v>
      </c>
      <c r="L39" s="1018">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0" t="s">
        <v>448</v>
      </c>
      <c r="E40" s="1000"/>
      <c r="F40" s="1000"/>
      <c r="G40" s="1000"/>
      <c r="H40" s="1001"/>
      <c r="I40" s="498"/>
      <c r="J40" s="503">
        <v>0</v>
      </c>
      <c r="K40" s="1140">
        <f>J40</f>
        <v>0</v>
      </c>
      <c r="L40" s="1141"/>
      <c r="M40" s="511">
        <f>K40</f>
        <v>0</v>
      </c>
      <c r="O40" s="656"/>
      <c r="P40" s="657"/>
      <c r="Q40" s="683"/>
      <c r="R40" s="683"/>
      <c r="S40" s="683"/>
      <c r="T40" s="683"/>
      <c r="U40" s="683"/>
      <c r="V40" s="683"/>
      <c r="W40" s="683"/>
      <c r="X40" s="684"/>
    </row>
    <row r="41" spans="2:27" s="2" customFormat="1" ht="12" customHeight="1" x14ac:dyDescent="0.2">
      <c r="B41" s="278"/>
      <c r="C41" s="517"/>
      <c r="D41" s="998" t="s">
        <v>449</v>
      </c>
      <c r="E41" s="998"/>
      <c r="F41" s="998"/>
      <c r="G41" s="998"/>
      <c r="H41" s="999"/>
      <c r="I41" s="498">
        <v>0</v>
      </c>
      <c r="J41" s="504">
        <v>12</v>
      </c>
      <c r="K41" s="1024">
        <v>12.5</v>
      </c>
      <c r="L41" s="1025"/>
      <c r="M41" s="512">
        <f>K41</f>
        <v>12.5</v>
      </c>
      <c r="O41" s="658"/>
      <c r="P41" s="659"/>
      <c r="Q41" s="683"/>
      <c r="R41" s="683"/>
      <c r="S41" s="683"/>
      <c r="T41" s="683"/>
      <c r="U41" s="683"/>
      <c r="V41" s="683"/>
      <c r="W41" s="683"/>
      <c r="X41" s="684"/>
    </row>
    <row r="42" spans="2:27" s="2" customFormat="1" ht="12.75" customHeight="1" x14ac:dyDescent="0.2">
      <c r="B42" s="253" t="s">
        <v>61</v>
      </c>
      <c r="C42" s="466" t="s">
        <v>142</v>
      </c>
      <c r="D42" s="1008" t="s">
        <v>338</v>
      </c>
      <c r="E42" s="1008"/>
      <c r="F42" s="1008"/>
      <c r="G42" s="1008"/>
      <c r="H42" s="1009"/>
      <c r="I42" s="497">
        <f>J42/J$33</f>
        <v>0</v>
      </c>
      <c r="J42" s="502">
        <f>J43*J45</f>
        <v>0</v>
      </c>
      <c r="K42" s="1022">
        <f t="shared" ref="K42:L42" si="1">K43*K45+K44*K45*$Z45</f>
        <v>0</v>
      </c>
      <c r="L42" s="1023">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7">
        <f>J43+J43*O43</f>
        <v>0</v>
      </c>
      <c r="L43" s="1018">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0">
        <f>J44</f>
        <v>0</v>
      </c>
      <c r="L44" s="1141"/>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4">
        <v>12.5</v>
      </c>
      <c r="L45" s="1025"/>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09" t="s">
        <v>180</v>
      </c>
      <c r="E46" s="1051"/>
      <c r="F46" s="1010">
        <v>0.35</v>
      </c>
      <c r="G46" s="1010"/>
      <c r="H46" s="523" t="s">
        <v>58</v>
      </c>
      <c r="I46" s="497">
        <f>J46/J$33</f>
        <v>0</v>
      </c>
      <c r="J46" s="502">
        <f>$F46*(J42+J44*J45)</f>
        <v>0</v>
      </c>
      <c r="K46" s="1224">
        <f>$F46*(K42+K44*K33)</f>
        <v>0</v>
      </c>
      <c r="L46" s="1225"/>
      <c r="M46" s="494">
        <f>$F46*(M42+M44*M33)</f>
        <v>0</v>
      </c>
      <c r="O46" s="1129"/>
      <c r="P46" s="1130"/>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3">K48*K49+K50+K51</f>
        <v>0</v>
      </c>
      <c r="L47" s="1023"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505">
        <f>J38+J40*J41</f>
        <v>0</v>
      </c>
      <c r="K48" s="1236">
        <f>K38+K40*K41</f>
        <v>0</v>
      </c>
      <c r="L48" s="1237">
        <f>K48 +K48*O48</f>
        <v>0</v>
      </c>
      <c r="M48" s="513">
        <f>M38+M40*M41</f>
        <v>0</v>
      </c>
      <c r="O48" s="985"/>
      <c r="P48" s="986"/>
      <c r="Q48" s="683"/>
      <c r="R48" s="683"/>
      <c r="S48" s="683"/>
      <c r="T48" s="683"/>
      <c r="U48" s="683"/>
      <c r="V48" s="683"/>
      <c r="W48" s="683"/>
      <c r="X48" s="684"/>
    </row>
    <row r="49" spans="2:24" ht="12" customHeight="1" x14ac:dyDescent="0.2">
      <c r="B49" s="90"/>
      <c r="C49" s="516"/>
      <c r="D49" s="1000" t="s">
        <v>450</v>
      </c>
      <c r="E49" s="1000"/>
      <c r="F49" s="1000"/>
      <c r="G49" s="1000"/>
      <c r="H49" s="1001"/>
      <c r="I49" s="498">
        <v>0</v>
      </c>
      <c r="J49" s="506">
        <v>0.1903</v>
      </c>
      <c r="K49" s="1107">
        <f>J49</f>
        <v>0.1903</v>
      </c>
      <c r="L49" s="1108"/>
      <c r="M49" s="514">
        <f>K49</f>
        <v>0.1903</v>
      </c>
      <c r="O49" s="987"/>
      <c r="P49" s="665"/>
      <c r="Q49" s="683"/>
      <c r="R49" s="683"/>
      <c r="S49" s="683"/>
      <c r="T49" s="683"/>
      <c r="U49" s="683"/>
      <c r="V49" s="683"/>
      <c r="W49" s="683"/>
      <c r="X49" s="684"/>
    </row>
    <row r="50" spans="2:24" ht="12" customHeight="1" x14ac:dyDescent="0.2">
      <c r="B50" s="90"/>
      <c r="C50" s="517"/>
      <c r="D50" s="998" t="s">
        <v>451</v>
      </c>
      <c r="E50" s="998"/>
      <c r="F50" s="998"/>
      <c r="G50" s="998"/>
      <c r="H50" s="999"/>
      <c r="I50" s="499">
        <v>0</v>
      </c>
      <c r="J50" s="503">
        <v>0</v>
      </c>
      <c r="K50" s="1017">
        <f>J50</f>
        <v>0</v>
      </c>
      <c r="L50" s="1018"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6">
        <f>K33*((1.7%*K48+1.91%*(K38+K40*12))+0.008*$M10)/12</f>
        <v>0</v>
      </c>
      <c r="L51" s="1227">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553">
        <v>0</v>
      </c>
      <c r="K53" s="1228">
        <f>(J53+J53*O53)*12/J$33</f>
        <v>0</v>
      </c>
      <c r="L53" s="1229"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503">
        <v>0</v>
      </c>
      <c r="K54" s="1017">
        <f>(J54+J54*O54)*12/J$33</f>
        <v>0</v>
      </c>
      <c r="L54" s="1018"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6">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503">
        <v>0</v>
      </c>
      <c r="K56" s="1017">
        <f>(J56+J56*O56)*12/J$33</f>
        <v>0</v>
      </c>
      <c r="L56" s="1018"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0" t="s">
        <v>457</v>
      </c>
      <c r="E57" s="1000"/>
      <c r="F57" s="1000"/>
      <c r="G57" s="1000"/>
      <c r="H57" s="1001"/>
      <c r="I57" s="498">
        <v>0</v>
      </c>
      <c r="J57" s="503">
        <v>0</v>
      </c>
      <c r="K57" s="1017">
        <f>(J57+J57*O57)*12/J$33</f>
        <v>0</v>
      </c>
      <c r="L57" s="1018"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503">
        <v>0</v>
      </c>
      <c r="K58" s="1017">
        <f>(J58+J58*O58)*12/J$33</f>
        <v>0</v>
      </c>
      <c r="L58" s="1018"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7">K62*K61</f>
        <v>0</v>
      </c>
      <c r="L60" s="1045">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503">
        <v>0</v>
      </c>
      <c r="K61" s="1017">
        <f>I61+I61*O61</f>
        <v>0</v>
      </c>
      <c r="L61" s="1018">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503">
        <v>12</v>
      </c>
      <c r="K62" s="1017">
        <f>J62</f>
        <v>12</v>
      </c>
      <c r="L62" s="1018">
        <f>L33</f>
        <v>0</v>
      </c>
      <c r="M62" s="511">
        <f>K62</f>
        <v>12</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10">J63/J$33</f>
        <v>0</v>
      </c>
      <c r="J63" s="503">
        <v>0</v>
      </c>
      <c r="K63" s="1017">
        <f t="shared" ref="K63:K68" si="11">(J63+J63*O63)*12/J$33</f>
        <v>0</v>
      </c>
      <c r="L63" s="1018"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10"/>
        <v>0</v>
      </c>
      <c r="J64" s="503">
        <v>0</v>
      </c>
      <c r="K64" s="1017">
        <f t="shared" si="11"/>
        <v>0</v>
      </c>
      <c r="L64" s="1018"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10"/>
        <v>0</v>
      </c>
      <c r="J65" s="503">
        <v>0</v>
      </c>
      <c r="K65" s="1017">
        <f t="shared" si="11"/>
        <v>0</v>
      </c>
      <c r="L65" s="1018"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10"/>
        <v>0</v>
      </c>
      <c r="J66" s="503">
        <v>0</v>
      </c>
      <c r="K66" s="1017">
        <f t="shared" si="11"/>
        <v>0</v>
      </c>
      <c r="L66" s="1018"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10"/>
        <v>0</v>
      </c>
      <c r="J67" s="503">
        <v>0</v>
      </c>
      <c r="K67" s="1017">
        <f t="shared" si="11"/>
        <v>0</v>
      </c>
      <c r="L67" s="1018"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10"/>
        <v>0</v>
      </c>
      <c r="J68" s="503">
        <v>0</v>
      </c>
      <c r="K68" s="1017">
        <f t="shared" si="11"/>
        <v>0</v>
      </c>
      <c r="L68" s="1018"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503">
        <v>0</v>
      </c>
      <c r="K69" s="1017">
        <f t="shared" ref="K69" si="14">J69+J69*O69</f>
        <v>0</v>
      </c>
      <c r="L69" s="1018">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10"/>
        <v>0</v>
      </c>
      <c r="J70" s="503"/>
      <c r="K70" s="1017">
        <f>(J70+J70*O70)*12/J$33</f>
        <v>0</v>
      </c>
      <c r="L70" s="1018" t="e">
        <f>K70*12/K$11</f>
        <v>#VALUE!</v>
      </c>
      <c r="M70" s="511">
        <f t="shared" si="13"/>
        <v>0</v>
      </c>
      <c r="O70" s="476">
        <v>0.03</v>
      </c>
      <c r="P70" s="476">
        <f>O70</f>
        <v>0.03</v>
      </c>
      <c r="Q70" s="686"/>
      <c r="R70" s="686"/>
      <c r="S70" s="686"/>
      <c r="T70" s="686"/>
      <c r="U70" s="686"/>
      <c r="V70" s="686"/>
      <c r="W70" s="686"/>
      <c r="X70" s="687"/>
    </row>
    <row r="71" spans="1:24" ht="12.75" customHeight="1" x14ac:dyDescent="0.2">
      <c r="B71" s="1235" t="s">
        <v>80</v>
      </c>
      <c r="C71" s="545" t="s">
        <v>0</v>
      </c>
      <c r="D71" s="1135" t="str">
        <f>D31</f>
        <v>TOIMINTAKUSTANNUKSET TILIKAUDELLA ALV 0 %</v>
      </c>
      <c r="E71" s="1135"/>
      <c r="F71" s="1135"/>
      <c r="G71" s="1135"/>
      <c r="H71" s="1136"/>
      <c r="I71" s="1139" t="s">
        <v>134</v>
      </c>
      <c r="J71" s="1082"/>
      <c r="K71" s="1123" t="s">
        <v>135</v>
      </c>
      <c r="L71" s="1124"/>
      <c r="M71" s="541" t="s">
        <v>137</v>
      </c>
      <c r="N71" s="271"/>
      <c r="O71" s="661"/>
      <c r="P71" s="660"/>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656"/>
      <c r="P72" s="657"/>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525">
        <v>0.3</v>
      </c>
      <c r="I74" s="449">
        <f t="shared" ref="I74:I86" si="16">J74/J$33</f>
        <v>0</v>
      </c>
      <c r="J74" s="449">
        <f>IF($M$15=0,0,J33*'4 AT Lainat ja avustukset alv'!$G$61/12)</f>
        <v>0</v>
      </c>
      <c r="K74" s="1036">
        <f>IF($M15=0,0,IF($K15&gt;1,'4 AT Lainat ja avustukset alv'!$G61,0))</f>
        <v>0</v>
      </c>
      <c r="L74" s="1036"/>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6"/>
        <v>0</v>
      </c>
      <c r="J75" s="449">
        <f>J76*J77*J78+J79+J80+J82+J81</f>
        <v>0</v>
      </c>
      <c r="K75" s="1036">
        <f t="shared" ref="K75:L75" si="17">K76*K77*K78+K79+K80+K82+K81</f>
        <v>0</v>
      </c>
      <c r="L75" s="1036"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6"/>
        <v>0</v>
      </c>
      <c r="J76" s="454">
        <v>0</v>
      </c>
      <c r="K76" s="1030">
        <f>(J76+J76*O76)*12/J$33</f>
        <v>0</v>
      </c>
      <c r="L76" s="1030"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451">
        <v>0</v>
      </c>
      <c r="K77" s="1067">
        <f>J77</f>
        <v>0</v>
      </c>
      <c r="L77" s="1067"/>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451">
        <v>0</v>
      </c>
      <c r="K78" s="1067">
        <f t="shared" ref="K78" si="18">J78+J78*O78</f>
        <v>0</v>
      </c>
      <c r="L78" s="1067">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6"/>
        <v>0</v>
      </c>
      <c r="J79" s="454">
        <v>0</v>
      </c>
      <c r="K79" s="1030">
        <f>(J79+J79*O79)*12/J$33</f>
        <v>0</v>
      </c>
      <c r="L79" s="1030"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6"/>
        <v>0</v>
      </c>
      <c r="J80" s="454">
        <v>0</v>
      </c>
      <c r="K80" s="1030">
        <f>(J80+J80*O80)*12/J$33</f>
        <v>0</v>
      </c>
      <c r="L80" s="1030"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454">
        <v>0</v>
      </c>
      <c r="K81" s="1030">
        <f>(J81+J81*O81)*12/J$33</f>
        <v>0</v>
      </c>
      <c r="L81" s="1030"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6"/>
        <v>0</v>
      </c>
      <c r="J82" s="454">
        <v>0</v>
      </c>
      <c r="K82" s="1030">
        <f>(J82+J82*O82)*12/J$33</f>
        <v>0</v>
      </c>
      <c r="L82" s="1030"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20">SUM(K84:K86)</f>
        <v>0</v>
      </c>
      <c r="L83" s="1134"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454">
        <v>0</v>
      </c>
      <c r="K84" s="1030">
        <f>(J84+J84*O84)*12/J$33</f>
        <v>0</v>
      </c>
      <c r="L84" s="1030"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21">J85/J$33</f>
        <v>0</v>
      </c>
      <c r="J85" s="454">
        <v>0</v>
      </c>
      <c r="K85" s="1030">
        <f>(J85+J85*O85)*12/J$33</f>
        <v>0</v>
      </c>
      <c r="L85" s="1030"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6"/>
        <v>0</v>
      </c>
      <c r="J86" s="454">
        <v>0</v>
      </c>
      <c r="K86" s="1030">
        <f>(J86+J86*O86)*12/J$33</f>
        <v>0</v>
      </c>
      <c r="L86" s="1030"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664"/>
      <c r="P87" s="66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454">
        <v>0</v>
      </c>
      <c r="K88" s="1030">
        <f>(J88+J88*O88)*12/J$33</f>
        <v>0</v>
      </c>
      <c r="L88" s="1030"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454">
        <v>0</v>
      </c>
      <c r="K89" s="1030">
        <f>(J89+J89*O89)*12/J$33</f>
        <v>0</v>
      </c>
      <c r="L89" s="1030"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454">
        <v>0</v>
      </c>
      <c r="K90" s="1030">
        <f>(J90+J90*O90)*12/J$33</f>
        <v>0</v>
      </c>
      <c r="L90" s="1030"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454">
        <v>0</v>
      </c>
      <c r="K91" s="1030">
        <f>(J91+J91*O91)*12/J$33</f>
        <v>0</v>
      </c>
      <c r="L91" s="1030"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0">
        <f>(J92+J92*O92)*12/J$33</f>
        <v>0</v>
      </c>
      <c r="L92" s="1040"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6">
        <f t="shared" ref="K93:L93" si="24">K94*K95+K97*K96</f>
        <v>0</v>
      </c>
      <c r="L93" s="1036"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454">
        <v>0</v>
      </c>
      <c r="K94" s="1030">
        <f>J94*12/J$33</f>
        <v>0</v>
      </c>
      <c r="L94" s="1030"/>
      <c r="M94" s="454">
        <f>K94</f>
        <v>0</v>
      </c>
      <c r="O94" s="666"/>
      <c r="P94" s="667"/>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531">
        <v>0.55000000000000004</v>
      </c>
      <c r="K95" s="1172">
        <f>J95</f>
        <v>0.55000000000000004</v>
      </c>
      <c r="L95" s="1172"/>
      <c r="M95" s="531">
        <f>K95</f>
        <v>0.55000000000000004</v>
      </c>
      <c r="O95" s="666"/>
      <c r="P95" s="667"/>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454">
        <v>0</v>
      </c>
      <c r="K96" s="1030">
        <f>(J96*12/J$33)</f>
        <v>0</v>
      </c>
      <c r="L96" s="1030" t="e">
        <f>K96*12/K$10</f>
        <v>#DIV/0!</v>
      </c>
      <c r="M96" s="454">
        <f>K96</f>
        <v>0</v>
      </c>
      <c r="O96" s="666"/>
      <c r="P96" s="667"/>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451">
        <v>0</v>
      </c>
      <c r="K97" s="1067">
        <f>J97</f>
        <v>0</v>
      </c>
      <c r="L97" s="1067"/>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6">
        <f>K99+K100</f>
        <v>0</v>
      </c>
      <c r="L98" s="1036"/>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3"/>
        <v>0</v>
      </c>
      <c r="J99" s="454">
        <v>0</v>
      </c>
      <c r="K99" s="1030">
        <f>(J99+J99*O99)*12/J$33</f>
        <v>0</v>
      </c>
      <c r="L99" s="1030"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3"/>
        <v>0</v>
      </c>
      <c r="J100" s="454">
        <v>0</v>
      </c>
      <c r="K100" s="1030">
        <f>(J100+J100*O100)*12/J$33</f>
        <v>0</v>
      </c>
      <c r="L100" s="1030"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3"/>
        <v>0</v>
      </c>
      <c r="J101" s="449">
        <f>SUM(J102:J103)</f>
        <v>0</v>
      </c>
      <c r="K101" s="1036">
        <f>SUM(K102:K103)</f>
        <v>0</v>
      </c>
      <c r="L101" s="1036"/>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3"/>
        <v>0</v>
      </c>
      <c r="J102" s="454">
        <v>0</v>
      </c>
      <c r="K102" s="1030">
        <f>(J102+J102*O102)*12/J$33</f>
        <v>0</v>
      </c>
      <c r="L102" s="1030"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3"/>
        <v>0</v>
      </c>
      <c r="J103" s="454">
        <v>0</v>
      </c>
      <c r="K103" s="1030">
        <f>(J103+J103*O103)*12/J$33</f>
        <v>0</v>
      </c>
      <c r="L103" s="1030"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6">
        <f t="shared" ref="K104:L104" si="26">SUM(K105:K107)</f>
        <v>0</v>
      </c>
      <c r="L104" s="1036"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v>0</v>
      </c>
      <c r="J105" s="454">
        <v>0</v>
      </c>
      <c r="K105" s="1030">
        <f>(J105+J105*O105)*12/J$33</f>
        <v>0</v>
      </c>
      <c r="L105" s="1030"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454">
        <v>0</v>
      </c>
      <c r="K106" s="1030">
        <f>(J106+J106*O106)*12/J$33</f>
        <v>0</v>
      </c>
      <c r="L106" s="1030"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454">
        <v>0</v>
      </c>
      <c r="K107" s="1030">
        <f>(J107+J107*O107)*12/J$33</f>
        <v>0</v>
      </c>
      <c r="L107" s="1030"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6">
        <f>SUM(K109:K111)</f>
        <v>0</v>
      </c>
      <c r="L108" s="1036"/>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8"/>
        <v>0</v>
      </c>
      <c r="J109" s="454">
        <v>0</v>
      </c>
      <c r="K109" s="1030">
        <f t="shared" ref="K109:K110" si="29">(J109+J109*O109)*12/J$33</f>
        <v>0</v>
      </c>
      <c r="L109" s="1030"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8"/>
        <v>0</v>
      </c>
      <c r="J110" s="454">
        <v>0</v>
      </c>
      <c r="K110" s="1030">
        <f t="shared" si="29"/>
        <v>0</v>
      </c>
      <c r="L110" s="1030"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8"/>
        <v>0</v>
      </c>
      <c r="J111" s="454">
        <v>0</v>
      </c>
      <c r="K111" s="1030">
        <f>(J111+J111*O111)*12/J$33</f>
        <v>0</v>
      </c>
      <c r="L111" s="1030"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8"/>
        <v>0</v>
      </c>
      <c r="J112" s="529">
        <v>0</v>
      </c>
      <c r="K112" s="1040">
        <f>(J112+J112*O112)*12/J$33</f>
        <v>0</v>
      </c>
      <c r="L112" s="1040"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8"/>
        <v>0</v>
      </c>
      <c r="J113" s="529">
        <v>0</v>
      </c>
      <c r="K113" s="1040">
        <f>(J113+J113*O113)*12/J$33</f>
        <v>0</v>
      </c>
      <c r="L113" s="1040"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0">
        <f>(J114+J114*O114)*12/J$33</f>
        <v>0</v>
      </c>
      <c r="L114" s="1040"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0">
        <f>(J115+J115*O115)*12/J$33</f>
        <v>0</v>
      </c>
      <c r="L115" s="1040"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79">
        <v>0</v>
      </c>
      <c r="K116" s="1128">
        <v>0</v>
      </c>
      <c r="L116" s="1128"/>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7" t="str">
        <f>IF(J33=12,"MYYNTIENNUSTE (hinnat sis. arvonlisäveron)","HUOMIOI MYYNTIENNUSTEESSA TILIKAUDEN PITUUS! (hinnat sis. arvonlisäveron)")</f>
        <v>MYYNTIENNUSTE (hinnat sis. arvonlisäveron)</v>
      </c>
      <c r="D119" s="1098"/>
      <c r="E119" s="1098"/>
      <c r="F119" s="1098"/>
      <c r="G119" s="1098"/>
      <c r="H119" s="1098"/>
      <c r="I119" s="1082" t="s">
        <v>134</v>
      </c>
      <c r="J119" s="1082"/>
      <c r="K119" s="1123" t="s">
        <v>135</v>
      </c>
      <c r="L119" s="1124"/>
      <c r="M119" s="541" t="s">
        <v>137</v>
      </c>
      <c r="O119" s="932"/>
      <c r="P119" s="650"/>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33"/>
      <c r="P120" s="934"/>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121"/>
      <c r="P121" s="1122"/>
      <c r="Q121" s="683"/>
      <c r="R121" s="683"/>
      <c r="S121" s="683"/>
      <c r="T121" s="683"/>
      <c r="U121" s="683"/>
      <c r="V121" s="683"/>
      <c r="W121" s="683"/>
      <c r="X121" s="684"/>
    </row>
    <row r="122" spans="1:24" s="32" customFormat="1" ht="14.25" customHeight="1" x14ac:dyDescent="0.2">
      <c r="B122" s="610"/>
      <c r="C122" s="612"/>
      <c r="D122" s="538"/>
      <c r="E122" s="538"/>
      <c r="F122" s="1214" t="s">
        <v>311</v>
      </c>
      <c r="G122" s="1215"/>
      <c r="H122" s="613"/>
      <c r="I122" s="570"/>
      <c r="J122" s="460"/>
      <c r="K122" s="1126"/>
      <c r="L122" s="1126"/>
      <c r="M122" s="465"/>
      <c r="O122" s="1117" t="s">
        <v>168</v>
      </c>
      <c r="P122" s="1118"/>
      <c r="Q122" s="683"/>
      <c r="R122" s="683"/>
      <c r="S122" s="683"/>
      <c r="T122" s="683"/>
      <c r="U122" s="683"/>
      <c r="V122" s="683"/>
      <c r="W122" s="683"/>
      <c r="X122" s="684"/>
    </row>
    <row r="123" spans="1:24" s="32" customFormat="1" ht="12" customHeight="1" x14ac:dyDescent="0.2">
      <c r="B123" s="253" t="s">
        <v>327</v>
      </c>
      <c r="C123" s="1177" t="s">
        <v>373</v>
      </c>
      <c r="D123" s="1178"/>
      <c r="E123" s="1178"/>
      <c r="F123" s="1074">
        <v>0.255</v>
      </c>
      <c r="G123" s="1075"/>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370</v>
      </c>
      <c r="D124" s="1033"/>
      <c r="E124" s="1033"/>
      <c r="F124" s="1033"/>
      <c r="G124" s="1034"/>
      <c r="H124" s="1035"/>
      <c r="I124" s="450"/>
      <c r="J124" s="451">
        <v>0</v>
      </c>
      <c r="K124" s="1067">
        <f>J124+J124*O124</f>
        <v>0</v>
      </c>
      <c r="L124" s="1067">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69" t="s">
        <v>371</v>
      </c>
      <c r="D125" s="1070"/>
      <c r="E125" s="1070"/>
      <c r="F125" s="1070"/>
      <c r="G125" s="1071"/>
      <c r="H125" s="1072"/>
      <c r="I125" s="527">
        <v>0</v>
      </c>
      <c r="J125" s="452">
        <f>J124/(1+$F123)</f>
        <v>0</v>
      </c>
      <c r="K125" s="1127">
        <f>K124/(1+F123)</f>
        <v>0</v>
      </c>
      <c r="L125" s="1127"/>
      <c r="M125" s="453">
        <f>M124/(1+F123)</f>
        <v>0</v>
      </c>
      <c r="O125" s="656"/>
      <c r="P125" s="657"/>
      <c r="Q125" s="683"/>
      <c r="R125" s="683"/>
      <c r="S125" s="683"/>
      <c r="T125" s="683"/>
      <c r="U125" s="683"/>
      <c r="V125" s="683"/>
      <c r="W125" s="683"/>
      <c r="X125" s="684"/>
    </row>
    <row r="126" spans="1:24" s="32" customFormat="1" ht="12" customHeight="1" x14ac:dyDescent="0.2">
      <c r="C126" s="1173" t="s">
        <v>372</v>
      </c>
      <c r="D126" s="1174"/>
      <c r="E126" s="1174"/>
      <c r="F126" s="1174"/>
      <c r="G126" s="1175"/>
      <c r="H126" s="1176"/>
      <c r="I126" s="448">
        <f>J126/J$33</f>
        <v>0</v>
      </c>
      <c r="J126" s="454">
        <v>0</v>
      </c>
      <c r="K126" s="1030">
        <f>(J126+J126*O126)*12/J$33</f>
        <v>0</v>
      </c>
      <c r="L126" s="1030"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7">
        <v>0</v>
      </c>
      <c r="D128" s="1178"/>
      <c r="E128" s="1178"/>
      <c r="F128" s="1159">
        <v>0.255</v>
      </c>
      <c r="G128" s="1160"/>
      <c r="H128" s="614" t="s">
        <v>7</v>
      </c>
      <c r="I128" s="456">
        <f>J128/J$33</f>
        <v>0</v>
      </c>
      <c r="J128" s="449">
        <f>J130*J131</f>
        <v>0</v>
      </c>
      <c r="K128" s="1036">
        <f>K130*K131</f>
        <v>0</v>
      </c>
      <c r="L128" s="1036"/>
      <c r="M128" s="449">
        <f>M130*M131</f>
        <v>0</v>
      </c>
      <c r="O128" s="654"/>
      <c r="P128" s="655"/>
      <c r="Q128" s="683"/>
      <c r="R128" s="683"/>
      <c r="S128" s="683"/>
      <c r="T128" s="683"/>
      <c r="U128" s="683"/>
      <c r="V128" s="683"/>
      <c r="W128" s="683"/>
      <c r="X128" s="684"/>
    </row>
    <row r="129" spans="3:24" s="32" customFormat="1" ht="12" customHeight="1" x14ac:dyDescent="0.2">
      <c r="C129" s="1068" t="s">
        <v>370</v>
      </c>
      <c r="D129" s="1006"/>
      <c r="E129" s="1006"/>
      <c r="F129" s="1006"/>
      <c r="G129" s="1006"/>
      <c r="H129" s="1007"/>
      <c r="I129" s="450"/>
      <c r="J129" s="451">
        <v>0</v>
      </c>
      <c r="K129" s="1067">
        <f>J129+J129*O129</f>
        <v>0</v>
      </c>
      <c r="L129" s="1067">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69" t="s">
        <v>371</v>
      </c>
      <c r="D130" s="1070"/>
      <c r="E130" s="1070"/>
      <c r="F130" s="1070"/>
      <c r="G130" s="1071"/>
      <c r="H130" s="1072"/>
      <c r="I130" s="527">
        <v>0</v>
      </c>
      <c r="J130" s="452">
        <f>J129/(1+$F128)</f>
        <v>0</v>
      </c>
      <c r="K130" s="1127">
        <f>K129/(1+F128)</f>
        <v>0</v>
      </c>
      <c r="L130" s="1127"/>
      <c r="M130" s="453">
        <f>M129/(1+F128)</f>
        <v>0</v>
      </c>
      <c r="O130" s="656"/>
      <c r="P130" s="657"/>
      <c r="Q130" s="683"/>
      <c r="R130" s="683"/>
      <c r="S130" s="683"/>
      <c r="T130" s="683"/>
      <c r="U130" s="683"/>
      <c r="V130" s="683"/>
      <c r="W130" s="683"/>
      <c r="X130" s="684"/>
    </row>
    <row r="131" spans="3:24" s="32" customFormat="1" ht="12" customHeight="1" x14ac:dyDescent="0.2">
      <c r="C131" s="1173" t="s">
        <v>374</v>
      </c>
      <c r="D131" s="1174"/>
      <c r="E131" s="1174"/>
      <c r="F131" s="1174"/>
      <c r="G131" s="1175"/>
      <c r="H131" s="1176"/>
      <c r="I131" s="448">
        <f>J131/J$33</f>
        <v>0</v>
      </c>
      <c r="J131" s="454">
        <v>0</v>
      </c>
      <c r="K131" s="1030">
        <f>(J131+J131*O131)*12/J$33</f>
        <v>0</v>
      </c>
      <c r="L131" s="1030"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7">
        <v>0</v>
      </c>
      <c r="D133" s="1178"/>
      <c r="E133" s="1178"/>
      <c r="F133" s="1159">
        <v>0.255</v>
      </c>
      <c r="G133" s="1160"/>
      <c r="H133" s="614" t="s">
        <v>7</v>
      </c>
      <c r="I133" s="456">
        <f>J133/J$33</f>
        <v>0</v>
      </c>
      <c r="J133" s="449">
        <f>J135*J136</f>
        <v>0</v>
      </c>
      <c r="K133" s="1036">
        <f>K135*K136</f>
        <v>0</v>
      </c>
      <c r="L133" s="1036"/>
      <c r="M133" s="449">
        <f>M135*M136</f>
        <v>0</v>
      </c>
      <c r="O133" s="654"/>
      <c r="P133" s="655"/>
      <c r="Q133" s="683"/>
      <c r="R133" s="683"/>
      <c r="S133" s="683"/>
      <c r="T133" s="683"/>
      <c r="U133" s="683"/>
      <c r="V133" s="683"/>
      <c r="W133" s="683"/>
      <c r="X133" s="684"/>
    </row>
    <row r="134" spans="3:24" s="32" customFormat="1" ht="12" customHeight="1" x14ac:dyDescent="0.2">
      <c r="C134" s="1032" t="s">
        <v>370</v>
      </c>
      <c r="D134" s="1033"/>
      <c r="E134" s="1033"/>
      <c r="F134" s="1033"/>
      <c r="G134" s="1034"/>
      <c r="H134" s="1035"/>
      <c r="I134" s="450"/>
      <c r="J134" s="451">
        <v>0</v>
      </c>
      <c r="K134" s="1067">
        <f>J134+J134*O134</f>
        <v>0</v>
      </c>
      <c r="L134" s="1067">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69" t="s">
        <v>371</v>
      </c>
      <c r="D135" s="1070"/>
      <c r="E135" s="1070"/>
      <c r="F135" s="1070"/>
      <c r="G135" s="1071"/>
      <c r="H135" s="1072"/>
      <c r="I135" s="527">
        <v>0</v>
      </c>
      <c r="J135" s="452">
        <f>J134/(1+$F133)</f>
        <v>0</v>
      </c>
      <c r="K135" s="1127">
        <f>K134/(1+F133)</f>
        <v>0</v>
      </c>
      <c r="L135" s="1127"/>
      <c r="M135" s="453">
        <f>M134/(1+F133)</f>
        <v>0</v>
      </c>
      <c r="O135" s="670"/>
      <c r="P135" s="671"/>
      <c r="Q135" s="683"/>
      <c r="R135" s="683"/>
      <c r="S135" s="683"/>
      <c r="T135" s="683"/>
      <c r="U135" s="683"/>
      <c r="V135" s="683"/>
      <c r="W135" s="683"/>
      <c r="X135" s="684"/>
    </row>
    <row r="136" spans="3:24" s="32" customFormat="1" ht="12" customHeight="1" x14ac:dyDescent="0.2">
      <c r="C136" s="1173" t="s">
        <v>375</v>
      </c>
      <c r="D136" s="1174"/>
      <c r="E136" s="1174"/>
      <c r="F136" s="1174"/>
      <c r="G136" s="1175"/>
      <c r="H136" s="1176"/>
      <c r="I136" s="448">
        <f>J136/J$33</f>
        <v>0</v>
      </c>
      <c r="J136" s="454">
        <v>0</v>
      </c>
      <c r="K136" s="1030">
        <f>(J136+J136*O136)*12/J$33</f>
        <v>0</v>
      </c>
      <c r="L136" s="1030"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7">
        <v>0</v>
      </c>
      <c r="D138" s="1178"/>
      <c r="E138" s="1178"/>
      <c r="F138" s="1159">
        <v>0.255</v>
      </c>
      <c r="G138" s="1160"/>
      <c r="H138" s="614" t="s">
        <v>7</v>
      </c>
      <c r="I138" s="456">
        <f>J138/J$33</f>
        <v>0</v>
      </c>
      <c r="J138" s="449">
        <f>J140*J141</f>
        <v>0</v>
      </c>
      <c r="K138" s="1036">
        <f>K140*K141</f>
        <v>0</v>
      </c>
      <c r="L138" s="1036"/>
      <c r="M138" s="449">
        <f>M140*M141</f>
        <v>0</v>
      </c>
      <c r="O138" s="658"/>
      <c r="P138" s="659"/>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451">
        <v>0</v>
      </c>
      <c r="K139" s="1067">
        <f>J139+J139*O139</f>
        <v>0</v>
      </c>
      <c r="L139" s="1067">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69" t="s">
        <v>371</v>
      </c>
      <c r="D140" s="1070"/>
      <c r="E140" s="1070"/>
      <c r="F140" s="1070"/>
      <c r="G140" s="1071"/>
      <c r="H140" s="1072"/>
      <c r="I140" s="527">
        <v>0</v>
      </c>
      <c r="J140" s="452">
        <f>J139/(1+$F138)</f>
        <v>0</v>
      </c>
      <c r="K140" s="1127">
        <f>K139/(1+F138)</f>
        <v>0</v>
      </c>
      <c r="L140" s="1127"/>
      <c r="M140" s="453">
        <f>M139/(1+F138)</f>
        <v>0</v>
      </c>
      <c r="O140" s="656"/>
      <c r="P140" s="657"/>
      <c r="Q140" s="683"/>
      <c r="R140" s="683"/>
      <c r="S140" s="683"/>
      <c r="T140" s="683"/>
      <c r="U140" s="683"/>
      <c r="V140" s="683"/>
      <c r="W140" s="683"/>
      <c r="X140" s="684"/>
    </row>
    <row r="141" spans="3:24" s="32" customFormat="1" ht="12" customHeight="1" x14ac:dyDescent="0.2">
      <c r="C141" s="1173" t="s">
        <v>375</v>
      </c>
      <c r="D141" s="1174"/>
      <c r="E141" s="1174"/>
      <c r="F141" s="1174"/>
      <c r="G141" s="1175"/>
      <c r="H141" s="1176"/>
      <c r="I141" s="448">
        <f>J141/J$33</f>
        <v>0</v>
      </c>
      <c r="J141" s="454">
        <v>0</v>
      </c>
      <c r="K141" s="1030">
        <f>(J141+J141*O141)*12/J$33</f>
        <v>0</v>
      </c>
      <c r="L141" s="1030"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7">
        <v>0</v>
      </c>
      <c r="D143" s="1178"/>
      <c r="E143" s="1178"/>
      <c r="F143" s="1159">
        <v>0.255</v>
      </c>
      <c r="G143" s="1160"/>
      <c r="H143" s="614" t="s">
        <v>7</v>
      </c>
      <c r="I143" s="456">
        <f>J143/J$33</f>
        <v>0</v>
      </c>
      <c r="J143" s="449">
        <f>J145*J146</f>
        <v>0</v>
      </c>
      <c r="K143" s="1036">
        <f>K145*K146</f>
        <v>0</v>
      </c>
      <c r="L143" s="1036"/>
      <c r="M143" s="449">
        <f>M145*M146</f>
        <v>0</v>
      </c>
      <c r="O143" s="656"/>
      <c r="P143" s="657"/>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451">
        <v>0</v>
      </c>
      <c r="K144" s="1067">
        <f>J144+J144*O144</f>
        <v>0</v>
      </c>
      <c r="L144" s="1067">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69" t="s">
        <v>371</v>
      </c>
      <c r="D145" s="1070"/>
      <c r="E145" s="1070"/>
      <c r="F145" s="1070"/>
      <c r="G145" s="1071"/>
      <c r="H145" s="1072"/>
      <c r="I145" s="527">
        <v>0</v>
      </c>
      <c r="J145" s="452">
        <f>J144/(1+$F143)</f>
        <v>0</v>
      </c>
      <c r="K145" s="1127">
        <f>K144/(1+F143)</f>
        <v>0</v>
      </c>
      <c r="L145" s="1127"/>
      <c r="M145" s="453">
        <f>M144/(1+F143)</f>
        <v>0</v>
      </c>
      <c r="O145" s="656"/>
      <c r="P145" s="657"/>
      <c r="Q145" s="683"/>
      <c r="R145" s="683"/>
      <c r="S145" s="683"/>
      <c r="T145" s="683"/>
      <c r="U145" s="683"/>
      <c r="V145" s="683"/>
      <c r="W145" s="683"/>
      <c r="X145" s="684"/>
    </row>
    <row r="146" spans="2:24" s="32" customFormat="1" ht="12" customHeight="1" x14ac:dyDescent="0.2">
      <c r="C146" s="1173" t="s">
        <v>374</v>
      </c>
      <c r="D146" s="1174"/>
      <c r="E146" s="1174"/>
      <c r="F146" s="1174"/>
      <c r="G146" s="1175"/>
      <c r="H146" s="1176"/>
      <c r="I146" s="448">
        <f>J146/J$33</f>
        <v>0</v>
      </c>
      <c r="J146" s="454">
        <v>0</v>
      </c>
      <c r="K146" s="1030">
        <f>(J146+J146*O146)*12/J$33</f>
        <v>0</v>
      </c>
      <c r="L146" s="1030"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19">
        <v>0</v>
      </c>
      <c r="D148" s="1020"/>
      <c r="E148" s="1021"/>
      <c r="F148" s="1213">
        <v>0.255</v>
      </c>
      <c r="G148" s="1160"/>
      <c r="H148" s="614" t="s">
        <v>7</v>
      </c>
      <c r="I148" s="456">
        <f>J148/J$33</f>
        <v>0</v>
      </c>
      <c r="J148" s="449">
        <f>J150*J151</f>
        <v>0</v>
      </c>
      <c r="K148" s="1036">
        <f>K150*K151</f>
        <v>0</v>
      </c>
      <c r="L148" s="1036"/>
      <c r="M148" s="449">
        <f>M150*M151</f>
        <v>0</v>
      </c>
      <c r="O148" s="656"/>
      <c r="P148" s="657"/>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451">
        <v>0</v>
      </c>
      <c r="K149" s="1067">
        <f>J149+J149*O149</f>
        <v>0</v>
      </c>
      <c r="L149" s="1067">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69" t="s">
        <v>371</v>
      </c>
      <c r="D150" s="1070"/>
      <c r="E150" s="1070"/>
      <c r="F150" s="1070"/>
      <c r="G150" s="1071"/>
      <c r="H150" s="1072"/>
      <c r="I150" s="527">
        <v>0</v>
      </c>
      <c r="J150" s="452">
        <f>J149/(1+$F148)</f>
        <v>0</v>
      </c>
      <c r="K150" s="1127">
        <f>K149/(1+F148)</f>
        <v>0</v>
      </c>
      <c r="L150" s="1127"/>
      <c r="M150" s="453">
        <f>M149/(1+F148)</f>
        <v>0</v>
      </c>
      <c r="O150" s="656"/>
      <c r="P150" s="657"/>
      <c r="Q150" s="683"/>
      <c r="R150" s="683"/>
      <c r="S150" s="683"/>
      <c r="T150" s="683"/>
      <c r="U150" s="683"/>
      <c r="V150" s="683"/>
      <c r="W150" s="683"/>
      <c r="X150" s="684"/>
    </row>
    <row r="151" spans="2:24" s="32" customFormat="1" ht="12" customHeight="1" x14ac:dyDescent="0.2">
      <c r="C151" s="1173" t="s">
        <v>374</v>
      </c>
      <c r="D151" s="1174"/>
      <c r="E151" s="1174"/>
      <c r="F151" s="1174"/>
      <c r="G151" s="1175"/>
      <c r="H151" s="1176"/>
      <c r="I151" s="448">
        <f>J151/J$33</f>
        <v>0</v>
      </c>
      <c r="J151" s="454">
        <v>0</v>
      </c>
      <c r="K151" s="1030">
        <f>(J151+J151*O151)*12/J$33</f>
        <v>0</v>
      </c>
      <c r="L151" s="1030"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1" t="str">
        <f>IF(J33=12,"MYYNTIENNUSTE (hinnat sis. arvonlisäveron)","HUOMIOI MYYNTIENNUSTEESSA TILIKAUDEN PITUUS! (hinnat sis. arvonlisäveron)")</f>
        <v>MYYNTIENNUSTE (hinnat sis. arvonlisäveron)</v>
      </c>
      <c r="D153" s="1211"/>
      <c r="E153" s="1211"/>
      <c r="F153" s="1211"/>
      <c r="G153" s="1211"/>
      <c r="H153" s="1211"/>
      <c r="I153" s="1082" t="s">
        <v>134</v>
      </c>
      <c r="J153" s="1082"/>
      <c r="K153" s="1082" t="s">
        <v>135</v>
      </c>
      <c r="L153" s="1082"/>
      <c r="M153" s="541" t="s">
        <v>137</v>
      </c>
      <c r="O153" s="651"/>
      <c r="P153" s="650"/>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651"/>
      <c r="P154" s="650"/>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5" t="s">
        <v>311</v>
      </c>
      <c r="G156" s="1206"/>
      <c r="H156" s="616"/>
      <c r="I156" s="463"/>
      <c r="J156" s="458"/>
      <c r="K156" s="1207"/>
      <c r="L156" s="1208"/>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19"/>
      <c r="L157" s="1220"/>
      <c r="M157" s="460"/>
      <c r="O157" s="651"/>
      <c r="P157" s="650"/>
      <c r="Q157" s="683"/>
      <c r="R157" s="683"/>
      <c r="S157" s="683"/>
      <c r="T157" s="683"/>
      <c r="U157" s="683"/>
      <c r="V157" s="683"/>
      <c r="W157" s="683"/>
      <c r="X157" s="684"/>
    </row>
    <row r="158" spans="2:24" s="32" customFormat="1" ht="12" customHeight="1" x14ac:dyDescent="0.2">
      <c r="C158" s="1230" t="s">
        <v>382</v>
      </c>
      <c r="D158" s="1194"/>
      <c r="E158" s="1194"/>
      <c r="F158" s="617">
        <v>0.255</v>
      </c>
      <c r="G158" s="617">
        <v>0.255</v>
      </c>
      <c r="H158" s="457" t="s">
        <v>7</v>
      </c>
      <c r="I158" s="456">
        <f>J158/J$33</f>
        <v>0</v>
      </c>
      <c r="J158" s="449">
        <f>J159/(1+$F158)*J160</f>
        <v>0</v>
      </c>
      <c r="K158" s="1036">
        <f>K159/(1+F158)*K160</f>
        <v>0</v>
      </c>
      <c r="L158" s="1036"/>
      <c r="M158" s="449">
        <f>M160*M159/(1+F158)</f>
        <v>0</v>
      </c>
      <c r="O158" s="1117" t="s">
        <v>168</v>
      </c>
      <c r="P158" s="1118"/>
      <c r="Q158" s="683"/>
      <c r="R158" s="683"/>
      <c r="S158" s="683"/>
      <c r="T158" s="683"/>
      <c r="U158" s="683"/>
      <c r="V158" s="683"/>
      <c r="W158" s="683"/>
      <c r="X158" s="684"/>
    </row>
    <row r="159" spans="2:24" s="32" customFormat="1" ht="12.75" customHeight="1" x14ac:dyDescent="0.2">
      <c r="C159" s="1033" t="s">
        <v>376</v>
      </c>
      <c r="D159" s="1033"/>
      <c r="E159" s="1033"/>
      <c r="F159" s="1033"/>
      <c r="G159" s="1034"/>
      <c r="H159" s="1035"/>
      <c r="I159" s="527">
        <v>0</v>
      </c>
      <c r="J159" s="451">
        <v>0</v>
      </c>
      <c r="K159" s="1067">
        <f>J159+J159*O159</f>
        <v>0</v>
      </c>
      <c r="L159" s="1067">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454">
        <v>0</v>
      </c>
      <c r="K160" s="1030">
        <f>(J160+J160*O160)*12/J$33</f>
        <v>0</v>
      </c>
      <c r="L160" s="1030"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6" t="s">
        <v>378</v>
      </c>
      <c r="D161" s="1026"/>
      <c r="E161" s="1026"/>
      <c r="F161" s="1026"/>
      <c r="G161" s="1027"/>
      <c r="H161" s="1028"/>
      <c r="I161" s="527">
        <v>0</v>
      </c>
      <c r="J161" s="451">
        <v>0</v>
      </c>
      <c r="K161" s="1067">
        <f>J161+J161*O161</f>
        <v>0</v>
      </c>
      <c r="L161" s="1067">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6" t="s">
        <v>379</v>
      </c>
      <c r="D162" s="1026"/>
      <c r="E162" s="1026"/>
      <c r="F162" s="1026"/>
      <c r="G162" s="1027"/>
      <c r="H162" s="1028"/>
      <c r="I162" s="527">
        <v>0</v>
      </c>
      <c r="J162" s="452">
        <f>J161/(1+$G158)</f>
        <v>0</v>
      </c>
      <c r="K162" s="1127">
        <f t="shared" ref="K162:L162" si="34">K161/(1+$G158)</f>
        <v>0</v>
      </c>
      <c r="L162" s="1127">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5">IF(K159=0,0,(K159/(1+$F158)-K162)/(K159/(1+$F158)))</f>
        <v>0</v>
      </c>
      <c r="L163" s="1183">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4">
        <v>0</v>
      </c>
      <c r="D166" s="1194"/>
      <c r="E166" s="1194"/>
      <c r="F166" s="617">
        <v>0.255</v>
      </c>
      <c r="G166" s="617">
        <v>0.255</v>
      </c>
      <c r="H166" s="457" t="s">
        <v>7</v>
      </c>
      <c r="I166" s="456">
        <f>J166/J$33</f>
        <v>0</v>
      </c>
      <c r="J166" s="449">
        <f>J167/(1+$F166)*J168</f>
        <v>0</v>
      </c>
      <c r="K166" s="1036">
        <f>K167/(1+F166)*K168</f>
        <v>0</v>
      </c>
      <c r="L166" s="1036"/>
      <c r="M166" s="449">
        <f>M168*M167/(1+F166)</f>
        <v>0</v>
      </c>
      <c r="N166" s="619"/>
      <c r="O166" s="675"/>
      <c r="P166" s="677"/>
      <c r="Q166" s="693"/>
      <c r="R166" s="683"/>
      <c r="S166" s="683"/>
      <c r="T166" s="683"/>
      <c r="U166" s="683"/>
      <c r="V166" s="683"/>
      <c r="W166" s="683"/>
      <c r="X166" s="684"/>
    </row>
    <row r="167" spans="3:37" s="32" customFormat="1" ht="12.75" customHeight="1" x14ac:dyDescent="0.2">
      <c r="C167" s="1033" t="s">
        <v>376</v>
      </c>
      <c r="D167" s="1033"/>
      <c r="E167" s="1033"/>
      <c r="F167" s="1033"/>
      <c r="G167" s="1034"/>
      <c r="H167" s="1035"/>
      <c r="I167" s="527"/>
      <c r="J167" s="451">
        <v>0</v>
      </c>
      <c r="K167" s="1067">
        <f>J167+J167*O167</f>
        <v>0</v>
      </c>
      <c r="L167" s="1067"/>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454">
        <v>0</v>
      </c>
      <c r="K168" s="1030">
        <f>(J168+J168*O168)*12/J$33</f>
        <v>0</v>
      </c>
      <c r="L168" s="1030"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6" t="s">
        <v>378</v>
      </c>
      <c r="D169" s="1026"/>
      <c r="E169" s="1026"/>
      <c r="F169" s="1026"/>
      <c r="G169" s="1027"/>
      <c r="H169" s="1028"/>
      <c r="I169" s="527"/>
      <c r="J169" s="451">
        <v>0</v>
      </c>
      <c r="K169" s="1067">
        <f>J169+J169*O169</f>
        <v>0</v>
      </c>
      <c r="L169" s="1067">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6" t="s">
        <v>379</v>
      </c>
      <c r="D170" s="1026"/>
      <c r="E170" s="1026"/>
      <c r="F170" s="1026"/>
      <c r="G170" s="1027"/>
      <c r="H170" s="1028"/>
      <c r="I170" s="527"/>
      <c r="J170" s="452">
        <f>J169/(1+$G166)</f>
        <v>0</v>
      </c>
      <c r="K170" s="1127">
        <f>K169/(1+G166)</f>
        <v>0</v>
      </c>
      <c r="L170" s="1127"/>
      <c r="M170" s="452">
        <f>M169/(1+G166)</f>
        <v>0</v>
      </c>
      <c r="N170" s="620"/>
      <c r="O170" s="675"/>
      <c r="P170" s="6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 si="36">IF(K167=0,0,(K167/(1+$F166)-K170)/(K167/(1+$F166)))</f>
        <v>0</v>
      </c>
      <c r="L171" s="1183">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4">
        <v>0</v>
      </c>
      <c r="D174" s="1194"/>
      <c r="E174" s="1194"/>
      <c r="F174" s="617">
        <v>0.255</v>
      </c>
      <c r="G174" s="617">
        <v>0.255</v>
      </c>
      <c r="H174" s="457" t="s">
        <v>7</v>
      </c>
      <c r="I174" s="456">
        <f>J174/J$33</f>
        <v>0</v>
      </c>
      <c r="J174" s="449">
        <f>J175/(1+$F174)*J176</f>
        <v>0</v>
      </c>
      <c r="K174" s="1036">
        <f>K175/(1+F174)*K176</f>
        <v>0</v>
      </c>
      <c r="L174" s="1036"/>
      <c r="M174" s="449">
        <f>M176*M175/(1+F174)</f>
        <v>0</v>
      </c>
      <c r="O174" s="656"/>
      <c r="P174" s="657"/>
      <c r="Q174" s="683"/>
      <c r="R174" s="683"/>
      <c r="S174" s="683"/>
      <c r="T174" s="683"/>
      <c r="U174" s="683"/>
      <c r="V174" s="683"/>
      <c r="W174" s="683"/>
      <c r="X174" s="684"/>
    </row>
    <row r="175" spans="3:37" s="32" customFormat="1" ht="12.75" customHeight="1" x14ac:dyDescent="0.2">
      <c r="C175" s="1033" t="s">
        <v>376</v>
      </c>
      <c r="D175" s="1033"/>
      <c r="E175" s="1033"/>
      <c r="F175" s="1033"/>
      <c r="G175" s="1034"/>
      <c r="H175" s="1035"/>
      <c r="I175" s="527">
        <v>0</v>
      </c>
      <c r="J175" s="451">
        <v>0</v>
      </c>
      <c r="K175" s="1067">
        <f>J175+J175*O175</f>
        <v>0</v>
      </c>
      <c r="L175" s="1067">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454">
        <v>0</v>
      </c>
      <c r="K176" s="1030">
        <f>(J176+J176*O176)*12/J$33</f>
        <v>0</v>
      </c>
      <c r="L176" s="1030"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6" t="s">
        <v>378</v>
      </c>
      <c r="D177" s="1026"/>
      <c r="E177" s="1026"/>
      <c r="F177" s="1026"/>
      <c r="G177" s="1027"/>
      <c r="H177" s="1028"/>
      <c r="I177" s="527">
        <v>0</v>
      </c>
      <c r="J177" s="451">
        <v>0</v>
      </c>
      <c r="K177" s="1067">
        <f>J177+J177*O177</f>
        <v>0</v>
      </c>
      <c r="L177" s="1067">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6" t="s">
        <v>379</v>
      </c>
      <c r="D178" s="1026"/>
      <c r="E178" s="1026"/>
      <c r="F178" s="1026"/>
      <c r="G178" s="1027"/>
      <c r="H178" s="1028"/>
      <c r="I178" s="527">
        <v>0</v>
      </c>
      <c r="J178" s="452">
        <f>J177/(1+$G174)</f>
        <v>0</v>
      </c>
      <c r="K178" s="1127">
        <f>K177/(1+G174)</f>
        <v>0</v>
      </c>
      <c r="L178" s="1127"/>
      <c r="M178" s="452">
        <f>M177/(1+G174)</f>
        <v>0</v>
      </c>
      <c r="O178" s="656"/>
      <c r="P178" s="657"/>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 si="38">IF(K175=0,0,(K175/(1+$F174)-K178)/(K175/(1+$F174)))</f>
        <v>0</v>
      </c>
      <c r="L179" s="1183">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4">
        <v>0</v>
      </c>
      <c r="D182" s="1194"/>
      <c r="E182" s="1194"/>
      <c r="F182" s="617">
        <v>0.255</v>
      </c>
      <c r="G182" s="617">
        <f>F182</f>
        <v>0.255</v>
      </c>
      <c r="H182" s="457" t="s">
        <v>7</v>
      </c>
      <c r="I182" s="706">
        <f>J182/J$33</f>
        <v>0</v>
      </c>
      <c r="J182" s="449">
        <f>J183/(1+$F182)*J184</f>
        <v>0</v>
      </c>
      <c r="K182" s="1036">
        <f>K183/(1+F182)*K184</f>
        <v>0</v>
      </c>
      <c r="L182" s="1036"/>
      <c r="M182" s="449">
        <f>M184*M183/(1+F182)</f>
        <v>0</v>
      </c>
      <c r="O182" s="656"/>
      <c r="P182" s="657"/>
      <c r="Q182" s="683"/>
      <c r="R182" s="683"/>
      <c r="S182" s="683"/>
      <c r="T182" s="683"/>
      <c r="U182" s="683"/>
      <c r="V182" s="683"/>
      <c r="W182" s="683"/>
      <c r="X182" s="684"/>
    </row>
    <row r="183" spans="3:37" s="32" customFormat="1" ht="12.75" customHeight="1" x14ac:dyDescent="0.2">
      <c r="C183" s="1033" t="s">
        <v>376</v>
      </c>
      <c r="D183" s="1033"/>
      <c r="E183" s="1033"/>
      <c r="F183" s="1033"/>
      <c r="G183" s="1034"/>
      <c r="H183" s="1035"/>
      <c r="I183" s="448">
        <v>0</v>
      </c>
      <c r="J183" s="451">
        <v>0</v>
      </c>
      <c r="K183" s="1067">
        <f>J183+J183*O183</f>
        <v>0</v>
      </c>
      <c r="L183" s="1067">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454">
        <v>0</v>
      </c>
      <c r="K184" s="1030">
        <f>(J184+J184*O184)*12/J$33</f>
        <v>0</v>
      </c>
      <c r="L184" s="1030"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6" t="s">
        <v>378</v>
      </c>
      <c r="D185" s="1026"/>
      <c r="E185" s="1026"/>
      <c r="F185" s="1026"/>
      <c r="G185" s="1027"/>
      <c r="H185" s="1028"/>
      <c r="I185" s="448">
        <v>0</v>
      </c>
      <c r="J185" s="451">
        <v>0</v>
      </c>
      <c r="K185" s="1067">
        <f>J185+J185*O185</f>
        <v>0</v>
      </c>
      <c r="L185" s="1067">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6" t="s">
        <v>379</v>
      </c>
      <c r="D186" s="1026"/>
      <c r="E186" s="1026"/>
      <c r="F186" s="1026"/>
      <c r="G186" s="1027"/>
      <c r="H186" s="1028"/>
      <c r="I186" s="527">
        <v>0</v>
      </c>
      <c r="J186" s="452">
        <f>J185/(1+$G182)</f>
        <v>0</v>
      </c>
      <c r="K186" s="1217">
        <f>K185/(1+G182)</f>
        <v>0</v>
      </c>
      <c r="L186" s="1218"/>
      <c r="M186" s="452">
        <f>M185/(1+G182)</f>
        <v>0</v>
      </c>
      <c r="N186" s="618"/>
      <c r="O186" s="656"/>
      <c r="P186" s="657"/>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 si="40">IF(K183=0,0,(K183/(1+$F182)-K186)/(K183/(1+$F182)))</f>
        <v>0</v>
      </c>
      <c r="L187" s="1183">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4"/>
      <c r="D190" s="1194"/>
      <c r="E190" s="1194"/>
      <c r="F190" s="617">
        <v>0.255</v>
      </c>
      <c r="G190" s="617">
        <f>F190</f>
        <v>0.255</v>
      </c>
      <c r="H190" s="457" t="s">
        <v>7</v>
      </c>
      <c r="I190" s="456">
        <f>J190/J$33</f>
        <v>0</v>
      </c>
      <c r="J190" s="449">
        <f>J191/(1+$F190)*J192</f>
        <v>0</v>
      </c>
      <c r="K190" s="1036">
        <f>K191/(1+F190)*K192</f>
        <v>0</v>
      </c>
      <c r="L190" s="1036"/>
      <c r="M190" s="449">
        <f>M192*M191/(1+F190)</f>
        <v>0</v>
      </c>
      <c r="N190" s="619"/>
      <c r="O190" s="675"/>
      <c r="P190" s="677"/>
      <c r="Q190" s="693"/>
      <c r="R190" s="683"/>
      <c r="S190" s="683"/>
      <c r="T190" s="683"/>
      <c r="U190" s="683"/>
      <c r="V190" s="683"/>
      <c r="W190" s="683"/>
      <c r="X190" s="684"/>
    </row>
    <row r="191" spans="3:37" s="32" customFormat="1" ht="12.75" customHeight="1" x14ac:dyDescent="0.2">
      <c r="C191" s="1033" t="s">
        <v>376</v>
      </c>
      <c r="D191" s="1033"/>
      <c r="E191" s="1033"/>
      <c r="F191" s="1033"/>
      <c r="G191" s="1034"/>
      <c r="H191" s="1035"/>
      <c r="I191" s="527">
        <v>0</v>
      </c>
      <c r="J191" s="451">
        <v>0</v>
      </c>
      <c r="K191" s="1067">
        <f>J191+J191*O191</f>
        <v>0</v>
      </c>
      <c r="L191" s="1067">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454">
        <v>0</v>
      </c>
      <c r="K192" s="1030">
        <f>(J192+J192*O192)*12/J$33</f>
        <v>0</v>
      </c>
      <c r="L192" s="1030"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6" t="s">
        <v>378</v>
      </c>
      <c r="D193" s="1026"/>
      <c r="E193" s="1026"/>
      <c r="F193" s="1026"/>
      <c r="G193" s="1027"/>
      <c r="H193" s="1028"/>
      <c r="I193" s="527">
        <v>0</v>
      </c>
      <c r="J193" s="451">
        <v>0</v>
      </c>
      <c r="K193" s="1067">
        <f>J193+J193*O193</f>
        <v>0</v>
      </c>
      <c r="L193" s="1067">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6" t="s">
        <v>379</v>
      </c>
      <c r="D194" s="1026"/>
      <c r="E194" s="1026"/>
      <c r="F194" s="1026"/>
      <c r="G194" s="1027"/>
      <c r="H194" s="1028"/>
      <c r="I194" s="527">
        <v>0</v>
      </c>
      <c r="J194" s="452">
        <f>J193/(1+$G190)</f>
        <v>0</v>
      </c>
      <c r="K194" s="1127">
        <f>K193/(1+G190)</f>
        <v>0</v>
      </c>
      <c r="L194" s="1127"/>
      <c r="M194" s="452">
        <f>M193/(1+G190)</f>
        <v>0</v>
      </c>
      <c r="N194" s="620"/>
      <c r="O194" s="675"/>
      <c r="P194" s="6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 si="42">IF(K191=0,0,(K191/(1+$F190)-K194)/(K191/(1+$F190)))</f>
        <v>0</v>
      </c>
      <c r="L195" s="1183">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4" t="s">
        <v>386</v>
      </c>
      <c r="D198" s="1194"/>
      <c r="E198" s="1194"/>
      <c r="F198" s="1195">
        <v>0.255</v>
      </c>
      <c r="G198" s="1196"/>
      <c r="H198" s="457" t="s">
        <v>7</v>
      </c>
      <c r="I198" s="456">
        <f>J198/J$33</f>
        <v>0</v>
      </c>
      <c r="J198" s="449">
        <f>IF(J199=0,0,J199*J200)-'2 Myynnin ALV'!B18</f>
        <v>0</v>
      </c>
      <c r="K198" s="1036">
        <f>IF(K199=0,0,K199*K200)-'2 Myynnin ALV'!C18</f>
        <v>0</v>
      </c>
      <c r="L198" s="1036"/>
      <c r="M198" s="449">
        <f>IF(M199=0,0,M199*M200)-'2 Myynnin ALV'!D18</f>
        <v>0</v>
      </c>
      <c r="O198" s="656"/>
      <c r="P198" s="657"/>
      <c r="Q198" s="683"/>
      <c r="R198" s="683"/>
      <c r="S198" s="683"/>
      <c r="T198" s="683"/>
      <c r="U198" s="683"/>
      <c r="V198" s="683"/>
      <c r="W198" s="683"/>
      <c r="X198" s="684"/>
    </row>
    <row r="199" spans="2:24" s="32" customFormat="1" ht="12.75" customHeight="1" x14ac:dyDescent="0.2">
      <c r="C199" s="1197" t="s">
        <v>376</v>
      </c>
      <c r="D199" s="1198"/>
      <c r="E199" s="1198"/>
      <c r="F199" s="1198"/>
      <c r="G199" s="1199"/>
      <c r="H199" s="1200"/>
      <c r="I199" s="527">
        <v>0</v>
      </c>
      <c r="J199" s="451">
        <v>0</v>
      </c>
      <c r="K199" s="1067">
        <f>J199+J199*O199</f>
        <v>0</v>
      </c>
      <c r="L199" s="1067">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454">
        <v>0</v>
      </c>
      <c r="K200" s="1030">
        <f>(J200+J200*O200)*12/J$33</f>
        <v>0</v>
      </c>
      <c r="L200" s="1030"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451">
        <v>0</v>
      </c>
      <c r="K201" s="1067">
        <f>J201+J201*O201</f>
        <v>0</v>
      </c>
      <c r="L201" s="1067">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44">IF(K201=0,0,(K198-K203)/K198)</f>
        <v>0</v>
      </c>
      <c r="L202" s="1183">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1" t="s">
        <v>385</v>
      </c>
      <c r="D203" s="1202"/>
      <c r="E203" s="1202"/>
      <c r="F203" s="1202"/>
      <c r="G203" s="1203"/>
      <c r="H203" s="1204"/>
      <c r="I203" s="527">
        <v>0</v>
      </c>
      <c r="J203" s="456">
        <f>J200*J201</f>
        <v>0</v>
      </c>
      <c r="K203" s="1187">
        <f t="shared" ref="K203:L203" si="45">K200*K201</f>
        <v>0</v>
      </c>
      <c r="L203" s="1187"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5">
        <f>K205+K206</f>
        <v>0</v>
      </c>
      <c r="L207" s="1186"/>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1190" t="s">
        <v>507</v>
      </c>
      <c r="E209" s="1190"/>
      <c r="F209" s="1190"/>
      <c r="G209" s="1190"/>
      <c r="H209" s="1190"/>
      <c r="I209" s="1191"/>
      <c r="J209" s="474">
        <f>J38</f>
        <v>0</v>
      </c>
      <c r="K209" s="1182">
        <f>K38</f>
        <v>0</v>
      </c>
      <c r="L209" s="1182"/>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2">
        <f>-('4 AT Lainat ja avustukset alv'!G5+'4 AT Lainat ja avustukset alv'!G9+'4 AT Lainat ja avustukset alv'!G13)</f>
        <v>0</v>
      </c>
      <c r="L211" s="1182">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8" t="s">
        <v>352</v>
      </c>
      <c r="E212" s="1008"/>
      <c r="F212" s="1008"/>
      <c r="G212" s="1008"/>
      <c r="H212" s="1008"/>
      <c r="I212" s="1009"/>
      <c r="J212" s="475">
        <f>IF(J207=0,0,J207+'4 AT Lainat ja avustukset alv'!G30-'4 AT Lainat ja avustukset alv'!G22+J211+J38)</f>
        <v>0</v>
      </c>
      <c r="K212" s="1184">
        <f>IF(K207=0,0,K207+'4 AT Lainat ja avustukset alv'!H30-'4 AT Lainat ja avustukset alv'!H22+K211+K38)</f>
        <v>0</v>
      </c>
      <c r="L212" s="1184">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8" t="s">
        <v>353</v>
      </c>
      <c r="E213" s="1008"/>
      <c r="F213" s="1008"/>
      <c r="G213" s="1008"/>
      <c r="H213" s="1008"/>
      <c r="I213" s="1009"/>
      <c r="J213" s="475">
        <f>IF(J207=0,0,J207+'4 AT Lainat ja avustukset alv'!G30-'4 AT Lainat ja avustukset alv'!G22+J211)</f>
        <v>0</v>
      </c>
      <c r="K213" s="1184">
        <f>IF(K207=0,0,K207+'4 AT Lainat ja avustukset alv'!H30-'4 AT Lainat ja avustukset alv'!H22+K211)</f>
        <v>0</v>
      </c>
      <c r="L213" s="1184">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8" t="s">
        <v>355</v>
      </c>
      <c r="E214" s="1008"/>
      <c r="F214" s="1008"/>
      <c r="G214" s="1008"/>
      <c r="H214" s="1008"/>
      <c r="I214" s="1009"/>
      <c r="J214" s="475">
        <f>IF(J207=0,0,J207+'4 AT Lainat ja avustukset alv'!G30-'4 AT Lainat ja avustukset alv'!G22+J211)</f>
        <v>0</v>
      </c>
      <c r="K214" s="1184">
        <f>IF(K207=0,0,K207+'4 AT Lainat ja avustukset alv'!H30-'4 AT Lainat ja avustukset alv'!H22+K211)</f>
        <v>0</v>
      </c>
      <c r="L214" s="1184">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2">
        <f>'2 Myynnin ALV'!C19</f>
        <v>0</v>
      </c>
      <c r="L217" s="1182">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70"/>
      <c r="D219" s="1192" t="s">
        <v>508</v>
      </c>
      <c r="E219" s="1192"/>
      <c r="F219" s="1192"/>
      <c r="G219" s="1192"/>
      <c r="H219" s="1192"/>
      <c r="I219" s="1193"/>
      <c r="J219" s="565">
        <f>J199*J200</f>
        <v>0</v>
      </c>
      <c r="K219" s="1188">
        <f>K199*K200</f>
        <v>0</v>
      </c>
      <c r="L219" s="1188"/>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0">
        <f>J220</f>
        <v>1</v>
      </c>
      <c r="L220" s="1060"/>
      <c r="M220" s="568">
        <f>K220</f>
        <v>1</v>
      </c>
    </row>
    <row r="221" spans="2:24" ht="14.1" customHeight="1" x14ac:dyDescent="0.2">
      <c r="B221" s="7"/>
      <c r="C221" s="466"/>
      <c r="D221" s="467" t="s">
        <v>186</v>
      </c>
      <c r="E221" s="519"/>
      <c r="F221" s="567"/>
      <c r="G221" s="567"/>
      <c r="H221" s="567"/>
      <c r="I221" s="567"/>
      <c r="J221" s="487">
        <v>47</v>
      </c>
      <c r="K221" s="1060">
        <f>J221</f>
        <v>47</v>
      </c>
      <c r="L221" s="1060"/>
      <c r="M221" s="568">
        <f>K221</f>
        <v>47</v>
      </c>
    </row>
    <row r="222" spans="2:24" ht="14.1" customHeight="1" x14ac:dyDescent="0.2">
      <c r="B222" s="7"/>
      <c r="C222" s="466" t="s">
        <v>0</v>
      </c>
      <c r="D222" s="467" t="s">
        <v>187</v>
      </c>
      <c r="E222" s="519"/>
      <c r="F222" s="567"/>
      <c r="G222" s="567"/>
      <c r="H222" s="567"/>
      <c r="I222" s="567"/>
      <c r="J222" s="487">
        <v>5</v>
      </c>
      <c r="K222" s="1060">
        <f>J222</f>
        <v>5</v>
      </c>
      <c r="L222" s="1060"/>
      <c r="M222" s="568">
        <f>K222</f>
        <v>5</v>
      </c>
    </row>
    <row r="223" spans="2:24" ht="14.1" customHeight="1" x14ac:dyDescent="0.2">
      <c r="B223" s="7"/>
      <c r="C223" s="470"/>
      <c r="D223" s="471" t="s">
        <v>188</v>
      </c>
      <c r="E223" s="563"/>
      <c r="F223" s="564"/>
      <c r="G223" s="564"/>
      <c r="H223" s="564"/>
      <c r="I223" s="564"/>
      <c r="J223" s="565">
        <f>J218/(J221*J222)</f>
        <v>0</v>
      </c>
      <c r="K223" s="1188">
        <f>K218/(K221*K222)</f>
        <v>0</v>
      </c>
      <c r="L223" s="1188" t="e">
        <f>L218/(L221*L222)</f>
        <v>#DIV/0!</v>
      </c>
      <c r="M223" s="566">
        <f>M218/(M221*M222)</f>
        <v>0</v>
      </c>
    </row>
    <row r="225" spans="3:13" x14ac:dyDescent="0.2">
      <c r="C225" s="555" t="s">
        <v>0</v>
      </c>
      <c r="D225" s="1143" t="str">
        <f>Aloitussivu!E40</f>
        <v>Business Tornio, Keminmaa, Simo, Tervola, Ylitornio</v>
      </c>
      <c r="E225" s="1143"/>
      <c r="F225" s="1143"/>
      <c r="G225" s="1143"/>
      <c r="H225" s="1143"/>
      <c r="I225" s="1143"/>
    </row>
    <row r="227" spans="3:13" ht="18" customHeight="1" x14ac:dyDescent="0.2">
      <c r="D227" s="2"/>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46">IF(K234=0,0,K235/K234)</f>
        <v>0</v>
      </c>
      <c r="L236" s="1232"/>
      <c r="M236" s="366">
        <f t="shared" si="46"/>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321</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47">SUM(K237:K238)</f>
        <v>0</v>
      </c>
      <c r="L239" s="1231"/>
      <c r="M239" s="9">
        <f t="shared" si="47"/>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l024fEq4bmU7lW4imZPvjS2c1Kuvzg8OxrL7odAlIsAriOpVvqDPAywQNVPcqe8zcBeTHuZCusynpiJTSjLbZQ==" saltValue="wdpCqma8XexlXAgsW1O2BQ=="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1" t="s">
        <v>80</v>
      </c>
    </row>
    <row r="4" spans="1:24" ht="11.65" customHeight="1" x14ac:dyDescent="0.2">
      <c r="A4" s="1221"/>
      <c r="B4" s="571"/>
    </row>
    <row r="5" spans="1:24" ht="17.100000000000001" customHeight="1" x14ac:dyDescent="0.25">
      <c r="B5" s="1245" t="str">
        <f>'1. Taloussuunnitelma'!$C$5</f>
        <v xml:space="preserve">  </v>
      </c>
      <c r="C5" s="1246"/>
      <c r="D5" s="1246"/>
      <c r="E5" s="1246"/>
      <c r="H5" s="1257" t="s">
        <v>326</v>
      </c>
      <c r="I5" s="1258"/>
      <c r="J5" s="1258"/>
      <c r="K5" s="1258"/>
      <c r="L5" s="1258"/>
      <c r="M5" s="1258"/>
      <c r="N5" s="1258"/>
      <c r="O5" s="1258"/>
      <c r="U5" s="1254" t="s">
        <v>229</v>
      </c>
    </row>
    <row r="6" spans="1:24" ht="10.15" customHeight="1" x14ac:dyDescent="0.2">
      <c r="B6" s="1246"/>
      <c r="C6" s="1246"/>
      <c r="D6" s="1246"/>
      <c r="E6" s="1246"/>
      <c r="U6" s="1254"/>
    </row>
    <row r="7" spans="1:24" ht="16.149999999999999" customHeight="1" x14ac:dyDescent="0.2">
      <c r="B7" s="637"/>
      <c r="C7" s="1261" t="s">
        <v>206</v>
      </c>
      <c r="D7" s="1261"/>
      <c r="E7" s="1261"/>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8" t="s">
        <v>210</v>
      </c>
      <c r="D14" s="1249"/>
      <c r="E14" s="1249"/>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7" t="s">
        <v>211</v>
      </c>
      <c r="D15" s="1264"/>
      <c r="E15" s="1264"/>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t="s">
        <v>299</v>
      </c>
    </row>
    <row r="18" spans="2:25" ht="16.149999999999999" customHeight="1" x14ac:dyDescent="0.2">
      <c r="B18" s="642"/>
      <c r="C18" s="1261" t="s">
        <v>213</v>
      </c>
      <c r="D18" s="1261"/>
      <c r="E18" s="1265"/>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39">
        <v>6</v>
      </c>
      <c r="C19" s="1266" t="s">
        <v>514</v>
      </c>
      <c r="D19" s="1267"/>
      <c r="E19" s="1267"/>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0"/>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8" t="s">
        <v>295</v>
      </c>
      <c r="D21" s="1249"/>
      <c r="E21" s="1249"/>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8" t="s">
        <v>215</v>
      </c>
      <c r="D22" s="1249"/>
      <c r="E22" s="1249"/>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8" t="s">
        <v>216</v>
      </c>
      <c r="D23" s="1249"/>
      <c r="E23" s="1249"/>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8" t="s">
        <v>351</v>
      </c>
      <c r="D24" s="1249"/>
      <c r="E24" s="1249"/>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8" t="s">
        <v>217</v>
      </c>
      <c r="D25" s="1248"/>
      <c r="E25" s="1248"/>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8" t="s">
        <v>218</v>
      </c>
      <c r="D26" s="1249"/>
      <c r="E26" s="1249"/>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8" t="s">
        <v>349</v>
      </c>
      <c r="D29" s="1249"/>
      <c r="E29" s="1249"/>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8" t="s">
        <v>274</v>
      </c>
      <c r="D30" s="1248"/>
      <c r="E30" s="1248"/>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8" t="s">
        <v>221</v>
      </c>
      <c r="D31" s="1249"/>
      <c r="E31" s="1249"/>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8" t="s">
        <v>513</v>
      </c>
      <c r="D32" s="1249"/>
      <c r="E32" s="1249"/>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8" t="s">
        <v>223</v>
      </c>
      <c r="D33" s="1249"/>
      <c r="E33" s="1249"/>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59" t="s">
        <v>289</v>
      </c>
      <c r="D34" s="1259"/>
      <c r="E34" s="1260"/>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59" t="s">
        <v>291</v>
      </c>
      <c r="D36" s="1259"/>
      <c r="E36" s="1260"/>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8" t="s">
        <v>281</v>
      </c>
      <c r="D40" s="1248"/>
      <c r="E40" s="1248"/>
      <c r="F40" s="1250"/>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8" t="s">
        <v>288</v>
      </c>
      <c r="D41" s="1249"/>
      <c r="E41" s="1249"/>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8" t="s">
        <v>283</v>
      </c>
      <c r="D43" s="1249"/>
      <c r="E43" s="1249"/>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8" t="s">
        <v>284</v>
      </c>
      <c r="D44" s="1248"/>
      <c r="E44" s="1248"/>
      <c r="F44" s="1250"/>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8" t="s">
        <v>350</v>
      </c>
      <c r="D45" s="1248"/>
      <c r="E45" s="1248"/>
      <c r="F45" s="1250"/>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8" t="s">
        <v>297</v>
      </c>
      <c r="D46" s="1248"/>
      <c r="E46" s="1248"/>
      <c r="F46" s="1250"/>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8" t="s">
        <v>285</v>
      </c>
      <c r="D47" s="1248"/>
      <c r="E47" s="1248"/>
      <c r="F47" s="1250"/>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8" t="s">
        <v>310</v>
      </c>
      <c r="D48" s="1248"/>
      <c r="E48" s="1248"/>
      <c r="F48" s="1250"/>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8" t="s">
        <v>286</v>
      </c>
      <c r="D49" s="1248"/>
      <c r="E49" s="1248"/>
      <c r="F49" s="1250"/>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8" t="s">
        <v>302</v>
      </c>
      <c r="D50" s="1249"/>
      <c r="E50" s="1249"/>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8" t="s">
        <v>331</v>
      </c>
      <c r="D51" s="1248"/>
      <c r="E51" s="1248"/>
      <c r="F51" s="1250"/>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7" t="s">
        <v>287</v>
      </c>
      <c r="D52" s="1247"/>
      <c r="E52" s="1247"/>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1" t="s">
        <v>224</v>
      </c>
      <c r="D55" s="1242"/>
      <c r="E55" s="1242"/>
      <c r="F55" s="1242"/>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35</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Business Tornio, Keminmaa, Simo, Tervola, Ylitornio</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Business Tornio, Keminmaa, Simo, Tervola, Ylitornio</v>
      </c>
      <c r="K4" s="1158"/>
      <c r="L4" s="1158"/>
      <c r="M4" s="1158"/>
      <c r="R4" s="249"/>
    </row>
    <row r="5" spans="2:24" ht="13.35" customHeight="1" x14ac:dyDescent="0.2">
      <c r="B5" s="1221"/>
      <c r="C5" s="1268"/>
      <c r="D5" s="1268"/>
      <c r="E5" s="1268"/>
      <c r="F5" s="282"/>
      <c r="G5" s="282"/>
      <c r="H5" s="764">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270"/>
      <c r="D7" s="1270"/>
      <c r="E7" s="1270"/>
      <c r="F7" s="24"/>
      <c r="G7" s="24"/>
      <c r="H7" s="1270">
        <v>0</v>
      </c>
      <c r="I7" s="1270"/>
      <c r="J7" s="1270"/>
      <c r="K7" s="1270"/>
      <c r="L7" s="1270"/>
      <c r="M7" s="1270"/>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701" t="s">
        <v>369</v>
      </c>
      <c r="P9" s="608"/>
      <c r="Q9" s="608"/>
      <c r="R9" s="608"/>
      <c r="S9" s="608"/>
      <c r="T9" s="608"/>
      <c r="U9" s="608"/>
      <c r="V9" s="608"/>
      <c r="W9" s="608"/>
      <c r="X9" s="609"/>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765">
        <v>0</v>
      </c>
      <c r="F11" s="1269">
        <v>0</v>
      </c>
      <c r="G11" s="1269"/>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498</v>
      </c>
      <c r="D12" s="1056"/>
      <c r="E12" s="765">
        <v>0</v>
      </c>
      <c r="F12" s="1269">
        <v>0</v>
      </c>
      <c r="G12" s="1269"/>
      <c r="H12" s="1271" t="s">
        <v>85</v>
      </c>
      <c r="I12" s="1271"/>
      <c r="J12" s="768">
        <v>0</v>
      </c>
      <c r="K12" s="769">
        <v>0</v>
      </c>
      <c r="L12" s="770">
        <v>0</v>
      </c>
      <c r="M12" s="771">
        <v>0</v>
      </c>
      <c r="O12" s="685"/>
      <c r="P12" s="683"/>
      <c r="Q12" s="683"/>
      <c r="R12" s="683"/>
      <c r="S12" s="683"/>
      <c r="T12" s="683"/>
      <c r="U12" s="683"/>
      <c r="V12" s="683"/>
      <c r="W12" s="683"/>
      <c r="X12" s="684"/>
    </row>
    <row r="13" spans="2:24" ht="13.5" customHeight="1" x14ac:dyDescent="0.2">
      <c r="C13" s="1274"/>
      <c r="D13" s="1275"/>
      <c r="E13" s="757">
        <v>0</v>
      </c>
      <c r="F13" s="1276">
        <v>0</v>
      </c>
      <c r="G13" s="1276"/>
      <c r="H13" s="1277" t="s">
        <v>84</v>
      </c>
      <c r="I13" s="1278"/>
      <c r="J13" s="765">
        <v>0</v>
      </c>
      <c r="K13" s="772">
        <v>0</v>
      </c>
      <c r="L13" s="773">
        <v>0</v>
      </c>
      <c r="M13" s="766">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271"/>
      <c r="I14" s="1271"/>
      <c r="J14" s="765">
        <v>0</v>
      </c>
      <c r="K14" s="772">
        <v>0</v>
      </c>
      <c r="L14" s="773">
        <v>0</v>
      </c>
      <c r="M14" s="766">
        <v>0</v>
      </c>
      <c r="O14" s="685"/>
      <c r="P14" s="683"/>
      <c r="Q14" s="683"/>
      <c r="R14" s="683"/>
      <c r="S14" s="683"/>
      <c r="T14" s="683"/>
      <c r="U14" s="683"/>
      <c r="V14" s="683"/>
      <c r="W14" s="683"/>
      <c r="X14" s="684"/>
    </row>
    <row r="15" spans="2:24" ht="13.5" customHeight="1" x14ac:dyDescent="0.2">
      <c r="C15" s="1272">
        <v>0</v>
      </c>
      <c r="D15" s="1273"/>
      <c r="E15" s="765">
        <v>0</v>
      </c>
      <c r="F15" s="1269">
        <v>0</v>
      </c>
      <c r="G15" s="1269"/>
      <c r="H15" s="1104" t="s">
        <v>194</v>
      </c>
      <c r="I15" s="1009"/>
      <c r="J15" s="765">
        <v>0</v>
      </c>
      <c r="K15" s="1286">
        <v>0</v>
      </c>
      <c r="L15" s="1286"/>
      <c r="M15" s="766">
        <v>0</v>
      </c>
      <c r="O15" s="685"/>
      <c r="P15" s="683"/>
      <c r="Q15" s="683"/>
      <c r="R15" s="683"/>
      <c r="S15" s="683"/>
      <c r="T15" s="683"/>
      <c r="U15" s="683"/>
      <c r="V15" s="683"/>
      <c r="W15" s="683"/>
      <c r="X15" s="684"/>
    </row>
    <row r="16" spans="2:24" ht="13.5" customHeight="1" x14ac:dyDescent="0.2">
      <c r="C16" s="1277">
        <v>0</v>
      </c>
      <c r="D16" s="1287"/>
      <c r="E16" s="765">
        <v>0</v>
      </c>
      <c r="F16" s="1269">
        <v>0</v>
      </c>
      <c r="G16" s="1269"/>
      <c r="H16" s="1104" t="s">
        <v>195</v>
      </c>
      <c r="I16" s="1009"/>
      <c r="J16" s="765">
        <v>0</v>
      </c>
      <c r="K16" s="1286">
        <v>0</v>
      </c>
      <c r="L16" s="1286"/>
      <c r="M16" s="766">
        <v>0</v>
      </c>
      <c r="O16" s="685"/>
      <c r="P16" s="683"/>
      <c r="Q16" s="683"/>
      <c r="R16" s="683"/>
      <c r="S16" s="683"/>
      <c r="T16" s="683"/>
      <c r="U16" s="683"/>
      <c r="V16" s="683"/>
      <c r="W16" s="683"/>
      <c r="X16" s="684"/>
    </row>
    <row r="17" spans="1:24" ht="13.5" customHeight="1" x14ac:dyDescent="0.2">
      <c r="C17" s="1288">
        <v>0</v>
      </c>
      <c r="D17" s="1289"/>
      <c r="E17" s="765">
        <v>0</v>
      </c>
      <c r="F17" s="1269">
        <v>0</v>
      </c>
      <c r="G17" s="1269"/>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499</v>
      </c>
      <c r="D18" s="1106"/>
      <c r="E18" s="482">
        <v>0</v>
      </c>
      <c r="F18" s="1269">
        <v>0</v>
      </c>
      <c r="G18" s="1269"/>
      <c r="H18" s="1279" t="s">
        <v>440</v>
      </c>
      <c r="I18" s="1279"/>
      <c r="J18" s="1279"/>
      <c r="K18" s="1279"/>
      <c r="L18" s="1279"/>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0"/>
      <c r="D19" s="1281"/>
      <c r="E19" s="844"/>
      <c r="F19" s="1282"/>
      <c r="G19" s="1282"/>
      <c r="H19" s="1283"/>
      <c r="I19" s="1284"/>
      <c r="J19" s="1284"/>
      <c r="K19" s="1284"/>
      <c r="L19" s="1285"/>
      <c r="M19" s="766">
        <v>0</v>
      </c>
      <c r="O19" s="685"/>
      <c r="P19" s="683"/>
      <c r="Q19" s="683"/>
      <c r="R19" s="683"/>
      <c r="S19" s="683"/>
      <c r="T19" s="683"/>
      <c r="U19" s="683"/>
      <c r="V19" s="683"/>
      <c r="W19" s="683"/>
      <c r="X19" s="684"/>
    </row>
    <row r="20" spans="1:24" ht="13.5" customHeight="1" x14ac:dyDescent="0.2">
      <c r="C20" s="1088" t="s">
        <v>500</v>
      </c>
      <c r="D20" s="1089"/>
      <c r="E20" s="765">
        <v>0</v>
      </c>
      <c r="F20" s="1294">
        <v>0</v>
      </c>
      <c r="G20" s="1294"/>
      <c r="H20" s="1295"/>
      <c r="I20" s="1295"/>
      <c r="J20" s="1295"/>
      <c r="K20" s="1295"/>
      <c r="L20" s="1295"/>
      <c r="M20" s="766">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296" t="s">
        <v>197</v>
      </c>
      <c r="I21" s="1296"/>
      <c r="J21" s="1296"/>
      <c r="K21" s="1296"/>
      <c r="L21" s="1297"/>
      <c r="M21" s="843"/>
      <c r="O21" s="685"/>
      <c r="P21" s="683"/>
      <c r="Q21" s="683"/>
      <c r="R21" s="683"/>
      <c r="S21" s="683"/>
      <c r="T21" s="683"/>
      <c r="U21" s="683"/>
      <c r="V21" s="683"/>
      <c r="W21" s="683"/>
      <c r="X21" s="684"/>
    </row>
    <row r="22" spans="1:24" ht="13.5" customHeight="1" x14ac:dyDescent="0.2">
      <c r="C22" s="1272"/>
      <c r="D22" s="1273"/>
      <c r="E22" s="1290"/>
      <c r="F22" s="1291">
        <v>0</v>
      </c>
      <c r="G22" s="1292"/>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288"/>
      <c r="D23" s="1289"/>
      <c r="E23" s="1293"/>
      <c r="F23" s="1291">
        <v>0</v>
      </c>
      <c r="G23" s="1292"/>
      <c r="H23" s="1049" t="s">
        <v>443</v>
      </c>
      <c r="I23" s="1049"/>
      <c r="J23" s="1049"/>
      <c r="K23" s="1049"/>
      <c r="L23" s="1050"/>
      <c r="M23" s="766">
        <v>0</v>
      </c>
      <c r="O23" s="685"/>
      <c r="P23" s="683"/>
      <c r="Q23" s="683"/>
      <c r="R23" s="683"/>
      <c r="S23" s="683"/>
      <c r="T23" s="683"/>
      <c r="U23" s="683"/>
      <c r="V23" s="683"/>
      <c r="W23" s="683"/>
      <c r="X23" s="684"/>
    </row>
    <row r="24" spans="1:24" ht="13.5" customHeight="1" x14ac:dyDescent="0.2">
      <c r="C24" s="1298"/>
      <c r="D24" s="1298"/>
      <c r="E24" s="1298"/>
      <c r="F24" s="1299">
        <v>0</v>
      </c>
      <c r="G24" s="1299"/>
      <c r="H24" s="1284"/>
      <c r="I24" s="1284"/>
      <c r="J24" s="1284"/>
      <c r="K24" s="1284"/>
      <c r="L24" s="1285"/>
      <c r="M24" s="766">
        <v>0</v>
      </c>
      <c r="O24" s="685"/>
      <c r="P24" s="683"/>
      <c r="Q24" s="683"/>
      <c r="R24" s="683"/>
      <c r="S24" s="683"/>
      <c r="T24" s="683"/>
      <c r="U24" s="683"/>
      <c r="V24" s="683"/>
      <c r="W24" s="683"/>
      <c r="X24" s="684"/>
    </row>
    <row r="25" spans="1:24" ht="13.5" customHeight="1" x14ac:dyDescent="0.2">
      <c r="A25" s="1234"/>
      <c r="B25" s="1234"/>
      <c r="C25" s="1051" t="s">
        <v>413</v>
      </c>
      <c r="D25" s="1051"/>
      <c r="E25" s="1051"/>
      <c r="F25" s="1300">
        <v>0</v>
      </c>
      <c r="G25" s="1300"/>
      <c r="H25" s="1284" t="s">
        <v>0</v>
      </c>
      <c r="I25" s="1284"/>
      <c r="J25" s="1284"/>
      <c r="K25" s="1284"/>
      <c r="L25" s="1285"/>
      <c r="M25" s="766">
        <v>0</v>
      </c>
      <c r="O25" s="685"/>
      <c r="P25" s="683"/>
      <c r="Q25" s="683"/>
      <c r="R25" s="683"/>
      <c r="S25" s="683"/>
      <c r="T25" s="683"/>
      <c r="U25" s="683"/>
      <c r="V25" s="683"/>
      <c r="W25" s="683"/>
      <c r="X25" s="684"/>
    </row>
    <row r="26" spans="1:24" ht="13.5" customHeight="1" x14ac:dyDescent="0.2">
      <c r="A26" s="1234"/>
      <c r="B26" s="1234"/>
      <c r="C26" s="1051" t="s">
        <v>199</v>
      </c>
      <c r="D26" s="1051"/>
      <c r="E26" s="1051"/>
      <c r="F26" s="1300">
        <v>0</v>
      </c>
      <c r="G26" s="1300"/>
      <c r="H26" s="1301"/>
      <c r="I26" s="1302"/>
      <c r="J26" s="1302"/>
      <c r="K26" s="1302"/>
      <c r="L26" s="1303"/>
      <c r="M26" s="766">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4"/>
      <c r="B29" s="1234"/>
      <c r="C29" s="1046" t="s">
        <v>166</v>
      </c>
      <c r="D29" s="1046"/>
      <c r="E29" s="1046"/>
      <c r="F29" s="1115">
        <f>ROUND(F27-M27,0)</f>
        <v>0</v>
      </c>
      <c r="G29" s="1116"/>
      <c r="H29" s="1046" t="s">
        <v>410</v>
      </c>
      <c r="I29" s="1046"/>
      <c r="J29" s="1046"/>
      <c r="K29" s="1046"/>
      <c r="L29" s="1046"/>
      <c r="M29" s="484">
        <f>M17</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
        <v>401</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774">
        <v>2027</v>
      </c>
      <c r="K32" s="1306">
        <f>J32+1</f>
        <v>2028</v>
      </c>
      <c r="L32" s="1307"/>
      <c r="M32" s="774">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509">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'5 AT Lainat, avustukset ei alv '!G27</f>
        <v>0</v>
      </c>
      <c r="K34" s="1314">
        <f>'5 AT Lainat, avustukset ei alv '!H27</f>
        <v>0</v>
      </c>
      <c r="L34" s="1315">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7">
        <f>'5 AT Lainat, avustukset ei alv '!G19</f>
        <v>0</v>
      </c>
      <c r="K35" s="1226">
        <f>'5 AT Lainat, avustukset ei alv '!H19</f>
        <v>0</v>
      </c>
      <c r="L35" s="1227">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7">
        <f>'5 AT Lainat, avustukset ei alv '!S21</f>
        <v>0</v>
      </c>
      <c r="K36" s="1044">
        <f>'5 AT Lainat, avustukset ei alv '!Y21</f>
        <v>0</v>
      </c>
      <c r="L36" s="1045">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94">
        <f>IF($M16=0,0,-M33*PMT($J16/12,$K16*12,$M16)+M33*10)</f>
        <v>0</v>
      </c>
      <c r="O37" s="1304" t="s">
        <v>168</v>
      </c>
      <c r="P37" s="1305"/>
      <c r="Q37" s="683"/>
      <c r="R37" s="683"/>
      <c r="S37" s="683"/>
      <c r="T37" s="683"/>
      <c r="U37" s="683"/>
      <c r="V37" s="683"/>
      <c r="W37" s="683"/>
      <c r="X37" s="684"/>
    </row>
    <row r="38" spans="2:27" s="2" customFormat="1" ht="12.75" hidden="1" customHeight="1" x14ac:dyDescent="0.2">
      <c r="B38" s="253" t="s">
        <v>61</v>
      </c>
      <c r="C38" s="466" t="s">
        <v>141</v>
      </c>
      <c r="D38" s="1008" t="s">
        <v>0</v>
      </c>
      <c r="E38" s="1008"/>
      <c r="F38" s="1008"/>
      <c r="G38" s="1008"/>
      <c r="H38" s="1009"/>
      <c r="I38" s="497">
        <f>J38/J$33</f>
        <v>0</v>
      </c>
      <c r="J38" s="502">
        <f>J39*J41</f>
        <v>0</v>
      </c>
      <c r="K38" s="1022">
        <f>K39*K41</f>
        <v>0</v>
      </c>
      <c r="L38" s="1023"/>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8"/>
      <c r="L39" s="1309"/>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0"/>
      <c r="L40" s="1311"/>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2"/>
      <c r="L41" s="1313"/>
      <c r="M41" s="848"/>
      <c r="N41" s="6"/>
      <c r="O41" s="855"/>
      <c r="P41" s="856"/>
      <c r="Q41" s="683"/>
      <c r="R41" s="683"/>
      <c r="S41" s="683"/>
      <c r="T41" s="683"/>
      <c r="U41" s="683"/>
      <c r="V41" s="683"/>
      <c r="W41" s="683"/>
      <c r="X41" s="684"/>
    </row>
    <row r="42" spans="2:27" s="2" customFormat="1" ht="12.75" customHeight="1" x14ac:dyDescent="0.2">
      <c r="B42" s="253" t="s">
        <v>61</v>
      </c>
      <c r="C42" s="466" t="s">
        <v>142</v>
      </c>
      <c r="D42" s="1008" t="s">
        <v>407</v>
      </c>
      <c r="E42" s="1008"/>
      <c r="F42" s="1008"/>
      <c r="G42" s="1008"/>
      <c r="H42" s="1009"/>
      <c r="I42" s="497">
        <f>J42/J$33</f>
        <v>0</v>
      </c>
      <c r="J42" s="502">
        <f>J43*J45</f>
        <v>0</v>
      </c>
      <c r="K42" s="1022">
        <f t="shared" ref="K42:L42" si="0">K43*K45+K44*K45*$Z45</f>
        <v>0</v>
      </c>
      <c r="L42" s="1023">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6" t="s">
        <v>447</v>
      </c>
      <c r="E43" s="1006"/>
      <c r="F43" s="1006"/>
      <c r="G43" s="1006"/>
      <c r="H43" s="1007"/>
      <c r="I43" s="498">
        <v>0</v>
      </c>
      <c r="J43" s="775">
        <v>0</v>
      </c>
      <c r="K43" s="1322">
        <f>J43*O43+J43</f>
        <v>0</v>
      </c>
      <c r="L43" s="1323">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0" t="s">
        <v>448</v>
      </c>
      <c r="E44" s="1000"/>
      <c r="F44" s="1000"/>
      <c r="G44" s="1000"/>
      <c r="H44" s="1001"/>
      <c r="I44" s="498"/>
      <c r="J44" s="775">
        <v>0</v>
      </c>
      <c r="K44" s="1324">
        <f>J44</f>
        <v>0</v>
      </c>
      <c r="L44" s="1325"/>
      <c r="M44" s="776">
        <f>K44</f>
        <v>0</v>
      </c>
      <c r="O44" s="948"/>
      <c r="P44" s="949"/>
      <c r="Q44" s="683"/>
      <c r="R44" s="683"/>
      <c r="S44" s="683"/>
      <c r="T44" s="683"/>
      <c r="U44" s="683"/>
      <c r="V44" s="683"/>
      <c r="W44" s="683"/>
      <c r="X44" s="684"/>
      <c r="Z44" s="293"/>
      <c r="AA44" s="29"/>
    </row>
    <row r="45" spans="2:27" s="22" customFormat="1" ht="12" customHeight="1" x14ac:dyDescent="0.2">
      <c r="B45" s="90"/>
      <c r="C45" s="518"/>
      <c r="D45" s="998" t="s">
        <v>449</v>
      </c>
      <c r="E45" s="998"/>
      <c r="F45" s="998"/>
      <c r="G45" s="998"/>
      <c r="H45" s="999"/>
      <c r="I45" s="498">
        <v>0</v>
      </c>
      <c r="J45" s="777">
        <v>0</v>
      </c>
      <c r="K45" s="1326">
        <f>J45</f>
        <v>0</v>
      </c>
      <c r="L45" s="1327"/>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09" t="s">
        <v>180</v>
      </c>
      <c r="E46" s="1051"/>
      <c r="F46" s="1328">
        <v>0.35</v>
      </c>
      <c r="G46" s="1328"/>
      <c r="H46" s="523" t="s">
        <v>58</v>
      </c>
      <c r="I46" s="497">
        <f>J46/J$33</f>
        <v>0</v>
      </c>
      <c r="J46" s="502">
        <f>$F46*(J42+J44*J45)</f>
        <v>0</v>
      </c>
      <c r="K46" s="1224">
        <f>$F46*(K42+K44*K33)</f>
        <v>0</v>
      </c>
      <c r="L46" s="1225"/>
      <c r="M46" s="494">
        <f>$F46*(M42+M44*M33)</f>
        <v>0</v>
      </c>
      <c r="O46" s="1316"/>
      <c r="P46" s="1317"/>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1">K48*K49+K50+K51</f>
        <v>0</v>
      </c>
      <c r="L47" s="1023"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779">
        <v>0</v>
      </c>
      <c r="K48" s="1318">
        <f>J48+J48*O48</f>
        <v>0</v>
      </c>
      <c r="L48" s="1319">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0" t="s">
        <v>450</v>
      </c>
      <c r="E49" s="1000"/>
      <c r="F49" s="1000"/>
      <c r="G49" s="1000"/>
      <c r="H49" s="1001"/>
      <c r="I49" s="498">
        <v>0</v>
      </c>
      <c r="J49" s="781">
        <v>0.1903</v>
      </c>
      <c r="K49" s="1320">
        <f>J49</f>
        <v>0.1903</v>
      </c>
      <c r="L49" s="1321"/>
      <c r="M49" s="782">
        <f>K49</f>
        <v>0.1903</v>
      </c>
      <c r="O49" s="952"/>
      <c r="P49" s="953"/>
      <c r="Q49" s="683"/>
      <c r="R49" s="683"/>
      <c r="S49" s="683"/>
      <c r="T49" s="683"/>
      <c r="U49" s="683"/>
      <c r="V49" s="683"/>
      <c r="W49" s="683"/>
      <c r="X49" s="684"/>
    </row>
    <row r="50" spans="2:24" ht="12" customHeight="1" x14ac:dyDescent="0.2">
      <c r="B50" s="90"/>
      <c r="C50" s="517"/>
      <c r="D50" s="998" t="s">
        <v>451</v>
      </c>
      <c r="E50" s="998"/>
      <c r="F50" s="998"/>
      <c r="G50" s="998"/>
      <c r="H50" s="999"/>
      <c r="I50" s="499">
        <v>0</v>
      </c>
      <c r="J50" s="775">
        <v>0</v>
      </c>
      <c r="K50" s="1322">
        <f>J50</f>
        <v>0</v>
      </c>
      <c r="L50" s="1323" t="e">
        <f>K50*12/K$11</f>
        <v>#VALUE!</v>
      </c>
      <c r="M50" s="776">
        <f>K50</f>
        <v>0</v>
      </c>
      <c r="O50" s="954"/>
      <c r="P50" s="955"/>
      <c r="Q50" s="683"/>
      <c r="R50" s="683"/>
      <c r="S50" s="683"/>
      <c r="T50" s="683"/>
      <c r="U50" s="683"/>
      <c r="V50" s="683"/>
      <c r="W50" s="683"/>
      <c r="X50" s="684"/>
    </row>
    <row r="51" spans="2:24" s="22" customFormat="1" ht="12" customHeight="1" x14ac:dyDescent="0.2">
      <c r="B51" s="90"/>
      <c r="C51" s="515"/>
      <c r="D51" s="1331" t="s">
        <v>452</v>
      </c>
      <c r="E51" s="1331"/>
      <c r="F51" s="1331"/>
      <c r="G51" s="1331"/>
      <c r="H51" s="1332"/>
      <c r="I51" s="498">
        <v>0</v>
      </c>
      <c r="J51" s="507">
        <f>J33*((1.7%*J48+1.91%*(J38+J40*12))+0.008*$M10)/12</f>
        <v>0</v>
      </c>
      <c r="K51" s="1226">
        <f>K33*((1.7%*K48+1.91%*(K38+K40*12))+0.008*$M10)/12</f>
        <v>0</v>
      </c>
      <c r="L51" s="1227">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783">
        <v>0</v>
      </c>
      <c r="K53" s="1329">
        <f>(J53+J53*O53)*12/J$33</f>
        <v>0</v>
      </c>
      <c r="L53" s="1330"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775">
        <v>0</v>
      </c>
      <c r="K54" s="1322">
        <f>(J54+J54*O54)*12/J$33</f>
        <v>0</v>
      </c>
      <c r="L54" s="1323"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3">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775">
        <v>0</v>
      </c>
      <c r="K56" s="1322">
        <f>(J56+J56*O56)*12/J$33</f>
        <v>0</v>
      </c>
      <c r="L56" s="1323"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0" t="s">
        <v>501</v>
      </c>
      <c r="E57" s="1000"/>
      <c r="F57" s="1000"/>
      <c r="G57" s="1000"/>
      <c r="H57" s="1001"/>
      <c r="I57" s="498">
        <v>0</v>
      </c>
      <c r="J57" s="775">
        <v>0</v>
      </c>
      <c r="K57" s="1322">
        <f>(J57+J57*O57)*12/J$33</f>
        <v>0</v>
      </c>
      <c r="L57" s="1323"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775">
        <v>0</v>
      </c>
      <c r="K58" s="1322">
        <f>(J58+J58*O58)*12/J$33</f>
        <v>0</v>
      </c>
      <c r="L58" s="1323"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4">K62*K61</f>
        <v>0</v>
      </c>
      <c r="L60" s="1045">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775">
        <v>0</v>
      </c>
      <c r="K61" s="1322">
        <f>I61+I61*O61</f>
        <v>0</v>
      </c>
      <c r="L61" s="1323">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775">
        <v>0</v>
      </c>
      <c r="K62" s="1322">
        <f>J62</f>
        <v>0</v>
      </c>
      <c r="L62" s="1323">
        <f>L33</f>
        <v>0</v>
      </c>
      <c r="M62" s="776">
        <f>K62</f>
        <v>0</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7">J63/J$33</f>
        <v>0</v>
      </c>
      <c r="J63" s="775">
        <v>0</v>
      </c>
      <c r="K63" s="1322">
        <f t="shared" ref="K63:K68" si="8">(J63+J63*O63)*12/J$33</f>
        <v>0</v>
      </c>
      <c r="L63" s="1323"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7"/>
        <v>0</v>
      </c>
      <c r="J64" s="775">
        <v>0</v>
      </c>
      <c r="K64" s="1322">
        <f t="shared" si="8"/>
        <v>0</v>
      </c>
      <c r="L64" s="1323"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7"/>
        <v>0</v>
      </c>
      <c r="J65" s="775">
        <v>0</v>
      </c>
      <c r="K65" s="1322">
        <f t="shared" si="8"/>
        <v>0</v>
      </c>
      <c r="L65" s="1323"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7"/>
        <v>0</v>
      </c>
      <c r="J66" s="775">
        <v>0</v>
      </c>
      <c r="K66" s="1322">
        <f t="shared" si="8"/>
        <v>0</v>
      </c>
      <c r="L66" s="1323"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7"/>
        <v>0</v>
      </c>
      <c r="J67" s="775">
        <v>0</v>
      </c>
      <c r="K67" s="1322">
        <f t="shared" si="8"/>
        <v>0</v>
      </c>
      <c r="L67" s="1323"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7"/>
        <v>0</v>
      </c>
      <c r="J68" s="775">
        <v>0</v>
      </c>
      <c r="K68" s="1322">
        <f t="shared" si="8"/>
        <v>0</v>
      </c>
      <c r="L68" s="1323"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775">
        <v>0</v>
      </c>
      <c r="K69" s="1322">
        <f t="shared" ref="K69" si="11">J69+J69*O69</f>
        <v>0</v>
      </c>
      <c r="L69" s="1323">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7"/>
        <v>0</v>
      </c>
      <c r="J70" s="775">
        <v>0</v>
      </c>
      <c r="K70" s="1322">
        <f>(J70+J70*O70)*12/J$33</f>
        <v>0</v>
      </c>
      <c r="L70" s="1323" t="e">
        <f>K70*12/K$11</f>
        <v>#VALUE!</v>
      </c>
      <c r="M70" s="776">
        <f t="shared" si="10"/>
        <v>0</v>
      </c>
      <c r="O70" s="765">
        <v>0.03</v>
      </c>
      <c r="P70" s="765">
        <f>O70</f>
        <v>0.03</v>
      </c>
      <c r="Q70" s="686"/>
      <c r="R70" s="686"/>
      <c r="S70" s="686"/>
      <c r="T70" s="686"/>
      <c r="U70" s="686"/>
      <c r="V70" s="686"/>
      <c r="W70" s="686"/>
      <c r="X70" s="687"/>
    </row>
    <row r="71" spans="1:24" ht="12.75" customHeight="1" x14ac:dyDescent="0.2">
      <c r="B71" s="1235" t="s">
        <v>80</v>
      </c>
      <c r="C71" s="545" t="s">
        <v>0</v>
      </c>
      <c r="D71" s="1135" t="str">
        <f>D31</f>
        <v>TOIMINTAKUSTANNUKSET TILIKAUDELLA SIS. ARVONLISÄVERON</v>
      </c>
      <c r="E71" s="1135"/>
      <c r="F71" s="1135"/>
      <c r="G71" s="1135"/>
      <c r="H71" s="1136"/>
      <c r="I71" s="1139" t="s">
        <v>134</v>
      </c>
      <c r="J71" s="1082"/>
      <c r="K71" s="1123" t="s">
        <v>135</v>
      </c>
      <c r="L71" s="1124"/>
      <c r="M71" s="541" t="s">
        <v>137</v>
      </c>
      <c r="N71" s="271"/>
      <c r="O71" s="958"/>
      <c r="P71" s="953"/>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948"/>
      <c r="P72" s="949"/>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784">
        <v>0.3</v>
      </c>
      <c r="I74" s="449">
        <f t="shared" ref="I74:I86" si="13">J74/J$33</f>
        <v>0</v>
      </c>
      <c r="J74" s="449">
        <f>IF($M$15=0,0,'5 AT Lainat, avustukset ei alv '!G58)</f>
        <v>0</v>
      </c>
      <c r="K74" s="1036">
        <f>IF($M$15=0,0,'5 AT Lainat, avustukset ei alv '!G58)</f>
        <v>0</v>
      </c>
      <c r="L74" s="1036"/>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3"/>
        <v>0</v>
      </c>
      <c r="J75" s="449">
        <f>J76*J77*J78+J79+J80+J82+J81</f>
        <v>0</v>
      </c>
      <c r="K75" s="1036">
        <f t="shared" ref="K75:L75" si="14">K76*K77*K78+K79+K80+K82+K81</f>
        <v>0</v>
      </c>
      <c r="L75" s="1036"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3"/>
        <v>0</v>
      </c>
      <c r="J76" s="785">
        <v>0</v>
      </c>
      <c r="K76" s="1333">
        <f>(J76+J76*O76)*12/J$33</f>
        <v>0</v>
      </c>
      <c r="L76" s="1333"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786">
        <v>0</v>
      </c>
      <c r="K77" s="1334">
        <f>J77</f>
        <v>0</v>
      </c>
      <c r="L77" s="1334"/>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786">
        <v>0</v>
      </c>
      <c r="K78" s="1334">
        <f t="shared" ref="K78" si="15">J78+J78*O78</f>
        <v>0</v>
      </c>
      <c r="L78" s="1334">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3"/>
        <v>0</v>
      </c>
      <c r="J79" s="785">
        <v>0</v>
      </c>
      <c r="K79" s="1333">
        <f>(J79+J79*O79)*12/J$33</f>
        <v>0</v>
      </c>
      <c r="L79" s="1333"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3"/>
        <v>0</v>
      </c>
      <c r="J80" s="785">
        <v>0</v>
      </c>
      <c r="K80" s="1333">
        <f>(J80+J80*O80)*12/J$33</f>
        <v>0</v>
      </c>
      <c r="L80" s="1333"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785">
        <v>0</v>
      </c>
      <c r="K81" s="1333">
        <f>(J81+J81*O81)*12/J$33</f>
        <v>0</v>
      </c>
      <c r="L81" s="1333"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3"/>
        <v>0</v>
      </c>
      <c r="J82" s="785">
        <v>0</v>
      </c>
      <c r="K82" s="1333">
        <f>(J82+J82*O82)*12/J$33</f>
        <v>0</v>
      </c>
      <c r="L82" s="1333"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17">SUM(K84:K86)</f>
        <v>0</v>
      </c>
      <c r="L83" s="1134"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785">
        <v>0</v>
      </c>
      <c r="K84" s="1333">
        <f>(J84+J84*O84)*12/J$33</f>
        <v>0</v>
      </c>
      <c r="L84" s="1333"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18">J85/J$33</f>
        <v>0</v>
      </c>
      <c r="J85" s="785">
        <v>0</v>
      </c>
      <c r="K85" s="1333">
        <f>(J85+J85*O85)*12/J$33</f>
        <v>0</v>
      </c>
      <c r="L85" s="1333"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3"/>
        <v>0</v>
      </c>
      <c r="J86" s="785">
        <v>0</v>
      </c>
      <c r="K86" s="1333">
        <f>(J86+J86*O86)*12/J$33</f>
        <v>0</v>
      </c>
      <c r="L86" s="1333"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954"/>
      <c r="P87" s="95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785">
        <v>0</v>
      </c>
      <c r="K88" s="1333">
        <f>(J88+J88*O88)*12/J$33</f>
        <v>0</v>
      </c>
      <c r="L88" s="1333"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785">
        <v>0</v>
      </c>
      <c r="K89" s="1333">
        <f>(J89+J89*O89)*12/J$33</f>
        <v>0</v>
      </c>
      <c r="L89" s="1333"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785">
        <v>0</v>
      </c>
      <c r="K90" s="1333">
        <f>(J90+J90*O90)*12/J$33</f>
        <v>0</v>
      </c>
      <c r="L90" s="1333"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785">
        <v>0</v>
      </c>
      <c r="K91" s="1333">
        <f>(J91+J91*O91)*12/J$33</f>
        <v>0</v>
      </c>
      <c r="L91" s="1333"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0">
        <f>(J92+J92*O92)*12/J$33</f>
        <v>0</v>
      </c>
      <c r="L92" s="1300"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6">
        <f t="shared" ref="K93:L93" si="21">K94*K95+K97*K96</f>
        <v>0</v>
      </c>
      <c r="L93" s="1036"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785">
        <v>0</v>
      </c>
      <c r="K94" s="1333">
        <f>J94*12/J$33</f>
        <v>0</v>
      </c>
      <c r="L94" s="1333"/>
      <c r="M94" s="785">
        <f>K94</f>
        <v>0</v>
      </c>
      <c r="O94" s="961"/>
      <c r="P94" s="962"/>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787">
        <v>0.55000000000000004</v>
      </c>
      <c r="K95" s="1335">
        <f>J95</f>
        <v>0.55000000000000004</v>
      </c>
      <c r="L95" s="1335"/>
      <c r="M95" s="787">
        <f>K95</f>
        <v>0.55000000000000004</v>
      </c>
      <c r="O95" s="961"/>
      <c r="P95" s="962"/>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785">
        <v>0</v>
      </c>
      <c r="K96" s="1333">
        <f>(J96*12/J$33)</f>
        <v>0</v>
      </c>
      <c r="L96" s="1333" t="e">
        <f>K96*12/K$10</f>
        <v>#DIV/0!</v>
      </c>
      <c r="M96" s="785">
        <f>K96</f>
        <v>0</v>
      </c>
      <c r="O96" s="961"/>
      <c r="P96" s="962"/>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786">
        <v>53</v>
      </c>
      <c r="K97" s="1334">
        <f>J97</f>
        <v>53</v>
      </c>
      <c r="L97" s="1334"/>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6">
        <f>K99+K100</f>
        <v>0</v>
      </c>
      <c r="L98" s="1036"/>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0"/>
        <v>0</v>
      </c>
      <c r="J99" s="785">
        <v>0</v>
      </c>
      <c r="K99" s="1333">
        <f>(J99+J99*O99)*12/J$33</f>
        <v>0</v>
      </c>
      <c r="L99" s="1333"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0"/>
        <v>0</v>
      </c>
      <c r="J100" s="785">
        <v>0</v>
      </c>
      <c r="K100" s="1333">
        <f>(J100+J100*O100)*12/J$33</f>
        <v>0</v>
      </c>
      <c r="L100" s="1333"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0"/>
        <v>0</v>
      </c>
      <c r="J101" s="449">
        <f>SUM(J102:J103)</f>
        <v>0</v>
      </c>
      <c r="K101" s="1036">
        <f>SUM(K102:K103)</f>
        <v>0</v>
      </c>
      <c r="L101" s="1036"/>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0"/>
        <v>0</v>
      </c>
      <c r="J102" s="785">
        <v>0</v>
      </c>
      <c r="K102" s="1333">
        <f>(J102+J102*O102)*12/J$33</f>
        <v>0</v>
      </c>
      <c r="L102" s="1333"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0"/>
        <v>0</v>
      </c>
      <c r="J103" s="785">
        <v>0</v>
      </c>
      <c r="K103" s="1333">
        <f>(J103+J103*O103)*12/J$33</f>
        <v>0</v>
      </c>
      <c r="L103" s="1333"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6">
        <f t="shared" ref="K104:L104" si="22">SUM(K105:K107)</f>
        <v>0</v>
      </c>
      <c r="L104" s="1036"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c r="J105" s="785">
        <v>0</v>
      </c>
      <c r="K105" s="1333">
        <f>(J105+J105*O105)*12/J$33</f>
        <v>0</v>
      </c>
      <c r="L105" s="1333"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785">
        <v>0</v>
      </c>
      <c r="K106" s="1333">
        <f>(J106+J106*O106)*12/J$33</f>
        <v>0</v>
      </c>
      <c r="L106" s="1333"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785">
        <v>0</v>
      </c>
      <c r="K107" s="1333">
        <f>(J107+J107*O107)*12/J$33</f>
        <v>0</v>
      </c>
      <c r="L107" s="1333"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6">
        <f>SUM(K109:K111)</f>
        <v>0</v>
      </c>
      <c r="L108" s="1036"/>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4"/>
        <v>0</v>
      </c>
      <c r="J109" s="785">
        <v>0</v>
      </c>
      <c r="K109" s="1333">
        <f t="shared" ref="K109:K110" si="25">(J109+J109*O109)*12/J$33</f>
        <v>0</v>
      </c>
      <c r="L109" s="1333"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4"/>
        <v>0</v>
      </c>
      <c r="J110" s="785">
        <v>0</v>
      </c>
      <c r="K110" s="1333">
        <f t="shared" si="25"/>
        <v>0</v>
      </c>
      <c r="L110" s="1333"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4"/>
        <v>0</v>
      </c>
      <c r="J111" s="785">
        <v>0</v>
      </c>
      <c r="K111" s="1333">
        <f>(J111+J111*O111)*12/J$33</f>
        <v>0</v>
      </c>
      <c r="L111" s="1333"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4"/>
        <v>0</v>
      </c>
      <c r="J112" s="767">
        <v>0</v>
      </c>
      <c r="K112" s="1300">
        <f>(J112+J112*O112)*12/J$33</f>
        <v>0</v>
      </c>
      <c r="L112" s="1300"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4"/>
        <v>0</v>
      </c>
      <c r="J113" s="767">
        <v>0</v>
      </c>
      <c r="K113" s="1300">
        <f>(J113+J113*O113)*12/J$33</f>
        <v>0</v>
      </c>
      <c r="L113" s="1300"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0">
        <f>(J114+J114*O114)*12/J$33</f>
        <v>0</v>
      </c>
      <c r="L114" s="1300"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0">
        <f>(J115+J115*O115)*12/J$33</f>
        <v>0</v>
      </c>
      <c r="L115" s="1300"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47">
        <v>0</v>
      </c>
      <c r="K116" s="1128">
        <v>0</v>
      </c>
      <c r="L116" s="1128"/>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7" t="s">
        <v>402</v>
      </c>
      <c r="D119" s="1098"/>
      <c r="E119" s="1098"/>
      <c r="F119" s="1098"/>
      <c r="G119" s="1098"/>
      <c r="H119" s="1098"/>
      <c r="I119" s="1082" t="s">
        <v>134</v>
      </c>
      <c r="J119" s="1082"/>
      <c r="K119" s="1123" t="s">
        <v>135</v>
      </c>
      <c r="L119" s="1124"/>
      <c r="M119" s="541" t="s">
        <v>137</v>
      </c>
      <c r="O119" s="950"/>
      <c r="P119" s="949"/>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65"/>
      <c r="P120" s="966"/>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316"/>
      <c r="P121" s="1317"/>
      <c r="Q121" s="683"/>
      <c r="R121" s="683"/>
      <c r="S121" s="683"/>
      <c r="T121" s="683"/>
      <c r="U121" s="683"/>
      <c r="V121" s="683"/>
      <c r="W121" s="683"/>
      <c r="X121" s="684"/>
    </row>
    <row r="122" spans="1:24" s="32" customFormat="1" ht="14.25" customHeight="1" x14ac:dyDescent="0.2">
      <c r="B122" s="610"/>
      <c r="C122" s="612"/>
      <c r="D122" s="538"/>
      <c r="E122" s="538"/>
      <c r="F122" s="1214"/>
      <c r="G122" s="1215"/>
      <c r="H122" s="613"/>
      <c r="I122" s="570"/>
      <c r="J122" s="460"/>
      <c r="K122" s="1126"/>
      <c r="L122" s="1126"/>
      <c r="M122" s="465"/>
      <c r="O122" s="1336" t="s">
        <v>168</v>
      </c>
      <c r="P122" s="1337"/>
      <c r="Q122" s="683"/>
      <c r="R122" s="683"/>
      <c r="S122" s="683"/>
      <c r="T122" s="683"/>
      <c r="U122" s="683"/>
      <c r="V122" s="683"/>
      <c r="W122" s="683"/>
      <c r="X122" s="684"/>
    </row>
    <row r="123" spans="1:24" s="32" customFormat="1" ht="12" customHeight="1" x14ac:dyDescent="0.2">
      <c r="B123" s="253" t="s">
        <v>327</v>
      </c>
      <c r="C123" s="1338" t="s">
        <v>373</v>
      </c>
      <c r="D123" s="1339"/>
      <c r="E123" s="1339"/>
      <c r="F123" s="1340">
        <v>0</v>
      </c>
      <c r="G123" s="1341"/>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403</v>
      </c>
      <c r="D124" s="1033"/>
      <c r="E124" s="1033"/>
      <c r="F124" s="1033"/>
      <c r="G124" s="1034"/>
      <c r="H124" s="1035"/>
      <c r="I124" s="450"/>
      <c r="J124" s="786">
        <v>0</v>
      </c>
      <c r="K124" s="1334">
        <f>J124+J124*O124</f>
        <v>0</v>
      </c>
      <c r="L124" s="1334">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69"/>
      <c r="D125" s="1070"/>
      <c r="E125" s="1070"/>
      <c r="F125" s="1070"/>
      <c r="G125" s="1071"/>
      <c r="H125" s="1072"/>
      <c r="I125" s="527">
        <v>0</v>
      </c>
      <c r="J125" s="758">
        <f>J124/(1+$F123)</f>
        <v>0</v>
      </c>
      <c r="K125" s="1342">
        <f>K124/(1+F123)</f>
        <v>0</v>
      </c>
      <c r="L125" s="1342"/>
      <c r="M125" s="759">
        <f>M124/(1+F123)</f>
        <v>0</v>
      </c>
      <c r="O125" s="948"/>
      <c r="P125" s="949"/>
      <c r="Q125" s="683"/>
      <c r="R125" s="683"/>
      <c r="S125" s="683"/>
      <c r="T125" s="683"/>
      <c r="U125" s="683"/>
      <c r="V125" s="683"/>
      <c r="W125" s="683"/>
      <c r="X125" s="684"/>
    </row>
    <row r="126" spans="1:24" s="32" customFormat="1" ht="12" customHeight="1" x14ac:dyDescent="0.2">
      <c r="C126" s="1343" t="s">
        <v>372</v>
      </c>
      <c r="D126" s="1344"/>
      <c r="E126" s="1344"/>
      <c r="F126" s="1344"/>
      <c r="G126" s="1345"/>
      <c r="H126" s="1346"/>
      <c r="I126" s="448">
        <f>J126/J$33</f>
        <v>0</v>
      </c>
      <c r="J126" s="785">
        <v>0</v>
      </c>
      <c r="K126" s="1333">
        <f>(J126+J126*O126)*12/J$33</f>
        <v>0</v>
      </c>
      <c r="L126" s="1333"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8">
        <v>0</v>
      </c>
      <c r="D128" s="1339"/>
      <c r="E128" s="1339"/>
      <c r="F128" s="1340">
        <v>0</v>
      </c>
      <c r="G128" s="1341"/>
      <c r="H128" s="614" t="s">
        <v>7</v>
      </c>
      <c r="I128" s="456">
        <f>J128/J$33</f>
        <v>0</v>
      </c>
      <c r="J128" s="449">
        <f>J130*J131</f>
        <v>0</v>
      </c>
      <c r="K128" s="1036">
        <f>K130*K131</f>
        <v>0</v>
      </c>
      <c r="L128" s="1036"/>
      <c r="M128" s="449">
        <f>M130*M131</f>
        <v>0</v>
      </c>
      <c r="O128" s="967"/>
      <c r="P128" s="968"/>
      <c r="Q128" s="683"/>
      <c r="R128" s="683"/>
      <c r="S128" s="683"/>
      <c r="T128" s="683"/>
      <c r="U128" s="683"/>
      <c r="V128" s="683"/>
      <c r="W128" s="683"/>
      <c r="X128" s="684"/>
    </row>
    <row r="129" spans="3:24" s="32" customFormat="1" ht="12" customHeight="1" x14ac:dyDescent="0.2">
      <c r="C129" s="1068" t="s">
        <v>403</v>
      </c>
      <c r="D129" s="1006"/>
      <c r="E129" s="1006"/>
      <c r="F129" s="1006"/>
      <c r="G129" s="1006"/>
      <c r="H129" s="1007"/>
      <c r="I129" s="450"/>
      <c r="J129" s="786">
        <v>0</v>
      </c>
      <c r="K129" s="1334">
        <f>J129+J129*O129</f>
        <v>0</v>
      </c>
      <c r="L129" s="1334">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69"/>
      <c r="D130" s="1070"/>
      <c r="E130" s="1070"/>
      <c r="F130" s="1070"/>
      <c r="G130" s="1071"/>
      <c r="H130" s="1072"/>
      <c r="I130" s="527">
        <v>0</v>
      </c>
      <c r="J130" s="758">
        <f>J129/(1+$F128)</f>
        <v>0</v>
      </c>
      <c r="K130" s="1342">
        <f>K129/(1+F128)</f>
        <v>0</v>
      </c>
      <c r="L130" s="1342"/>
      <c r="M130" s="759">
        <f>M129/(1+F128)</f>
        <v>0</v>
      </c>
      <c r="O130" s="948"/>
      <c r="P130" s="949"/>
      <c r="Q130" s="683"/>
      <c r="R130" s="683"/>
      <c r="S130" s="683"/>
      <c r="T130" s="683"/>
      <c r="U130" s="683"/>
      <c r="V130" s="683"/>
      <c r="W130" s="683"/>
      <c r="X130" s="684"/>
    </row>
    <row r="131" spans="3:24" s="32" customFormat="1" ht="12" customHeight="1" x14ac:dyDescent="0.2">
      <c r="C131" s="1343" t="s">
        <v>374</v>
      </c>
      <c r="D131" s="1344"/>
      <c r="E131" s="1344"/>
      <c r="F131" s="1344"/>
      <c r="G131" s="1345"/>
      <c r="H131" s="1346"/>
      <c r="I131" s="448">
        <f>J131/J$33</f>
        <v>0</v>
      </c>
      <c r="J131" s="785">
        <v>0</v>
      </c>
      <c r="K131" s="1333">
        <f>(J131+J131*O131)*12/J$33</f>
        <v>0</v>
      </c>
      <c r="L131" s="1333"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8">
        <v>0</v>
      </c>
      <c r="D133" s="1339"/>
      <c r="E133" s="1339"/>
      <c r="F133" s="1340">
        <v>0</v>
      </c>
      <c r="G133" s="1341"/>
      <c r="H133" s="614" t="s">
        <v>7</v>
      </c>
      <c r="I133" s="456">
        <f>J133/J$33</f>
        <v>0</v>
      </c>
      <c r="J133" s="449">
        <f>J135*J136</f>
        <v>0</v>
      </c>
      <c r="K133" s="1036">
        <f>K135*K136</f>
        <v>0</v>
      </c>
      <c r="L133" s="1036"/>
      <c r="M133" s="449">
        <f>M135*M136</f>
        <v>0</v>
      </c>
      <c r="O133" s="967"/>
      <c r="P133" s="968"/>
      <c r="Q133" s="683"/>
      <c r="R133" s="683"/>
      <c r="S133" s="683"/>
      <c r="T133" s="683"/>
      <c r="U133" s="683"/>
      <c r="V133" s="683"/>
      <c r="W133" s="683"/>
      <c r="X133" s="684"/>
    </row>
    <row r="134" spans="3:24" s="32" customFormat="1" ht="12" customHeight="1" x14ac:dyDescent="0.2">
      <c r="C134" s="1032" t="s">
        <v>403</v>
      </c>
      <c r="D134" s="1033"/>
      <c r="E134" s="1033"/>
      <c r="F134" s="1033"/>
      <c r="G134" s="1034"/>
      <c r="H134" s="1035"/>
      <c r="I134" s="450"/>
      <c r="J134" s="786">
        <v>0</v>
      </c>
      <c r="K134" s="1334">
        <f>J134+J134*O134</f>
        <v>0</v>
      </c>
      <c r="L134" s="1334">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69"/>
      <c r="D135" s="1070"/>
      <c r="E135" s="1070"/>
      <c r="F135" s="1070"/>
      <c r="G135" s="1071"/>
      <c r="H135" s="1072"/>
      <c r="I135" s="527">
        <v>0</v>
      </c>
      <c r="J135" s="758">
        <f>J134/(1+$F133)</f>
        <v>0</v>
      </c>
      <c r="K135" s="1342">
        <f>K134/(1+F133)</f>
        <v>0</v>
      </c>
      <c r="L135" s="1342"/>
      <c r="M135" s="759">
        <f>M134/(1+F133)</f>
        <v>0</v>
      </c>
      <c r="O135" s="963"/>
      <c r="P135" s="964"/>
      <c r="Q135" s="683"/>
      <c r="R135" s="683"/>
      <c r="S135" s="683"/>
      <c r="T135" s="683"/>
      <c r="U135" s="683"/>
      <c r="V135" s="683"/>
      <c r="W135" s="683"/>
      <c r="X135" s="684"/>
    </row>
    <row r="136" spans="3:24" s="32" customFormat="1" ht="12" customHeight="1" x14ac:dyDescent="0.2">
      <c r="C136" s="1343" t="s">
        <v>375</v>
      </c>
      <c r="D136" s="1344"/>
      <c r="E136" s="1344"/>
      <c r="F136" s="1344"/>
      <c r="G136" s="1345"/>
      <c r="H136" s="1346"/>
      <c r="I136" s="448">
        <f>J136/J$33</f>
        <v>0</v>
      </c>
      <c r="J136" s="785">
        <v>0</v>
      </c>
      <c r="K136" s="1333">
        <f>(J136+J136*O136)*12/J$33</f>
        <v>0</v>
      </c>
      <c r="L136" s="1333"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8">
        <v>0</v>
      </c>
      <c r="D138" s="1339"/>
      <c r="E138" s="1339"/>
      <c r="F138" s="1340">
        <v>0</v>
      </c>
      <c r="G138" s="1341"/>
      <c r="H138" s="614" t="s">
        <v>7</v>
      </c>
      <c r="I138" s="456">
        <f>J138/J$33</f>
        <v>0</v>
      </c>
      <c r="J138" s="449">
        <f>J140*J141</f>
        <v>0</v>
      </c>
      <c r="K138" s="1036">
        <f>K140*K141</f>
        <v>0</v>
      </c>
      <c r="L138" s="1036"/>
      <c r="M138" s="449">
        <f>M140*M141</f>
        <v>0</v>
      </c>
      <c r="O138" s="950"/>
      <c r="P138" s="951"/>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786">
        <v>0</v>
      </c>
      <c r="K139" s="1334">
        <f>J139+J139*O139</f>
        <v>0</v>
      </c>
      <c r="L139" s="1334">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69"/>
      <c r="D140" s="1070"/>
      <c r="E140" s="1070"/>
      <c r="F140" s="1070"/>
      <c r="G140" s="1071"/>
      <c r="H140" s="1072"/>
      <c r="I140" s="527">
        <v>0</v>
      </c>
      <c r="J140" s="758">
        <f>J139/(1+$F138)</f>
        <v>0</v>
      </c>
      <c r="K140" s="1342">
        <f>K139/(1+F138)</f>
        <v>0</v>
      </c>
      <c r="L140" s="1342"/>
      <c r="M140" s="759">
        <f>M139/(1+F138)</f>
        <v>0</v>
      </c>
      <c r="O140" s="948"/>
      <c r="P140" s="949"/>
      <c r="Q140" s="683"/>
      <c r="R140" s="683"/>
      <c r="S140" s="683"/>
      <c r="T140" s="683"/>
      <c r="U140" s="683"/>
      <c r="V140" s="683"/>
      <c r="W140" s="683"/>
      <c r="X140" s="684"/>
    </row>
    <row r="141" spans="3:24" s="32" customFormat="1" ht="12" customHeight="1" x14ac:dyDescent="0.2">
      <c r="C141" s="1343" t="s">
        <v>375</v>
      </c>
      <c r="D141" s="1344"/>
      <c r="E141" s="1344"/>
      <c r="F141" s="1344"/>
      <c r="G141" s="1345"/>
      <c r="H141" s="1346"/>
      <c r="I141" s="448">
        <f>J141/J$33</f>
        <v>0</v>
      </c>
      <c r="J141" s="785">
        <v>0</v>
      </c>
      <c r="K141" s="1333">
        <f>(J141+J141*O141)*12/J$33</f>
        <v>0</v>
      </c>
      <c r="L141" s="1333"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8">
        <v>0</v>
      </c>
      <c r="D143" s="1339"/>
      <c r="E143" s="1339"/>
      <c r="F143" s="1340">
        <v>0</v>
      </c>
      <c r="G143" s="1341"/>
      <c r="H143" s="614" t="s">
        <v>7</v>
      </c>
      <c r="I143" s="456">
        <f>J143/J$33</f>
        <v>0</v>
      </c>
      <c r="J143" s="449">
        <f>J145*J146</f>
        <v>0</v>
      </c>
      <c r="K143" s="1036">
        <f>K145*K146</f>
        <v>0</v>
      </c>
      <c r="L143" s="1036"/>
      <c r="M143" s="449">
        <f>M145*M146</f>
        <v>0</v>
      </c>
      <c r="O143" s="948"/>
      <c r="P143" s="949"/>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786">
        <v>0</v>
      </c>
      <c r="K144" s="1334">
        <f>J144+J144*O144</f>
        <v>0</v>
      </c>
      <c r="L144" s="1334">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69"/>
      <c r="D145" s="1070"/>
      <c r="E145" s="1070"/>
      <c r="F145" s="1070"/>
      <c r="G145" s="1071"/>
      <c r="H145" s="1072"/>
      <c r="I145" s="527">
        <v>0</v>
      </c>
      <c r="J145" s="758">
        <f>J144/(1+$F143)</f>
        <v>0</v>
      </c>
      <c r="K145" s="1342">
        <f>K144/(1+F143)</f>
        <v>0</v>
      </c>
      <c r="L145" s="1342"/>
      <c r="M145" s="759">
        <f>M144/(1+F143)</f>
        <v>0</v>
      </c>
      <c r="O145" s="948"/>
      <c r="P145" s="949"/>
      <c r="Q145" s="683"/>
      <c r="R145" s="683"/>
      <c r="S145" s="683"/>
      <c r="T145" s="683"/>
      <c r="U145" s="683"/>
      <c r="V145" s="683"/>
      <c r="W145" s="683"/>
      <c r="X145" s="684"/>
    </row>
    <row r="146" spans="2:24" s="32" customFormat="1" ht="12" customHeight="1" x14ac:dyDescent="0.2">
      <c r="C146" s="1343" t="s">
        <v>374</v>
      </c>
      <c r="D146" s="1344"/>
      <c r="E146" s="1344"/>
      <c r="F146" s="1344"/>
      <c r="G146" s="1345"/>
      <c r="H146" s="1346"/>
      <c r="I146" s="448">
        <f>J146/J$33</f>
        <v>0</v>
      </c>
      <c r="J146" s="785">
        <v>0</v>
      </c>
      <c r="K146" s="1333">
        <f>(J146+J146*O146)*12/J$33</f>
        <v>0</v>
      </c>
      <c r="L146" s="1333"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7">
        <v>0</v>
      </c>
      <c r="D148" s="1348"/>
      <c r="E148" s="1349"/>
      <c r="F148" s="1350">
        <v>0</v>
      </c>
      <c r="G148" s="1341"/>
      <c r="H148" s="614" t="s">
        <v>7</v>
      </c>
      <c r="I148" s="456">
        <f>J148/J$33</f>
        <v>0</v>
      </c>
      <c r="J148" s="449">
        <f>J150*J151</f>
        <v>0</v>
      </c>
      <c r="K148" s="1036">
        <f>K150*K151</f>
        <v>0</v>
      </c>
      <c r="L148" s="1036"/>
      <c r="M148" s="449">
        <f>M150*M151</f>
        <v>0</v>
      </c>
      <c r="O148" s="948"/>
      <c r="P148" s="949"/>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786">
        <v>0</v>
      </c>
      <c r="K149" s="1334">
        <f>J149+J149*O149</f>
        <v>0</v>
      </c>
      <c r="L149" s="1334">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69"/>
      <c r="D150" s="1070"/>
      <c r="E150" s="1070"/>
      <c r="F150" s="1070"/>
      <c r="G150" s="1071"/>
      <c r="H150" s="1072"/>
      <c r="I150" s="527">
        <v>0</v>
      </c>
      <c r="J150" s="758">
        <f>J149/(1+$F148)</f>
        <v>0</v>
      </c>
      <c r="K150" s="1342">
        <f>K149/(1+F148)</f>
        <v>0</v>
      </c>
      <c r="L150" s="1342"/>
      <c r="M150" s="759">
        <f>M149/(1+F148)</f>
        <v>0</v>
      </c>
      <c r="O150" s="948"/>
      <c r="P150" s="949"/>
      <c r="Q150" s="683"/>
      <c r="R150" s="683"/>
      <c r="S150" s="683"/>
      <c r="T150" s="683"/>
      <c r="U150" s="683"/>
      <c r="V150" s="683"/>
      <c r="W150" s="683"/>
      <c r="X150" s="684"/>
    </row>
    <row r="151" spans="2:24" s="32" customFormat="1" ht="12" customHeight="1" x14ac:dyDescent="0.2">
      <c r="C151" s="1343" t="s">
        <v>374</v>
      </c>
      <c r="D151" s="1344"/>
      <c r="E151" s="1344"/>
      <c r="F151" s="1344"/>
      <c r="G151" s="1345"/>
      <c r="H151" s="1346"/>
      <c r="I151" s="448">
        <f>J151/J$33</f>
        <v>0</v>
      </c>
      <c r="J151" s="785">
        <v>0</v>
      </c>
      <c r="K151" s="1333">
        <f>(J151+J151*O151)*12/J$33</f>
        <v>0</v>
      </c>
      <c r="L151" s="1333"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1" t="s">
        <v>402</v>
      </c>
      <c r="D153" s="1211"/>
      <c r="E153" s="1211"/>
      <c r="F153" s="1211"/>
      <c r="G153" s="1211"/>
      <c r="H153" s="1211"/>
      <c r="I153" s="1082" t="s">
        <v>134</v>
      </c>
      <c r="J153" s="1082"/>
      <c r="K153" s="1082" t="s">
        <v>135</v>
      </c>
      <c r="L153" s="1082"/>
      <c r="M153" s="541" t="s">
        <v>137</v>
      </c>
      <c r="O153" s="973"/>
      <c r="P153" s="968"/>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973"/>
      <c r="P154" s="968"/>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1"/>
      <c r="G156" s="1351"/>
      <c r="H156" s="616"/>
      <c r="I156" s="463"/>
      <c r="J156" s="458"/>
      <c r="K156" s="1207"/>
      <c r="L156" s="1208"/>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19"/>
      <c r="L157" s="1220"/>
      <c r="M157" s="460"/>
      <c r="O157" s="973"/>
      <c r="P157" s="968"/>
      <c r="Q157" s="683"/>
      <c r="R157" s="683"/>
      <c r="S157" s="683"/>
      <c r="T157" s="683"/>
      <c r="U157" s="683"/>
      <c r="V157" s="683"/>
      <c r="W157" s="683"/>
      <c r="X157" s="684"/>
    </row>
    <row r="158" spans="2:24" s="32" customFormat="1" ht="12" customHeight="1" x14ac:dyDescent="0.2">
      <c r="C158" s="1352" t="s">
        <v>382</v>
      </c>
      <c r="D158" s="1353"/>
      <c r="E158" s="1353"/>
      <c r="F158" s="760">
        <v>0</v>
      </c>
      <c r="G158" s="760">
        <v>0</v>
      </c>
      <c r="H158" s="457" t="s">
        <v>7</v>
      </c>
      <c r="I158" s="456">
        <f>J158/J$33</f>
        <v>0</v>
      </c>
      <c r="J158" s="449">
        <f>J159/(1+$F158)*J160</f>
        <v>0</v>
      </c>
      <c r="K158" s="1036">
        <f>K159/(1+F158)*K160</f>
        <v>0</v>
      </c>
      <c r="L158" s="1036"/>
      <c r="M158" s="449">
        <f>M160*M159/(1+F158)</f>
        <v>0</v>
      </c>
      <c r="O158" s="1336" t="s">
        <v>168</v>
      </c>
      <c r="P158" s="1337"/>
      <c r="Q158" s="683"/>
      <c r="R158" s="683"/>
      <c r="S158" s="683"/>
      <c r="T158" s="683"/>
      <c r="U158" s="683"/>
      <c r="V158" s="683"/>
      <c r="W158" s="683"/>
      <c r="X158" s="684"/>
    </row>
    <row r="159" spans="2:24" s="32" customFormat="1" ht="12.75" customHeight="1" x14ac:dyDescent="0.2">
      <c r="C159" s="1033" t="s">
        <v>406</v>
      </c>
      <c r="D159" s="1033"/>
      <c r="E159" s="1033"/>
      <c r="F159" s="1033"/>
      <c r="G159" s="1034"/>
      <c r="H159" s="1035"/>
      <c r="I159" s="527">
        <v>0</v>
      </c>
      <c r="J159" s="786">
        <v>0</v>
      </c>
      <c r="K159" s="1334">
        <f>J159+J159*O159</f>
        <v>0</v>
      </c>
      <c r="L159" s="1334">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785">
        <v>0</v>
      </c>
      <c r="K160" s="1333">
        <f>(J160+J160*O160)*12/J$33</f>
        <v>0</v>
      </c>
      <c r="L160" s="1333"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6" t="s">
        <v>404</v>
      </c>
      <c r="D161" s="1026"/>
      <c r="E161" s="1026"/>
      <c r="F161" s="1026"/>
      <c r="G161" s="1027"/>
      <c r="H161" s="1028"/>
      <c r="I161" s="527">
        <v>0</v>
      </c>
      <c r="J161" s="786">
        <v>0</v>
      </c>
      <c r="K161" s="1334">
        <f>J161+J161*O161</f>
        <v>0</v>
      </c>
      <c r="L161" s="1334">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6"/>
      <c r="D162" s="1026"/>
      <c r="E162" s="1026"/>
      <c r="F162" s="1026"/>
      <c r="G162" s="1027"/>
      <c r="H162" s="1028"/>
      <c r="I162" s="527">
        <v>0</v>
      </c>
      <c r="J162" s="758">
        <f>J161/(1+$G158)</f>
        <v>0</v>
      </c>
      <c r="K162" s="1342">
        <f t="shared" ref="K162:L162" si="29">K161/(1+$G158)</f>
        <v>0</v>
      </c>
      <c r="L162" s="1342">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0">IF(K159=0,0,(K159/(1+$F158)-K162)/(K159/(1+$F158)))</f>
        <v>0</v>
      </c>
      <c r="L163" s="1183">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3">
        <v>0</v>
      </c>
      <c r="D166" s="1353"/>
      <c r="E166" s="1353"/>
      <c r="F166" s="760">
        <v>0</v>
      </c>
      <c r="G166" s="760">
        <v>0</v>
      </c>
      <c r="H166" s="457" t="s">
        <v>7</v>
      </c>
      <c r="I166" s="456">
        <f>J166/J$33</f>
        <v>0</v>
      </c>
      <c r="J166" s="449">
        <f>J167/(1+$F166)*J168</f>
        <v>0</v>
      </c>
      <c r="K166" s="1036">
        <f>K167/(1+F166)*K168</f>
        <v>0</v>
      </c>
      <c r="L166" s="1036"/>
      <c r="M166" s="449">
        <f>M168*M167/(1+F166)</f>
        <v>0</v>
      </c>
      <c r="N166" s="619"/>
      <c r="O166" s="974"/>
      <c r="P166" s="977"/>
      <c r="Q166" s="693"/>
      <c r="R166" s="683"/>
      <c r="S166" s="683"/>
      <c r="T166" s="683"/>
      <c r="U166" s="683"/>
      <c r="V166" s="683"/>
      <c r="W166" s="683"/>
      <c r="X166" s="684"/>
    </row>
    <row r="167" spans="3:37" s="32" customFormat="1" ht="12.75" customHeight="1" x14ac:dyDescent="0.2">
      <c r="C167" s="1033" t="s">
        <v>406</v>
      </c>
      <c r="D167" s="1033"/>
      <c r="E167" s="1033"/>
      <c r="F167" s="1033"/>
      <c r="G167" s="1034"/>
      <c r="H167" s="1035"/>
      <c r="I167" s="527"/>
      <c r="J167" s="786">
        <v>0</v>
      </c>
      <c r="K167" s="1334">
        <f>J167+J167*O167</f>
        <v>0</v>
      </c>
      <c r="L167" s="1334"/>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785">
        <v>0</v>
      </c>
      <c r="K168" s="1333">
        <f>(J168+J168*O168)*12/J$33</f>
        <v>0</v>
      </c>
      <c r="L168" s="1333"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6" t="s">
        <v>404</v>
      </c>
      <c r="D169" s="1026"/>
      <c r="E169" s="1026"/>
      <c r="F169" s="1026"/>
      <c r="G169" s="1027"/>
      <c r="H169" s="1028"/>
      <c r="I169" s="527"/>
      <c r="J169" s="786">
        <v>0</v>
      </c>
      <c r="K169" s="1334">
        <f>J169+J169*O169</f>
        <v>0</v>
      </c>
      <c r="L169" s="1334">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6"/>
      <c r="D170" s="1026"/>
      <c r="E170" s="1026"/>
      <c r="F170" s="1026"/>
      <c r="G170" s="1027"/>
      <c r="H170" s="1028"/>
      <c r="I170" s="527"/>
      <c r="J170" s="758">
        <f>J169/(1+$G166)</f>
        <v>0</v>
      </c>
      <c r="K170" s="1342">
        <f>K169/(1+G166)</f>
        <v>0</v>
      </c>
      <c r="L170" s="1342"/>
      <c r="M170" s="758">
        <f>M169/(1+G166)</f>
        <v>0</v>
      </c>
      <c r="N170" s="620"/>
      <c r="O170" s="974"/>
      <c r="P170" s="9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L171" si="31">IF(K167=0,0,(K167/(1+$F166)-K170)/(K167/(1+$F166)))</f>
        <v>0</v>
      </c>
      <c r="L171" s="1183">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3">
        <v>0</v>
      </c>
      <c r="D174" s="1353"/>
      <c r="E174" s="1353"/>
      <c r="F174" s="760">
        <v>0</v>
      </c>
      <c r="G174" s="760">
        <v>0</v>
      </c>
      <c r="H174" s="457" t="s">
        <v>7</v>
      </c>
      <c r="I174" s="456">
        <f>J174/J$33</f>
        <v>0</v>
      </c>
      <c r="J174" s="449">
        <f>J175/(1+$F174)*J176</f>
        <v>0</v>
      </c>
      <c r="K174" s="1036">
        <f>K175/(1+F174)*K176</f>
        <v>0</v>
      </c>
      <c r="L174" s="1036"/>
      <c r="M174" s="449">
        <f>M176*M175/(1+F174)</f>
        <v>0</v>
      </c>
      <c r="O174" s="948"/>
      <c r="P174" s="949"/>
      <c r="Q174" s="683"/>
      <c r="R174" s="683"/>
      <c r="S174" s="683"/>
      <c r="T174" s="683"/>
      <c r="U174" s="683"/>
      <c r="V174" s="683"/>
      <c r="W174" s="683"/>
      <c r="X174" s="684"/>
    </row>
    <row r="175" spans="3:37" s="32" customFormat="1" ht="12.75" customHeight="1" x14ac:dyDescent="0.2">
      <c r="C175" s="1033" t="s">
        <v>406</v>
      </c>
      <c r="D175" s="1033"/>
      <c r="E175" s="1033"/>
      <c r="F175" s="1033"/>
      <c r="G175" s="1034"/>
      <c r="H175" s="1035"/>
      <c r="I175" s="527">
        <v>0</v>
      </c>
      <c r="J175" s="786">
        <v>0</v>
      </c>
      <c r="K175" s="1334">
        <f>J175+J175*O175</f>
        <v>0</v>
      </c>
      <c r="L175" s="1334">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785">
        <v>0</v>
      </c>
      <c r="K176" s="1333">
        <f>(J176+J176*O176)*12/J$33</f>
        <v>0</v>
      </c>
      <c r="L176" s="1333"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6" t="s">
        <v>404</v>
      </c>
      <c r="D177" s="1026"/>
      <c r="E177" s="1026"/>
      <c r="F177" s="1026"/>
      <c r="G177" s="1027"/>
      <c r="H177" s="1028"/>
      <c r="I177" s="527">
        <v>0</v>
      </c>
      <c r="J177" s="786">
        <v>0</v>
      </c>
      <c r="K177" s="1334">
        <f>J177+J177*O177</f>
        <v>0</v>
      </c>
      <c r="L177" s="1334">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6"/>
      <c r="D178" s="1026"/>
      <c r="E178" s="1026"/>
      <c r="F178" s="1026"/>
      <c r="G178" s="1027"/>
      <c r="H178" s="1028"/>
      <c r="I178" s="527">
        <v>0</v>
      </c>
      <c r="J178" s="452">
        <f>J177/(1+$G174)</f>
        <v>0</v>
      </c>
      <c r="K178" s="1127">
        <f>K177/(1+G174)</f>
        <v>0</v>
      </c>
      <c r="L178" s="1127"/>
      <c r="M178" s="452">
        <f>M177/(1+G174)</f>
        <v>0</v>
      </c>
      <c r="O178" s="948"/>
      <c r="P178" s="949"/>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L179" si="32">IF(K175=0,0,(K175/(1+$F174)-K178)/(K175/(1+$F174)))</f>
        <v>0</v>
      </c>
      <c r="L179" s="1183">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3">
        <v>0</v>
      </c>
      <c r="D182" s="1353"/>
      <c r="E182" s="1353"/>
      <c r="F182" s="760">
        <v>0</v>
      </c>
      <c r="G182" s="760">
        <v>0</v>
      </c>
      <c r="H182" s="457" t="s">
        <v>7</v>
      </c>
      <c r="I182" s="706">
        <f>J182/J$33</f>
        <v>0</v>
      </c>
      <c r="J182" s="449">
        <f>J183/(1+$F182)*J184</f>
        <v>0</v>
      </c>
      <c r="K182" s="1036">
        <f>K183/(1+F182)*K184</f>
        <v>0</v>
      </c>
      <c r="L182" s="1036"/>
      <c r="M182" s="449">
        <f>M184*M183/(1+F182)</f>
        <v>0</v>
      </c>
      <c r="O182" s="948"/>
      <c r="P182" s="949"/>
      <c r="Q182" s="683"/>
      <c r="R182" s="683"/>
      <c r="S182" s="683"/>
      <c r="T182" s="683"/>
      <c r="U182" s="683"/>
      <c r="V182" s="683"/>
      <c r="W182" s="683"/>
      <c r="X182" s="684"/>
    </row>
    <row r="183" spans="3:37" s="32" customFormat="1" ht="12.75" customHeight="1" x14ac:dyDescent="0.2">
      <c r="C183" s="1033" t="s">
        <v>406</v>
      </c>
      <c r="D183" s="1033"/>
      <c r="E183" s="1033"/>
      <c r="F183" s="1033"/>
      <c r="G183" s="1034"/>
      <c r="H183" s="1035"/>
      <c r="I183" s="448">
        <v>0</v>
      </c>
      <c r="J183" s="786">
        <v>0</v>
      </c>
      <c r="K183" s="1334">
        <f>J183+J183*O183</f>
        <v>0</v>
      </c>
      <c r="L183" s="1334">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785">
        <v>0</v>
      </c>
      <c r="K184" s="1333">
        <f>(J184+J184*O184)*12/J$33</f>
        <v>0</v>
      </c>
      <c r="L184" s="1333"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6" t="s">
        <v>405</v>
      </c>
      <c r="D185" s="1026"/>
      <c r="E185" s="1026"/>
      <c r="F185" s="1026"/>
      <c r="G185" s="1027"/>
      <c r="H185" s="1028"/>
      <c r="I185" s="448">
        <v>0</v>
      </c>
      <c r="J185" s="786">
        <v>0</v>
      </c>
      <c r="K185" s="1334">
        <f>J185+J185*O185</f>
        <v>0</v>
      </c>
      <c r="L185" s="1334">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6"/>
      <c r="D186" s="1026"/>
      <c r="E186" s="1026"/>
      <c r="F186" s="1026"/>
      <c r="G186" s="1027"/>
      <c r="H186" s="1028"/>
      <c r="I186" s="527">
        <v>0</v>
      </c>
      <c r="J186" s="452">
        <f>J185/(1+$G182)</f>
        <v>0</v>
      </c>
      <c r="K186" s="1217">
        <f>K185/(1+G182)</f>
        <v>0</v>
      </c>
      <c r="L186" s="1218"/>
      <c r="M186" s="452">
        <f>M185/(1+G182)</f>
        <v>0</v>
      </c>
      <c r="N186" s="618"/>
      <c r="O186" s="948"/>
      <c r="P186" s="949"/>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L187" si="33">IF(K183=0,0,(K183/(1+$F182)-K186)/(K183/(1+$F182)))</f>
        <v>0</v>
      </c>
      <c r="L187" s="1183">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3"/>
      <c r="D190" s="1353"/>
      <c r="E190" s="1353"/>
      <c r="F190" s="760">
        <v>0</v>
      </c>
      <c r="G190" s="760">
        <v>0</v>
      </c>
      <c r="H190" s="457" t="s">
        <v>7</v>
      </c>
      <c r="I190" s="456">
        <f>J190/J$33</f>
        <v>0</v>
      </c>
      <c r="J190" s="449">
        <f>J191/(1+$F190)*J192</f>
        <v>0</v>
      </c>
      <c r="K190" s="1036">
        <f>K191/(1+F190)*K192</f>
        <v>0</v>
      </c>
      <c r="L190" s="1036"/>
      <c r="M190" s="449">
        <f>M192*M191/(1+F190)</f>
        <v>0</v>
      </c>
      <c r="N190" s="619"/>
      <c r="O190" s="974"/>
      <c r="P190" s="977"/>
      <c r="Q190" s="693"/>
      <c r="R190" s="683"/>
      <c r="S190" s="683"/>
      <c r="T190" s="683"/>
      <c r="U190" s="683"/>
      <c r="V190" s="683"/>
      <c r="W190" s="683"/>
      <c r="X190" s="684"/>
    </row>
    <row r="191" spans="3:37" s="32" customFormat="1" ht="12.75" customHeight="1" x14ac:dyDescent="0.2">
      <c r="C191" s="1033" t="s">
        <v>406</v>
      </c>
      <c r="D191" s="1033"/>
      <c r="E191" s="1033"/>
      <c r="F191" s="1033"/>
      <c r="G191" s="1034"/>
      <c r="H191" s="1035"/>
      <c r="I191" s="527">
        <v>0</v>
      </c>
      <c r="J191" s="786">
        <v>0</v>
      </c>
      <c r="K191" s="1334">
        <f>J191+J191*O191</f>
        <v>0</v>
      </c>
      <c r="L191" s="1334">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785">
        <v>0</v>
      </c>
      <c r="K192" s="1333">
        <f>(J192+J192*O192)*12/J$33</f>
        <v>0</v>
      </c>
      <c r="L192" s="1333"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6" t="s">
        <v>405</v>
      </c>
      <c r="D193" s="1026"/>
      <c r="E193" s="1026"/>
      <c r="F193" s="1026"/>
      <c r="G193" s="1027"/>
      <c r="H193" s="1028"/>
      <c r="I193" s="527">
        <v>0</v>
      </c>
      <c r="J193" s="786">
        <v>0</v>
      </c>
      <c r="K193" s="1334">
        <f>J193+J193*O193</f>
        <v>0</v>
      </c>
      <c r="L193" s="1334">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6"/>
      <c r="D194" s="1026"/>
      <c r="E194" s="1026"/>
      <c r="F194" s="1026"/>
      <c r="G194" s="1027"/>
      <c r="H194" s="1028"/>
      <c r="I194" s="527">
        <v>0</v>
      </c>
      <c r="J194" s="452">
        <f>J193/(1+$G190)</f>
        <v>0</v>
      </c>
      <c r="K194" s="1127">
        <f>K193/(1+G190)</f>
        <v>0</v>
      </c>
      <c r="L194" s="1127"/>
      <c r="M194" s="452">
        <f>M193/(1+G190)</f>
        <v>0</v>
      </c>
      <c r="N194" s="620"/>
      <c r="O194" s="974"/>
      <c r="P194" s="9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L195" si="34">IF(K191=0,0,(K191/(1+$F190)-K194)/(K191/(1+$F190)))</f>
        <v>0</v>
      </c>
      <c r="L195" s="1183">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3" t="s">
        <v>386</v>
      </c>
      <c r="D198" s="1353"/>
      <c r="E198" s="1353"/>
      <c r="F198" s="1354">
        <v>0</v>
      </c>
      <c r="G198" s="1355"/>
      <c r="H198" s="457" t="s">
        <v>7</v>
      </c>
      <c r="I198" s="456">
        <f>J198/J$33</f>
        <v>0</v>
      </c>
      <c r="J198" s="449">
        <f>IF(J199=0,0,J199*J200)</f>
        <v>0</v>
      </c>
      <c r="K198" s="1036">
        <f>IF(K199=0,0,K199*K200)</f>
        <v>0</v>
      </c>
      <c r="L198" s="1036"/>
      <c r="M198" s="449">
        <f>IF(M199=0,0,M199*M200)</f>
        <v>0</v>
      </c>
      <c r="O198" s="948"/>
      <c r="P198" s="949"/>
      <c r="Q198" s="683"/>
      <c r="R198" s="683"/>
      <c r="S198" s="683"/>
      <c r="T198" s="683"/>
      <c r="U198" s="683"/>
      <c r="V198" s="683"/>
      <c r="W198" s="683"/>
      <c r="X198" s="684"/>
    </row>
    <row r="199" spans="2:24" s="32" customFormat="1" ht="12.75" customHeight="1" x14ac:dyDescent="0.2">
      <c r="C199" s="1197" t="s">
        <v>406</v>
      </c>
      <c r="D199" s="1198"/>
      <c r="E199" s="1198"/>
      <c r="F199" s="1198"/>
      <c r="G199" s="1199"/>
      <c r="H199" s="1200"/>
      <c r="I199" s="527">
        <v>0</v>
      </c>
      <c r="J199" s="786">
        <v>0</v>
      </c>
      <c r="K199" s="1334">
        <f>J199+J199*O199</f>
        <v>0</v>
      </c>
      <c r="L199" s="1334">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785">
        <v>0</v>
      </c>
      <c r="K200" s="1333">
        <f>(J200+J200*O200)*12/J$33</f>
        <v>0</v>
      </c>
      <c r="L200" s="1333"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786">
        <v>0</v>
      </c>
      <c r="K201" s="1334">
        <f>J201+J201*O201</f>
        <v>0</v>
      </c>
      <c r="L201" s="1334">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35">IF(K201=0,0,(K198-K203)/K198)</f>
        <v>0</v>
      </c>
      <c r="L202" s="1183">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1" t="s">
        <v>408</v>
      </c>
      <c r="D203" s="1202"/>
      <c r="E203" s="1202"/>
      <c r="F203" s="1202"/>
      <c r="G203" s="1203"/>
      <c r="H203" s="1204"/>
      <c r="I203" s="527">
        <v>0</v>
      </c>
      <c r="J203" s="456">
        <f>J200*J201</f>
        <v>0</v>
      </c>
      <c r="K203" s="1187">
        <f t="shared" ref="K203:L203" si="36">K200*K201</f>
        <v>0</v>
      </c>
      <c r="L203" s="1187"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59">
        <f>K205+K206</f>
        <v>0</v>
      </c>
      <c r="L207" s="1360"/>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2">
        <f>K38</f>
        <v>0</v>
      </c>
      <c r="L209" s="1182"/>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2">
        <f>-'5 AT Lainat, avustukset ei alv '!G9-'5 AT Lainat, avustukset ei alv '!G5</f>
        <v>0</v>
      </c>
      <c r="L211" s="1182"/>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8" t="s">
        <v>441</v>
      </c>
      <c r="E212" s="1008"/>
      <c r="F212" s="1008"/>
      <c r="G212" s="1008"/>
      <c r="H212" s="1008"/>
      <c r="I212" s="1009"/>
      <c r="J212" s="980">
        <f>IF(J207=0,0,J207+'3. Taloussuunnitelma ei alv'!G27-'3. Taloussuunnitelma ei alv'!G19+J211)</f>
        <v>0</v>
      </c>
      <c r="K212" s="1356">
        <f>IF(K207=0,0,K207+'4 AT Lainat ja avustukset alv'!H37-'4 AT Lainat ja avustukset alv'!H19+K211)</f>
        <v>0</v>
      </c>
      <c r="L212" s="1357"/>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8" t="s">
        <v>353</v>
      </c>
      <c r="E213" s="1008"/>
      <c r="F213" s="1008"/>
      <c r="G213" s="1008"/>
      <c r="H213" s="1008"/>
      <c r="I213" s="1009"/>
      <c r="J213" s="761">
        <f>IF(J207=0,0,J207+'4 AT Lainat ja avustukset alv'!G30-'4 AT Lainat ja avustukset alv'!G22+J211)</f>
        <v>0</v>
      </c>
      <c r="K213" s="1358">
        <f>IF(K207=0,0,K207+'4 AT Lainat ja avustukset alv'!H30-'4 AT Lainat ja avustukset alv'!H22+K211)</f>
        <v>0</v>
      </c>
      <c r="L213" s="1358">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8" t="s">
        <v>355</v>
      </c>
      <c r="E214" s="1008"/>
      <c r="F214" s="1008"/>
      <c r="G214" s="1008"/>
      <c r="H214" s="1008"/>
      <c r="I214" s="1009"/>
      <c r="J214" s="761">
        <f>IF(J207=0,0,J207+'4 AT Lainat ja avustukset alv'!G30-'4 AT Lainat ja avustukset alv'!G22+J211)</f>
        <v>0</v>
      </c>
      <c r="K214" s="1358">
        <f>IF(K207=0,0,K207+'4 AT Lainat ja avustukset alv'!H30-'4 AT Lainat ja avustukset alv'!H22+K211)</f>
        <v>0</v>
      </c>
      <c r="L214" s="1358">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2"/>
      <c r="L217" s="1182"/>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1">
        <f>K199*K200</f>
        <v>0</v>
      </c>
      <c r="L219" s="1361"/>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69">
        <f>J220</f>
        <v>1</v>
      </c>
      <c r="L220" s="1269"/>
      <c r="M220" s="789">
        <f>K220</f>
        <v>1</v>
      </c>
    </row>
    <row r="221" spans="2:24" ht="14.1" customHeight="1" x14ac:dyDescent="0.2">
      <c r="B221" s="7"/>
      <c r="C221" s="466"/>
      <c r="D221" s="467" t="s">
        <v>186</v>
      </c>
      <c r="E221" s="519"/>
      <c r="F221" s="567"/>
      <c r="G221" s="567"/>
      <c r="H221" s="567"/>
      <c r="I221" s="567"/>
      <c r="J221" s="766">
        <v>52</v>
      </c>
      <c r="K221" s="1269">
        <f>J221</f>
        <v>52</v>
      </c>
      <c r="L221" s="1269"/>
      <c r="M221" s="789">
        <f>K221</f>
        <v>52</v>
      </c>
    </row>
    <row r="222" spans="2:24" ht="14.1" customHeight="1" x14ac:dyDescent="0.2">
      <c r="B222" s="7"/>
      <c r="C222" s="466" t="s">
        <v>0</v>
      </c>
      <c r="D222" s="467" t="s">
        <v>187</v>
      </c>
      <c r="E222" s="519"/>
      <c r="F222" s="567"/>
      <c r="G222" s="567"/>
      <c r="H222" s="567"/>
      <c r="I222" s="567"/>
      <c r="J222" s="766">
        <v>5</v>
      </c>
      <c r="K222" s="1269">
        <f>J222</f>
        <v>5</v>
      </c>
      <c r="L222" s="1269"/>
      <c r="M222" s="789">
        <f>K222</f>
        <v>5</v>
      </c>
    </row>
    <row r="223" spans="2:24" ht="14.1" customHeight="1" x14ac:dyDescent="0.2">
      <c r="B223" s="7"/>
      <c r="C223" s="466"/>
      <c r="D223" s="521" t="s">
        <v>188</v>
      </c>
      <c r="E223" s="942"/>
      <c r="F223" s="943"/>
      <c r="G223" s="943"/>
      <c r="H223" s="943"/>
      <c r="I223" s="943"/>
      <c r="J223" s="944">
        <f>J218/(J221*J222)</f>
        <v>0</v>
      </c>
      <c r="K223" s="1361">
        <f>K218/(K221*K222)</f>
        <v>0</v>
      </c>
      <c r="L223" s="1361" t="e">
        <f>L218/(L221*L222)</f>
        <v>#DIV/0!</v>
      </c>
      <c r="M223" s="945">
        <f>M218/(M221*M222)</f>
        <v>0</v>
      </c>
    </row>
    <row r="225" spans="3:13" x14ac:dyDescent="0.2">
      <c r="C225" s="555" t="s">
        <v>0</v>
      </c>
      <c r="D225" s="1143" t="str">
        <f>Aloitussivu!E40</f>
        <v>Business Tornio, Keminmaa, Simo, Tervola, Ylitornio</v>
      </c>
      <c r="E225" s="1143"/>
      <c r="F225" s="1143"/>
      <c r="G225" s="1143"/>
      <c r="H225" s="1143"/>
      <c r="I225" s="1143"/>
    </row>
    <row r="227" spans="3:13" ht="18" customHeight="1" x14ac:dyDescent="0.2">
      <c r="D227" s="2">
        <f>'1. Taloussuunnitelma'!D227</f>
        <v>0</v>
      </c>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37">IF(K234=0,0,K235/K234)</f>
        <v>0</v>
      </c>
      <c r="L236" s="1232"/>
      <c r="M236" s="366">
        <f t="shared" si="37"/>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420</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38">SUM(K237:K238)</f>
        <v>0</v>
      </c>
      <c r="L239" s="1231"/>
      <c r="M239" s="9">
        <f t="shared" si="38"/>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1" t="s">
        <v>80</v>
      </c>
    </row>
    <row r="4" spans="1:24" ht="11.65" customHeight="1" x14ac:dyDescent="0.2">
      <c r="A4" s="1221"/>
      <c r="B4" s="571"/>
    </row>
    <row r="5" spans="1:24" ht="17.100000000000001" customHeight="1" x14ac:dyDescent="0.2">
      <c r="B5" s="907" t="str">
        <f>'1. Taloussuunnitelma'!$C$5</f>
        <v xml:space="preserve">  </v>
      </c>
      <c r="C5" s="908"/>
      <c r="D5" s="908"/>
      <c r="E5" s="908"/>
      <c r="F5" s="909" t="s">
        <v>516</v>
      </c>
      <c r="G5" s="909"/>
      <c r="H5" s="909"/>
      <c r="I5" s="909"/>
      <c r="J5" s="909"/>
      <c r="K5" s="909"/>
      <c r="L5" s="909"/>
      <c r="M5" s="909"/>
      <c r="N5" s="909"/>
      <c r="O5" s="909"/>
      <c r="U5" s="1254" t="s">
        <v>229</v>
      </c>
    </row>
    <row r="6" spans="1:24" ht="10.15" customHeight="1" x14ac:dyDescent="0.2">
      <c r="B6" s="908"/>
      <c r="C6" s="908"/>
      <c r="D6" s="908"/>
      <c r="E6" s="908"/>
      <c r="U6" s="1254"/>
    </row>
    <row r="7" spans="1:24" ht="16.149999999999999" customHeight="1" x14ac:dyDescent="0.2">
      <c r="B7" s="637"/>
      <c r="C7" s="1261" t="s">
        <v>206</v>
      </c>
      <c r="D7" s="1261"/>
      <c r="E7" s="1261"/>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8" t="s">
        <v>210</v>
      </c>
      <c r="D14" s="1249"/>
      <c r="E14" s="1249"/>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7" t="s">
        <v>211</v>
      </c>
      <c r="D15" s="1264"/>
      <c r="E15" s="1264"/>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row>
    <row r="18" spans="2:25" ht="16.149999999999999" customHeight="1" x14ac:dyDescent="0.2">
      <c r="B18" s="642"/>
      <c r="C18" s="1261" t="s">
        <v>213</v>
      </c>
      <c r="D18" s="1261"/>
      <c r="E18" s="1261"/>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39">
        <v>6</v>
      </c>
      <c r="C19" s="1266" t="s">
        <v>214</v>
      </c>
      <c r="D19" s="1267"/>
      <c r="E19" s="1267"/>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0"/>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8" t="s">
        <v>295</v>
      </c>
      <c r="D21" s="1249"/>
      <c r="E21" s="1249"/>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8" t="s">
        <v>215</v>
      </c>
      <c r="D22" s="1249"/>
      <c r="E22" s="1249"/>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8" t="s">
        <v>216</v>
      </c>
      <c r="D23" s="1249"/>
      <c r="E23" s="1249"/>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8" t="s">
        <v>351</v>
      </c>
      <c r="D24" s="1249"/>
      <c r="E24" s="1249"/>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8" t="s">
        <v>217</v>
      </c>
      <c r="D25" s="1248"/>
      <c r="E25" s="1248"/>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8" t="s">
        <v>218</v>
      </c>
      <c r="D26" s="1249"/>
      <c r="E26" s="1249"/>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8" t="s">
        <v>349</v>
      </c>
      <c r="D29" s="1249"/>
      <c r="E29" s="1249"/>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8" t="s">
        <v>274</v>
      </c>
      <c r="D30" s="1248"/>
      <c r="E30" s="1248"/>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8" t="s">
        <v>438</v>
      </c>
      <c r="D31" s="1249"/>
      <c r="E31" s="1249"/>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8" t="s">
        <v>222</v>
      </c>
      <c r="D32" s="1249"/>
      <c r="E32" s="1249"/>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8" t="s">
        <v>223</v>
      </c>
      <c r="D33" s="1249"/>
      <c r="E33" s="1249"/>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59" t="s">
        <v>289</v>
      </c>
      <c r="D34" s="1259"/>
      <c r="E34" s="1260"/>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59" t="s">
        <v>291</v>
      </c>
      <c r="D36" s="1259"/>
      <c r="E36" s="1260"/>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8" t="s">
        <v>281</v>
      </c>
      <c r="D40" s="1248"/>
      <c r="E40" s="1248"/>
      <c r="F40" s="1250"/>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8" t="s">
        <v>288</v>
      </c>
      <c r="D41" s="1249"/>
      <c r="E41" s="1249"/>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8" t="s">
        <v>283</v>
      </c>
      <c r="D43" s="1249"/>
      <c r="E43" s="1249"/>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8" t="s">
        <v>284</v>
      </c>
      <c r="D44" s="1248"/>
      <c r="E44" s="1248"/>
      <c r="F44" s="1250"/>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8" t="s">
        <v>350</v>
      </c>
      <c r="D45" s="1248"/>
      <c r="E45" s="1248"/>
      <c r="F45" s="1250"/>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8" t="s">
        <v>297</v>
      </c>
      <c r="D46" s="1248"/>
      <c r="E46" s="1248"/>
      <c r="F46" s="1250"/>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8" t="s">
        <v>285</v>
      </c>
      <c r="D47" s="1248"/>
      <c r="E47" s="1248"/>
      <c r="F47" s="1250"/>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8" t="s">
        <v>310</v>
      </c>
      <c r="D48" s="1248"/>
      <c r="E48" s="1248"/>
      <c r="F48" s="1250"/>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8" t="s">
        <v>286</v>
      </c>
      <c r="D49" s="1248"/>
      <c r="E49" s="1248"/>
      <c r="F49" s="1250"/>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8" t="s">
        <v>302</v>
      </c>
      <c r="D50" s="1249"/>
      <c r="E50" s="1249"/>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8" t="s">
        <v>331</v>
      </c>
      <c r="D51" s="1248"/>
      <c r="E51" s="1248"/>
      <c r="F51" s="1250"/>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7" t="s">
        <v>287</v>
      </c>
      <c r="D52" s="1247"/>
      <c r="E52" s="1247"/>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1" t="s">
        <v>224</v>
      </c>
      <c r="D55" s="1242"/>
      <c r="E55" s="1242"/>
      <c r="F55" s="1242"/>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34</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Business Tornio, Keminmaa, Simo, Tervola, Ylitornio</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EVDfxXvUBDjSmpJAQKwbrreP1j7uDYYapiwYsqLVg7FySduk0ZY1Pi9RTYGjTNGL4QKV7ImjUAy+ujvwE1g+Wg==" saltValue="aGVp4WV5K8TK4TNbceMOLQ=="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2" t="s">
        <v>400</v>
      </c>
      <c r="D67" s="1363"/>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1" t="s">
        <v>415</v>
      </c>
      <c r="D11" s="1051"/>
      <c r="E11" s="1051"/>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4" t="s">
        <v>25</v>
      </c>
      <c r="H16" s="1364"/>
      <c r="I16" s="1364"/>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5" t="s">
        <v>30</v>
      </c>
      <c r="D24" s="1365"/>
      <c r="E24" s="1365"/>
      <c r="G24" s="1365" t="s">
        <v>356</v>
      </c>
      <c r="H24" s="1365"/>
      <c r="I24" s="1365"/>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4" t="s">
        <v>31</v>
      </c>
      <c r="H33" s="1364"/>
      <c r="I33" s="1364"/>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2026-03-10T07:56:18Z</dcterms:modified>
</cp:coreProperties>
</file>