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2.xml" ContentType="application/vnd.openxmlformats-officedocument.drawing+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showInkAnnotation="0" updateLinks="never" codeName="TämäTyökirja" defaultThemeVersion="124226"/>
  <mc:AlternateContent xmlns:mc="http://schemas.openxmlformats.org/markup-compatibility/2006">
    <mc:Choice Requires="x15">
      <x15ac:absPath xmlns:x15ac="http://schemas.microsoft.com/office/spreadsheetml/2010/11/ac" url="C:\Users\Henri\Dropbox\Företagstolken\Utbytte 2026\FT5 2026 251215\"/>
    </mc:Choice>
  </mc:AlternateContent>
  <xr:revisionPtr revIDLastSave="0" documentId="13_ncr:1_{E15CEA39-7198-4CF6-B8CB-49776E0CFFC7}" xr6:coauthVersionLast="47" xr6:coauthVersionMax="47" xr10:uidLastSave="{00000000-0000-0000-0000-000000000000}"/>
  <workbookProtection workbookAlgorithmName="SHA-512" workbookHashValue="OW5OJE9zLbliooSy8Ctz6quLqC4V3CRfp1ErVU85jlpzq7yqmcuMcC337+BQBXnPIm/GU69ipg+/wV/0wClSrw==" workbookSaltValue="m6uD/1uYW4wAtAyK5uaPyA==" workbookSpinCount="100000" lockStructure="1"/>
  <bookViews>
    <workbookView xWindow="28680" yWindow="-120" windowWidth="29040" windowHeight="15720" xr2:uid="{F9F1D048-87C6-48BE-84DE-EB2A302E4659}"/>
  </bookViews>
  <sheets>
    <sheet name="Startsidan" sheetId="5" r:id="rId1"/>
    <sheet name="K1 Kostnader" sheetId="1" r:id="rId2"/>
    <sheet name="K2 Försäljning" sheetId="2" r:id="rId3"/>
    <sheet name="K3 Resultat" sheetId="11" r:id="rId4"/>
    <sheet name="Lönekostnader" sheetId="17" r:id="rId5"/>
    <sheet name="Kassabudget" sheetId="18" r:id="rId6"/>
    <sheet name="FS1 Kostnader " sheetId="16" r:id="rId7"/>
    <sheet name="FS2 Försäljning " sheetId="4" r:id="rId8"/>
    <sheet name="FS3 Resultat" sheetId="12" r:id="rId9"/>
    <sheet name="Ekonomiska parametrar" sheetId="23" r:id="rId10"/>
    <sheet name="1Kauppa AT lainat ja avustukset" sheetId="14" state="hidden" r:id="rId11"/>
    <sheet name="2 AT Palkat, alv" sheetId="19" state="hidden" r:id="rId12"/>
    <sheet name="3 AT Kassa" sheetId="22" state="hidden" r:id="rId13"/>
    <sheet name="4 AT  Myynnin alv" sheetId="8" state="hidden" r:id="rId14"/>
    <sheet name="5 YP Lainat ja avustukset" sheetId="15" state="hidden" r:id="rId15"/>
    <sheet name="6 Kaaviot" sheetId="21" state="hidden" r:id="rId16"/>
  </sheets>
  <externalReferences>
    <externalReference r:id="rId17"/>
    <externalReference r:id="rId18"/>
    <externalReference r:id="rId19"/>
  </externalReferences>
  <definedNames>
    <definedName name="Rahapalkat__TyEL_työntekijät">'K1 Kostnader'!$D$28</definedName>
    <definedName name="Teksti37" localSheetId="1">'K1 Kostnader'!$G$10</definedName>
    <definedName name="Teksti38" localSheetId="6">'FS1 Kostnader '!$G$14</definedName>
    <definedName name="Teksti38" localSheetId="1">'K1 Kostnader'!$G$12</definedName>
    <definedName name="Teksti39" localSheetId="1">'K1 Kostnader'!$H$12</definedName>
    <definedName name="Teksti39">#REF!</definedName>
    <definedName name="_xlnm.Print_Area" localSheetId="9">'Ekonomiska parametrar'!$B$4:$AB$71</definedName>
    <definedName name="_xlnm.Print_Area" localSheetId="6">'FS1 Kostnader '!$C$4:$S$133</definedName>
    <definedName name="_xlnm.Print_Area" localSheetId="7">'FS2 Försäljning '!$B$4:$T$239</definedName>
    <definedName name="_xlnm.Print_Area" localSheetId="8">'FS3 Resultat'!$B$4:$X$132</definedName>
    <definedName name="_xlnm.Print_Area" localSheetId="1">'K1 Kostnader'!$C$4:$T$136</definedName>
    <definedName name="_xlnm.Print_Area" localSheetId="2">'K2 Försäljning'!$B$3:$T$209</definedName>
    <definedName name="_xlnm.Print_Area" localSheetId="3">'K3 Resultat'!$B$4:$X$131</definedName>
    <definedName name="_xlnm.Print_Area" localSheetId="5">Kassabudget!$B$3:$S$99</definedName>
    <definedName name="_xlnm.Print_Area" localSheetId="4">Lönekostnader!$B$8:$I$85</definedName>
    <definedName name="_xlnm.Print_Area" localSheetId="0">Startsidan!$A$1:$O$36</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73" i="23" l="1"/>
  <c r="I72" i="23"/>
  <c r="I71" i="23"/>
  <c r="I70" i="23"/>
  <c r="I69" i="23"/>
  <c r="I68" i="23"/>
  <c r="I67" i="23"/>
  <c r="I66" i="23"/>
  <c r="I65" i="23"/>
  <c r="I64" i="23"/>
  <c r="I63" i="23"/>
  <c r="I62" i="23"/>
  <c r="I61" i="23"/>
  <c r="I60" i="23"/>
  <c r="I59" i="23"/>
  <c r="I58" i="23"/>
  <c r="I57" i="23"/>
  <c r="I56" i="23"/>
  <c r="I55" i="23"/>
  <c r="I54" i="23"/>
  <c r="I53" i="23"/>
  <c r="I48" i="23"/>
  <c r="I47" i="23"/>
  <c r="I46" i="23"/>
  <c r="I45" i="23"/>
  <c r="I44" i="23"/>
  <c r="I43" i="23"/>
  <c r="I42" i="23"/>
  <c r="I41" i="23"/>
  <c r="I40" i="23"/>
  <c r="I39" i="23"/>
  <c r="I38" i="23"/>
  <c r="I33" i="23"/>
  <c r="I32" i="23"/>
  <c r="I31" i="23"/>
  <c r="I30" i="23"/>
  <c r="I29" i="23"/>
  <c r="I28" i="23"/>
  <c r="I27" i="23"/>
  <c r="I22" i="23"/>
  <c r="I21" i="23"/>
  <c r="I20" i="23"/>
  <c r="I19" i="23"/>
  <c r="I18" i="23"/>
  <c r="I17" i="23"/>
  <c r="I16" i="23"/>
  <c r="I15" i="23"/>
  <c r="I14" i="23"/>
  <c r="I13" i="23"/>
  <c r="I12" i="23"/>
  <c r="I11" i="23"/>
  <c r="I10" i="23"/>
  <c r="I8" i="23"/>
  <c r="I7" i="23"/>
  <c r="Q73" i="23"/>
  <c r="Q72" i="23"/>
  <c r="Q71" i="23"/>
  <c r="Q70" i="23"/>
  <c r="Q69" i="23"/>
  <c r="Q68" i="23"/>
  <c r="Q67" i="23"/>
  <c r="Q66" i="23"/>
  <c r="Q65" i="23"/>
  <c r="Q64" i="23"/>
  <c r="Q63" i="23"/>
  <c r="Q62" i="23"/>
  <c r="Q61" i="23"/>
  <c r="Q60" i="23"/>
  <c r="Q59" i="23"/>
  <c r="Q58" i="23"/>
  <c r="Q57" i="23"/>
  <c r="Q56" i="23"/>
  <c r="Q55" i="23"/>
  <c r="Q54" i="23"/>
  <c r="Q53" i="23"/>
  <c r="Q48" i="23"/>
  <c r="Q47" i="23"/>
  <c r="Q46" i="23"/>
  <c r="Q45" i="23"/>
  <c r="Q44" i="23"/>
  <c r="Q43" i="23"/>
  <c r="Q42" i="23"/>
  <c r="Q41" i="23"/>
  <c r="Q40" i="23"/>
  <c r="Q39" i="23"/>
  <c r="Q38" i="23"/>
  <c r="Q33" i="23"/>
  <c r="Q32" i="23"/>
  <c r="Q31" i="23"/>
  <c r="Q30" i="23"/>
  <c r="Q29" i="23"/>
  <c r="Q28" i="23"/>
  <c r="Q27" i="23"/>
  <c r="Q22" i="23"/>
  <c r="Q21" i="23"/>
  <c r="Q20" i="23"/>
  <c r="Q19" i="23"/>
  <c r="Q18" i="23"/>
  <c r="Q17" i="23"/>
  <c r="Q16" i="23"/>
  <c r="Q15" i="23"/>
  <c r="Q14" i="23"/>
  <c r="Q13" i="23"/>
  <c r="Q12" i="23"/>
  <c r="Q11" i="23"/>
  <c r="Q10" i="23"/>
  <c r="Q8" i="23"/>
  <c r="Q7" i="23"/>
  <c r="Y22" i="23"/>
  <c r="C56" i="19"/>
  <c r="F56" i="19"/>
  <c r="G56" i="19"/>
  <c r="H56" i="19"/>
  <c r="I56" i="19"/>
  <c r="J56" i="19"/>
  <c r="K56" i="19"/>
  <c r="L56" i="19"/>
  <c r="M56" i="19"/>
  <c r="N56" i="19"/>
  <c r="O56" i="19"/>
  <c r="P56" i="19"/>
  <c r="E56" i="19"/>
  <c r="D30" i="19"/>
  <c r="D14" i="19"/>
  <c r="G32" i="16" l="1"/>
  <c r="H32" i="16"/>
  <c r="F32" i="16"/>
  <c r="F4" i="19"/>
  <c r="F18" i="1"/>
  <c r="D4" i="19"/>
  <c r="D3" i="19"/>
  <c r="D93" i="19" l="1"/>
  <c r="D4" i="18" a="1"/>
  <c r="D4" i="18" s="1"/>
  <c r="K102" i="16" l="1"/>
  <c r="G102" i="16"/>
  <c r="H102" i="16" s="1"/>
  <c r="B20" i="18"/>
  <c r="B21" i="18" s="1"/>
  <c r="B22" i="18" s="1"/>
  <c r="B23" i="18" s="1"/>
  <c r="B24" i="18" s="1"/>
  <c r="B25" i="18" s="1"/>
  <c r="B26" i="18" s="1"/>
  <c r="B27" i="18" s="1"/>
  <c r="B28" i="18" s="1"/>
  <c r="B29" i="18" s="1"/>
  <c r="B30" i="18" s="1"/>
  <c r="B31" i="18" s="1"/>
  <c r="B32" i="18" s="1"/>
  <c r="B33" i="18" s="1"/>
  <c r="B34" i="18" s="1"/>
  <c r="B19" i="18"/>
  <c r="G102" i="1" l="1"/>
  <c r="H102" i="1" s="1"/>
  <c r="K102" i="1"/>
  <c r="W21" i="18"/>
  <c r="C222" i="2"/>
  <c r="G21" i="18" l="1"/>
  <c r="R20" i="18"/>
  <c r="Q20" i="18"/>
  <c r="P20" i="18"/>
  <c r="O20" i="18"/>
  <c r="N20" i="18"/>
  <c r="M20" i="18"/>
  <c r="L20" i="18"/>
  <c r="K20" i="18"/>
  <c r="J20" i="18"/>
  <c r="I20" i="18"/>
  <c r="H20" i="18"/>
  <c r="U114" i="19"/>
  <c r="U90" i="19"/>
  <c r="F104" i="16"/>
  <c r="H21" i="18" l="1"/>
  <c r="I21" i="18"/>
  <c r="J21" i="18"/>
  <c r="K21" i="18"/>
  <c r="P21" i="18"/>
  <c r="M21" i="18"/>
  <c r="O21" i="18"/>
  <c r="Q21" i="18"/>
  <c r="L21" i="18"/>
  <c r="N21" i="18"/>
  <c r="R21" i="18"/>
  <c r="K106" i="1"/>
  <c r="G106" i="1"/>
  <c r="D83" i="19"/>
  <c r="D80" i="19"/>
  <c r="D56" i="19"/>
  <c r="K97" i="16"/>
  <c r="G97" i="16"/>
  <c r="H97" i="16" s="1"/>
  <c r="G92" i="16"/>
  <c r="K97" i="1"/>
  <c r="G97" i="1"/>
  <c r="H97" i="1" s="1"/>
  <c r="K106" i="16"/>
  <c r="K105" i="16"/>
  <c r="G106" i="16"/>
  <c r="U101" i="19" s="1"/>
  <c r="G105" i="16"/>
  <c r="T101" i="19" l="1"/>
  <c r="P99" i="19" s="1"/>
  <c r="P100" i="19" s="1"/>
  <c r="N101" i="19"/>
  <c r="O101" i="19"/>
  <c r="P101" i="19"/>
  <c r="E101" i="19"/>
  <c r="F101" i="19"/>
  <c r="G101" i="19"/>
  <c r="H101" i="19"/>
  <c r="I101" i="19"/>
  <c r="J101" i="19"/>
  <c r="K101" i="19"/>
  <c r="L101" i="19"/>
  <c r="M101" i="19"/>
  <c r="S21" i="18"/>
  <c r="U91" i="19"/>
  <c r="H106" i="1"/>
  <c r="J57" i="19"/>
  <c r="M57" i="19"/>
  <c r="L57" i="19"/>
  <c r="Q56" i="19"/>
  <c r="F57" i="19"/>
  <c r="N57" i="19"/>
  <c r="H57" i="19"/>
  <c r="P57" i="19"/>
  <c r="G57" i="19"/>
  <c r="K57" i="19"/>
  <c r="O57" i="19"/>
  <c r="E57" i="19"/>
  <c r="I57" i="19"/>
  <c r="H105" i="16"/>
  <c r="H106" i="16"/>
  <c r="E99" i="19" l="1"/>
  <c r="E100" i="19" s="1"/>
  <c r="Q100" i="19" s="1"/>
  <c r="F99" i="19"/>
  <c r="F100" i="19" s="1"/>
  <c r="J99" i="19"/>
  <c r="J100" i="19" s="1"/>
  <c r="N99" i="19"/>
  <c r="N100" i="19" s="1"/>
  <c r="G99" i="19"/>
  <c r="G100" i="19" s="1"/>
  <c r="K99" i="19"/>
  <c r="K100" i="19" s="1"/>
  <c r="O99" i="19"/>
  <c r="O100" i="19" s="1"/>
  <c r="I99" i="19"/>
  <c r="I100" i="19" s="1"/>
  <c r="M99" i="19"/>
  <c r="M100" i="19" s="1"/>
  <c r="H99" i="19"/>
  <c r="H100" i="19" s="1"/>
  <c r="L99" i="19"/>
  <c r="L100" i="19" s="1"/>
  <c r="Q57" i="19"/>
  <c r="Q99" i="19" l="1"/>
  <c r="Q101" i="19"/>
  <c r="C11" i="16" l="1"/>
  <c r="D11" i="1"/>
  <c r="D53" i="15"/>
  <c r="D52" i="15"/>
  <c r="D51" i="15"/>
  <c r="G48" i="15"/>
  <c r="E48" i="15"/>
  <c r="B28" i="23" l="1"/>
  <c r="B29" i="23" s="1"/>
  <c r="B30" i="23" s="1"/>
  <c r="B31" i="23" s="1"/>
  <c r="B32" i="23" s="1"/>
  <c r="B33" i="23" s="1"/>
  <c r="E67" i="12" l="1"/>
  <c r="F61" i="16" l="1"/>
  <c r="K67" i="16"/>
  <c r="G67" i="16"/>
  <c r="F61" i="1"/>
  <c r="K67" i="1"/>
  <c r="G67" i="1"/>
  <c r="H67" i="1" l="1"/>
  <c r="H67" i="16"/>
  <c r="B54" i="23"/>
  <c r="B55" i="23" s="1"/>
  <c r="B56" i="23" s="1"/>
  <c r="B57" i="23" s="1"/>
  <c r="B58" i="23" s="1"/>
  <c r="B59" i="23" s="1"/>
  <c r="B60" i="23" s="1"/>
  <c r="B61" i="23" s="1"/>
  <c r="B62" i="23" s="1"/>
  <c r="B63" i="23" s="1"/>
  <c r="B64" i="23" s="1"/>
  <c r="B65" i="23" s="1"/>
  <c r="B66" i="23" s="1"/>
  <c r="B67" i="23" s="1"/>
  <c r="B68" i="23" s="1"/>
  <c r="B69" i="23" s="1"/>
  <c r="B70" i="23" s="1"/>
  <c r="B71" i="23" s="1"/>
  <c r="B72" i="23" s="1"/>
  <c r="B73" i="23" s="1"/>
  <c r="H35" i="23"/>
  <c r="H50" i="23" s="1"/>
  <c r="K120" i="16"/>
  <c r="G120" i="16"/>
  <c r="U93" i="19" s="1"/>
  <c r="G120" i="1"/>
  <c r="K120" i="1"/>
  <c r="H93" i="19" l="1"/>
  <c r="M93" i="19"/>
  <c r="I93" i="19"/>
  <c r="E93" i="19"/>
  <c r="O93" i="19"/>
  <c r="G93" i="19"/>
  <c r="T93" i="19"/>
  <c r="P93" i="19"/>
  <c r="K93" i="19"/>
  <c r="L93" i="19"/>
  <c r="J93" i="19"/>
  <c r="N93" i="19"/>
  <c r="F93" i="19"/>
  <c r="H120" i="16"/>
  <c r="H120" i="1"/>
  <c r="Q93" i="19" l="1"/>
  <c r="I54" i="12"/>
  <c r="F15" i="15"/>
  <c r="F11" i="15"/>
  <c r="H16" i="15"/>
  <c r="G16" i="15"/>
  <c r="F16" i="15"/>
  <c r="H12" i="15"/>
  <c r="G12" i="15"/>
  <c r="F12" i="15"/>
  <c r="F4" i="15"/>
  <c r="F8" i="15"/>
  <c r="G54" i="12"/>
  <c r="F11" i="14"/>
  <c r="H12" i="14"/>
  <c r="G12" i="14"/>
  <c r="F12" i="14"/>
  <c r="F15" i="14"/>
  <c r="H16" i="14"/>
  <c r="G16" i="14"/>
  <c r="F16" i="14"/>
  <c r="F13" i="14" l="1"/>
  <c r="F17" i="15"/>
  <c r="F13" i="15"/>
  <c r="F14" i="15" s="1"/>
  <c r="F17" i="14"/>
  <c r="F18" i="14" s="1"/>
  <c r="F14" i="14"/>
  <c r="G11" i="14"/>
  <c r="C201" i="2"/>
  <c r="G15" i="15" l="1"/>
  <c r="G17" i="15" s="1"/>
  <c r="F18" i="15"/>
  <c r="G11" i="15"/>
  <c r="G13" i="15" s="1"/>
  <c r="H11" i="15" s="1"/>
  <c r="G15" i="14"/>
  <c r="G17" i="14" s="1"/>
  <c r="G18" i="14" s="1"/>
  <c r="G13" i="14"/>
  <c r="C215" i="2"/>
  <c r="G18" i="15" l="1"/>
  <c r="H13" i="15"/>
  <c r="H14" i="15" s="1"/>
  <c r="H15" i="15"/>
  <c r="G14" i="15"/>
  <c r="G14" i="14"/>
  <c r="H15" i="14"/>
  <c r="H11" i="14"/>
  <c r="H13" i="14" s="1"/>
  <c r="D54" i="19"/>
  <c r="H42" i="8"/>
  <c r="H41" i="8"/>
  <c r="H40" i="8"/>
  <c r="H39" i="8"/>
  <c r="H30" i="8"/>
  <c r="H29" i="8"/>
  <c r="H26" i="8"/>
  <c r="H25" i="8"/>
  <c r="H17" i="8"/>
  <c r="H16" i="8"/>
  <c r="H15" i="8"/>
  <c r="H13" i="8"/>
  <c r="B38" i="8"/>
  <c r="B39" i="8" s="1"/>
  <c r="B26" i="8" s="1"/>
  <c r="B35" i="8"/>
  <c r="B36" i="8" s="1"/>
  <c r="B19" i="8" s="1"/>
  <c r="B32" i="8"/>
  <c r="B33" i="8" s="1"/>
  <c r="B12" i="8" s="1"/>
  <c r="B9" i="11"/>
  <c r="V20" i="18" l="1"/>
  <c r="G20" i="18" s="1"/>
  <c r="S20" i="18" s="1"/>
  <c r="V19" i="18"/>
  <c r="G19" i="18" s="1"/>
  <c r="S19" i="18" s="1"/>
  <c r="H17" i="15"/>
  <c r="H17" i="14"/>
  <c r="H18" i="14" s="1"/>
  <c r="H97" i="11"/>
  <c r="C21" i="21"/>
  <c r="B21" i="21"/>
  <c r="H24" i="23"/>
  <c r="H18" i="15" l="1"/>
  <c r="H14" i="14"/>
  <c r="F50" i="16"/>
  <c r="H97" i="12" l="1"/>
  <c r="C78" i="4" l="1"/>
  <c r="C159" i="4" s="1"/>
  <c r="D54" i="17" l="1"/>
  <c r="E54" i="17" s="1"/>
  <c r="C166" i="4" l="1"/>
  <c r="C171" i="4"/>
  <c r="C150" i="4"/>
  <c r="C143" i="4"/>
  <c r="C136" i="4"/>
  <c r="H28" i="8" s="1"/>
  <c r="C115" i="4"/>
  <c r="D59" i="2" l="1"/>
  <c r="E59" i="2" s="1"/>
  <c r="D129" i="2"/>
  <c r="E129" i="2" s="1"/>
  <c r="C202" i="2" l="1"/>
  <c r="C203" i="2" s="1"/>
  <c r="D199" i="2"/>
  <c r="E199" i="2" s="1"/>
  <c r="D198" i="2"/>
  <c r="D196" i="2"/>
  <c r="D201" i="2" s="1"/>
  <c r="H198" i="2"/>
  <c r="H128" i="2"/>
  <c r="H58" i="2"/>
  <c r="C132" i="2"/>
  <c r="C133" i="2" s="1"/>
  <c r="C130" i="2" s="1"/>
  <c r="C131" i="2" s="1"/>
  <c r="D128" i="2"/>
  <c r="D126" i="2"/>
  <c r="D58" i="2"/>
  <c r="D56" i="2"/>
  <c r="C62" i="2"/>
  <c r="C63" i="2" s="1"/>
  <c r="C60" i="2" s="1"/>
  <c r="C48" i="2"/>
  <c r="B11" i="8" s="1"/>
  <c r="G16" i="16"/>
  <c r="A29" i="21"/>
  <c r="A22" i="21"/>
  <c r="C61" i="2" l="1"/>
  <c r="E198" i="2"/>
  <c r="E202" i="2" s="1"/>
  <c r="E128" i="2"/>
  <c r="E132" i="2" s="1"/>
  <c r="C29" i="21"/>
  <c r="B29" i="21"/>
  <c r="B23" i="21"/>
  <c r="B22" i="21"/>
  <c r="C23" i="21"/>
  <c r="C22" i="21"/>
  <c r="D202" i="2"/>
  <c r="C200" i="2"/>
  <c r="C216" i="2" s="1"/>
  <c r="D132" i="2"/>
  <c r="D62" i="2"/>
  <c r="G46" i="16"/>
  <c r="A39" i="21" l="1"/>
  <c r="C40" i="21" l="1"/>
  <c r="B40" i="21"/>
  <c r="B39" i="21"/>
  <c r="C39" i="21"/>
  <c r="F28" i="21"/>
  <c r="E28" i="21"/>
  <c r="D28" i="21"/>
  <c r="X24" i="23" l="1"/>
  <c r="X35" i="23" s="1"/>
  <c r="X50" i="23" s="1"/>
  <c r="P24" i="23"/>
  <c r="P35" i="23" s="1"/>
  <c r="P50" i="23" s="1"/>
  <c r="W53" i="18" l="1"/>
  <c r="G53" i="18" s="1"/>
  <c r="B9" i="12"/>
  <c r="G62" i="16" l="1"/>
  <c r="K62" i="16"/>
  <c r="H18" i="17"/>
  <c r="H15" i="17"/>
  <c r="H42" i="4"/>
  <c r="G84" i="1"/>
  <c r="H62" i="16" l="1"/>
  <c r="E27" i="12"/>
  <c r="E27" i="11"/>
  <c r="E20" i="11"/>
  <c r="K27" i="11" s="1"/>
  <c r="B28" i="21" l="1"/>
  <c r="B38" i="21"/>
  <c r="C28" i="21"/>
  <c r="C38" i="21"/>
  <c r="M50" i="23" l="1"/>
  <c r="B9" i="23" l="1"/>
  <c r="B10" i="23" s="1"/>
  <c r="B11" i="23" s="1"/>
  <c r="B12" i="23" s="1"/>
  <c r="B13" i="23" s="1"/>
  <c r="B14" i="23" s="1"/>
  <c r="B15" i="23" s="1"/>
  <c r="B16" i="23" s="1"/>
  <c r="B17" i="23" s="1"/>
  <c r="B18" i="23" s="1"/>
  <c r="B19" i="23" s="1"/>
  <c r="B20" i="23" s="1"/>
  <c r="B21" i="23" s="1"/>
  <c r="B22" i="23" s="1"/>
  <c r="B39" i="23"/>
  <c r="B40" i="23" s="1"/>
  <c r="B41" i="23" l="1"/>
  <c r="B42" i="23" s="1"/>
  <c r="B43" i="23" s="1"/>
  <c r="B44" i="23" s="1"/>
  <c r="B45" i="23" s="1"/>
  <c r="B43" i="21"/>
  <c r="C43" i="21"/>
  <c r="G84" i="16"/>
  <c r="B46" i="23" l="1"/>
  <c r="B47" i="23" s="1"/>
  <c r="B48" i="23" s="1"/>
  <c r="I60" i="12"/>
  <c r="I60" i="11"/>
  <c r="F14" i="1" l="1"/>
  <c r="E3" i="19" s="1"/>
  <c r="D230" i="4"/>
  <c r="E230" i="4" s="1"/>
  <c r="K39" i="12" l="1"/>
  <c r="B5" i="2" l="1"/>
  <c r="F30" i="16" l="1"/>
  <c r="F32" i="1"/>
  <c r="K17" i="1"/>
  <c r="K16" i="1"/>
  <c r="F30" i="1" l="1"/>
  <c r="B80" i="15"/>
  <c r="B97" i="15" l="1"/>
  <c r="B116" i="15"/>
  <c r="D56" i="17" l="1"/>
  <c r="D57" i="17"/>
  <c r="E57" i="17" s="1"/>
  <c r="K16" i="12" l="1"/>
  <c r="B82" i="4"/>
  <c r="B163" i="4" s="1"/>
  <c r="H18" i="16"/>
  <c r="G12" i="16"/>
  <c r="S62" i="18"/>
  <c r="H12" i="16" l="1"/>
  <c r="K61" i="16" s="1"/>
  <c r="J61" i="16"/>
  <c r="K73" i="11"/>
  <c r="F73" i="11"/>
  <c r="B73" i="11"/>
  <c r="AK132" i="15" l="1"/>
  <c r="AJ132" i="15"/>
  <c r="AI132" i="15"/>
  <c r="AH132" i="15"/>
  <c r="AG132" i="15"/>
  <c r="AE132" i="15"/>
  <c r="AD132" i="15"/>
  <c r="AC132" i="15"/>
  <c r="AB132" i="15"/>
  <c r="AA132" i="15"/>
  <c r="Y132" i="15"/>
  <c r="X132" i="15"/>
  <c r="W132" i="15"/>
  <c r="V132" i="15"/>
  <c r="U132" i="15"/>
  <c r="S132" i="15"/>
  <c r="R132" i="15"/>
  <c r="Q132" i="15"/>
  <c r="P132" i="15"/>
  <c r="O132" i="15"/>
  <c r="M132" i="15"/>
  <c r="L132" i="15"/>
  <c r="K132" i="15"/>
  <c r="J132" i="15"/>
  <c r="I132" i="15"/>
  <c r="G132" i="15"/>
  <c r="F132" i="15"/>
  <c r="E132" i="15"/>
  <c r="D132" i="15"/>
  <c r="C132" i="15"/>
  <c r="F15" i="1"/>
  <c r="F38" i="1" s="1"/>
  <c r="C132" i="14"/>
  <c r="D132" i="14"/>
  <c r="E132" i="14"/>
  <c r="F132" i="14"/>
  <c r="G132" i="14"/>
  <c r="I132" i="14"/>
  <c r="J132" i="14"/>
  <c r="K132" i="14"/>
  <c r="L132" i="14"/>
  <c r="M132" i="14"/>
  <c r="O132" i="14"/>
  <c r="P132" i="14"/>
  <c r="Q132" i="14"/>
  <c r="R132" i="14"/>
  <c r="S132" i="14"/>
  <c r="U132" i="14"/>
  <c r="V132" i="14"/>
  <c r="W132" i="14"/>
  <c r="X132" i="14"/>
  <c r="Y132" i="14"/>
  <c r="AA132" i="14"/>
  <c r="AB132" i="14"/>
  <c r="AC132" i="14"/>
  <c r="AD132" i="14"/>
  <c r="AE132" i="14"/>
  <c r="AG132" i="14"/>
  <c r="AH132" i="14"/>
  <c r="AI132" i="14"/>
  <c r="AJ132" i="14"/>
  <c r="AK132" i="14"/>
  <c r="E10" i="17" l="1"/>
  <c r="D10" i="17"/>
  <c r="C10" i="17"/>
  <c r="C79" i="17" l="1"/>
  <c r="C29" i="17"/>
  <c r="C69" i="17"/>
  <c r="C19" i="17"/>
  <c r="C59" i="17"/>
  <c r="C39" i="17"/>
  <c r="C49" i="17"/>
  <c r="F11" i="17"/>
  <c r="H39" i="12"/>
  <c r="F39" i="12"/>
  <c r="D13" i="4" l="1"/>
  <c r="D82" i="4" s="1"/>
  <c r="E13" i="4"/>
  <c r="E82" i="4" s="1"/>
  <c r="C13" i="4"/>
  <c r="B11" i="4" s="1"/>
  <c r="H18" i="4"/>
  <c r="G119" i="16"/>
  <c r="U115" i="19" s="1"/>
  <c r="G118" i="16"/>
  <c r="G117" i="16"/>
  <c r="G116" i="16"/>
  <c r="G115" i="16"/>
  <c r="G113" i="16"/>
  <c r="G112" i="16"/>
  <c r="G111" i="16"/>
  <c r="G110" i="16"/>
  <c r="G108" i="16"/>
  <c r="G107" i="16"/>
  <c r="G103" i="16"/>
  <c r="G101" i="16"/>
  <c r="G100" i="16"/>
  <c r="G98" i="16"/>
  <c r="G96" i="16"/>
  <c r="G94" i="16"/>
  <c r="G93" i="16"/>
  <c r="G91" i="16"/>
  <c r="G90" i="16"/>
  <c r="G88" i="16"/>
  <c r="G82" i="16"/>
  <c r="G81" i="16"/>
  <c r="G80" i="16"/>
  <c r="G78" i="16"/>
  <c r="G77" i="16"/>
  <c r="G76" i="16"/>
  <c r="G75" i="16"/>
  <c r="G73" i="16"/>
  <c r="G72" i="16"/>
  <c r="G71" i="16"/>
  <c r="G70" i="16"/>
  <c r="G68" i="16"/>
  <c r="G66" i="16"/>
  <c r="G65" i="16"/>
  <c r="G58" i="16"/>
  <c r="G57" i="16"/>
  <c r="G56" i="16"/>
  <c r="G55" i="16"/>
  <c r="G54" i="16"/>
  <c r="G53" i="16"/>
  <c r="G52" i="16"/>
  <c r="G51" i="16"/>
  <c r="G45" i="16"/>
  <c r="G44" i="16"/>
  <c r="G43" i="16"/>
  <c r="G42" i="16"/>
  <c r="U108" i="19" s="1"/>
  <c r="G40" i="16"/>
  <c r="G39" i="16"/>
  <c r="G35" i="16"/>
  <c r="G73" i="1"/>
  <c r="G72" i="1"/>
  <c r="G71" i="1"/>
  <c r="G70" i="1"/>
  <c r="G65" i="1"/>
  <c r="G119" i="1"/>
  <c r="G118" i="1"/>
  <c r="G117" i="1"/>
  <c r="G116" i="1"/>
  <c r="G115" i="1"/>
  <c r="G113" i="1"/>
  <c r="G112" i="1"/>
  <c r="G111" i="1"/>
  <c r="G110" i="1"/>
  <c r="G108" i="1"/>
  <c r="G107" i="1"/>
  <c r="G105" i="1"/>
  <c r="U97" i="19" s="1"/>
  <c r="T97" i="19" s="1"/>
  <c r="U87" i="19" l="1"/>
  <c r="U113" i="19"/>
  <c r="U112" i="19"/>
  <c r="W25" i="18"/>
  <c r="U106" i="19"/>
  <c r="U105" i="19"/>
  <c r="K112" i="19"/>
  <c r="G112" i="19"/>
  <c r="J113" i="19"/>
  <c r="H113" i="19"/>
  <c r="F113" i="19"/>
  <c r="L113" i="19"/>
  <c r="G113" i="19"/>
  <c r="I113" i="19"/>
  <c r="O113" i="19"/>
  <c r="M113" i="19"/>
  <c r="O95" i="19"/>
  <c r="O96" i="19" s="1"/>
  <c r="N95" i="19"/>
  <c r="N96" i="19" s="1"/>
  <c r="J95" i="19"/>
  <c r="J96" i="19" s="1"/>
  <c r="G95" i="19"/>
  <c r="G96" i="19" s="1"/>
  <c r="M95" i="19"/>
  <c r="M96" i="19" s="1"/>
  <c r="F95" i="19"/>
  <c r="F96" i="19" s="1"/>
  <c r="I95" i="19"/>
  <c r="I96" i="19" s="1"/>
  <c r="E95" i="19"/>
  <c r="K95" i="19"/>
  <c r="K96" i="19" s="1"/>
  <c r="F97" i="19"/>
  <c r="Q97" i="19" s="1"/>
  <c r="L95" i="19"/>
  <c r="L96" i="19" s="1"/>
  <c r="P95" i="19"/>
  <c r="P96" i="19" s="1"/>
  <c r="H95" i="19"/>
  <c r="H96" i="19" s="1"/>
  <c r="G104" i="16"/>
  <c r="E163" i="4"/>
  <c r="D163" i="4"/>
  <c r="W49" i="18"/>
  <c r="U86" i="19"/>
  <c r="D107" i="4"/>
  <c r="C163" i="4"/>
  <c r="D43" i="4"/>
  <c r="C82" i="4"/>
  <c r="D112" i="4"/>
  <c r="D138" i="4"/>
  <c r="D87" i="4"/>
  <c r="D28" i="4"/>
  <c r="D33" i="4"/>
  <c r="D131" i="4"/>
  <c r="D233" i="4"/>
  <c r="D173" i="4"/>
  <c r="D57" i="4"/>
  <c r="D168" i="4"/>
  <c r="D188" i="4"/>
  <c r="D92" i="4"/>
  <c r="D193" i="4"/>
  <c r="D18" i="4"/>
  <c r="D38" i="4"/>
  <c r="D97" i="4"/>
  <c r="D145" i="4"/>
  <c r="D198" i="4"/>
  <c r="D50" i="4"/>
  <c r="D102" i="4"/>
  <c r="D152" i="4"/>
  <c r="D205" i="4"/>
  <c r="D212" i="4"/>
  <c r="D219" i="4"/>
  <c r="D178" i="4"/>
  <c r="D64" i="4"/>
  <c r="D117" i="4"/>
  <c r="D226" i="4"/>
  <c r="D23" i="4"/>
  <c r="D71" i="4"/>
  <c r="D124" i="4"/>
  <c r="D183" i="4"/>
  <c r="G27" i="14"/>
  <c r="B30" i="14"/>
  <c r="D30" i="14" s="1"/>
  <c r="B31" i="14"/>
  <c r="D31" i="14" s="1"/>
  <c r="B32" i="14"/>
  <c r="D32" i="14" s="1"/>
  <c r="B10" i="17"/>
  <c r="N113" i="19" l="1"/>
  <c r="P113" i="19"/>
  <c r="K113" i="19"/>
  <c r="E113" i="19"/>
  <c r="M112" i="19"/>
  <c r="F112" i="19"/>
  <c r="O112" i="19"/>
  <c r="P112" i="19"/>
  <c r="L112" i="19"/>
  <c r="E112" i="19"/>
  <c r="Q112" i="19" s="1"/>
  <c r="I112" i="19"/>
  <c r="H112" i="19"/>
  <c r="J112" i="19"/>
  <c r="N112" i="19"/>
  <c r="Q113" i="19"/>
  <c r="Q95" i="19"/>
  <c r="E96" i="19"/>
  <c r="Q96" i="19" s="1"/>
  <c r="C32" i="14"/>
  <c r="E32" i="14"/>
  <c r="C31" i="14"/>
  <c r="C30" i="14"/>
  <c r="E30" i="14"/>
  <c r="B34" i="14"/>
  <c r="D34" i="14"/>
  <c r="E31" i="14"/>
  <c r="K56" i="15"/>
  <c r="C34" i="14" l="1"/>
  <c r="E34" i="14"/>
  <c r="AG202" i="15"/>
  <c r="B95" i="15"/>
  <c r="B113" i="15"/>
  <c r="B77" i="15"/>
  <c r="C116" i="15"/>
  <c r="D116" i="15" s="1"/>
  <c r="E116" i="15" s="1"/>
  <c r="F116" i="15" s="1"/>
  <c r="G116" i="15" s="1"/>
  <c r="H116" i="15" s="1"/>
  <c r="I116" i="15" s="1"/>
  <c r="J116" i="15" s="1"/>
  <c r="K116" i="15" s="1"/>
  <c r="L116" i="15" s="1"/>
  <c r="M116" i="15" s="1"/>
  <c r="N116" i="15" s="1"/>
  <c r="O116" i="15" s="1"/>
  <c r="P116" i="15" s="1"/>
  <c r="Q116" i="15" s="1"/>
  <c r="R116" i="15" s="1"/>
  <c r="S116" i="15" s="1"/>
  <c r="T116" i="15" s="1"/>
  <c r="U116" i="15" s="1"/>
  <c r="V116" i="15" s="1"/>
  <c r="W116" i="15" s="1"/>
  <c r="X116" i="15" s="1"/>
  <c r="Y116" i="15" s="1"/>
  <c r="Z116" i="15" s="1"/>
  <c r="AA116" i="15" s="1"/>
  <c r="AB116" i="15" s="1"/>
  <c r="AC116" i="15" s="1"/>
  <c r="AD116" i="15" s="1"/>
  <c r="AE116" i="15" s="1"/>
  <c r="AF116" i="15" s="1"/>
  <c r="AG116" i="15" s="1"/>
  <c r="AH116" i="15" s="1"/>
  <c r="AI116" i="15" s="1"/>
  <c r="AJ116" i="15" s="1"/>
  <c r="AK116" i="15" s="1"/>
  <c r="AL116" i="15" s="1"/>
  <c r="C97" i="15"/>
  <c r="C80" i="15"/>
  <c r="D80" i="15" s="1"/>
  <c r="E80" i="15" s="1"/>
  <c r="F80" i="15" s="1"/>
  <c r="G80" i="15" s="1"/>
  <c r="H80" i="15" s="1"/>
  <c r="I80" i="15" s="1"/>
  <c r="J80" i="15" s="1"/>
  <c r="K80" i="15" s="1"/>
  <c r="L80" i="15" s="1"/>
  <c r="M80" i="15" s="1"/>
  <c r="N80" i="15" s="1"/>
  <c r="O80" i="15" s="1"/>
  <c r="P80" i="15" s="1"/>
  <c r="Q80" i="15" s="1"/>
  <c r="R80" i="15" s="1"/>
  <c r="S80" i="15" s="1"/>
  <c r="T80" i="15" s="1"/>
  <c r="U80" i="15" s="1"/>
  <c r="V80" i="15" s="1"/>
  <c r="W80" i="15" s="1"/>
  <c r="X80" i="15" s="1"/>
  <c r="Y80" i="15" s="1"/>
  <c r="Z80" i="15" s="1"/>
  <c r="AA80" i="15" s="1"/>
  <c r="AB80" i="15" s="1"/>
  <c r="AC80" i="15" s="1"/>
  <c r="AD80" i="15" s="1"/>
  <c r="AE80" i="15" s="1"/>
  <c r="AF80" i="15" s="1"/>
  <c r="AG80" i="15" s="1"/>
  <c r="AH80" i="15" s="1"/>
  <c r="AI80" i="15" s="1"/>
  <c r="AJ80" i="15" s="1"/>
  <c r="AK80" i="15" s="1"/>
  <c r="AL80" i="15" s="1"/>
  <c r="D19" i="2"/>
  <c r="B73" i="2"/>
  <c r="B143" i="2" s="1"/>
  <c r="E13" i="2"/>
  <c r="E73" i="2" s="1"/>
  <c r="E143" i="2" s="1"/>
  <c r="D13" i="2"/>
  <c r="D73" i="2" s="1"/>
  <c r="D143" i="2" s="1"/>
  <c r="C13" i="2"/>
  <c r="D197" i="2" s="1"/>
  <c r="C38" i="8" s="1"/>
  <c r="AG202" i="14"/>
  <c r="G18" i="1"/>
  <c r="D203" i="2" l="1"/>
  <c r="B11" i="2"/>
  <c r="D127" i="2"/>
  <c r="C35" i="8" s="1"/>
  <c r="D57" i="2"/>
  <c r="B179" i="15"/>
  <c r="B131" i="15"/>
  <c r="B96" i="15"/>
  <c r="B98" i="15" s="1"/>
  <c r="D97" i="15"/>
  <c r="B78" i="15"/>
  <c r="B79" i="15" s="1"/>
  <c r="B114" i="15"/>
  <c r="D157" i="2"/>
  <c r="I50" i="12"/>
  <c r="D47" i="2"/>
  <c r="B99" i="15"/>
  <c r="B117" i="15"/>
  <c r="B81" i="15"/>
  <c r="D87" i="2"/>
  <c r="D17" i="2"/>
  <c r="D97" i="2"/>
  <c r="D107" i="2"/>
  <c r="D147" i="2"/>
  <c r="D77" i="2"/>
  <c r="D167" i="2"/>
  <c r="D177" i="2"/>
  <c r="D27" i="2"/>
  <c r="D117" i="2"/>
  <c r="D37" i="2"/>
  <c r="C73" i="2"/>
  <c r="C143" i="2" s="1"/>
  <c r="B116" i="14"/>
  <c r="B113" i="14"/>
  <c r="B98" i="14"/>
  <c r="C98" i="14" s="1"/>
  <c r="D98" i="14" s="1"/>
  <c r="E98" i="14" s="1"/>
  <c r="F98" i="14" s="1"/>
  <c r="G98" i="14" s="1"/>
  <c r="H98" i="14" s="1"/>
  <c r="I98" i="14" s="1"/>
  <c r="J98" i="14" s="1"/>
  <c r="K98" i="14" s="1"/>
  <c r="L98" i="14" s="1"/>
  <c r="M98" i="14" s="1"/>
  <c r="N98" i="14" s="1"/>
  <c r="O98" i="14" s="1"/>
  <c r="P98" i="14" s="1"/>
  <c r="Q98" i="14" s="1"/>
  <c r="R98" i="14" s="1"/>
  <c r="S98" i="14" s="1"/>
  <c r="T98" i="14" s="1"/>
  <c r="U98" i="14" s="1"/>
  <c r="V98" i="14" s="1"/>
  <c r="W98" i="14" s="1"/>
  <c r="X98" i="14" s="1"/>
  <c r="Y98" i="14" s="1"/>
  <c r="Z98" i="14" s="1"/>
  <c r="AA98" i="14" s="1"/>
  <c r="AB98" i="14" s="1"/>
  <c r="AC98" i="14" s="1"/>
  <c r="AD98" i="14" s="1"/>
  <c r="AE98" i="14" s="1"/>
  <c r="AF98" i="14" s="1"/>
  <c r="AG98" i="14" s="1"/>
  <c r="AH98" i="14" s="1"/>
  <c r="AI98" i="14" s="1"/>
  <c r="AJ98" i="14" s="1"/>
  <c r="AK98" i="14" s="1"/>
  <c r="AL98" i="14" s="1"/>
  <c r="B95" i="14"/>
  <c r="K39" i="11"/>
  <c r="H39" i="11"/>
  <c r="F39" i="11"/>
  <c r="C32" i="8" l="1"/>
  <c r="D215" i="2"/>
  <c r="D63" i="2"/>
  <c r="D133" i="2"/>
  <c r="D222" i="2" s="1"/>
  <c r="B115" i="15"/>
  <c r="B132" i="15"/>
  <c r="C113" i="15"/>
  <c r="C115" i="15" s="1"/>
  <c r="B133" i="15"/>
  <c r="E97" i="15"/>
  <c r="C77" i="15"/>
  <c r="C79" i="15" s="1"/>
  <c r="B114" i="14"/>
  <c r="B82" i="15"/>
  <c r="C95" i="15"/>
  <c r="C98" i="15" s="1"/>
  <c r="B100" i="15"/>
  <c r="B118" i="15"/>
  <c r="I50" i="11"/>
  <c r="B96" i="14"/>
  <c r="C95" i="14" s="1"/>
  <c r="B99" i="14"/>
  <c r="C116" i="14"/>
  <c r="B117" i="14"/>
  <c r="B80" i="14"/>
  <c r="C80" i="14" s="1"/>
  <c r="D80" i="14" s="1"/>
  <c r="E80" i="14" s="1"/>
  <c r="F80" i="14" s="1"/>
  <c r="G80" i="14" s="1"/>
  <c r="H80" i="14" s="1"/>
  <c r="I80" i="14" s="1"/>
  <c r="J80" i="14" s="1"/>
  <c r="K80" i="14" s="1"/>
  <c r="L80" i="14" s="1"/>
  <c r="M80" i="14" s="1"/>
  <c r="N80" i="14" s="1"/>
  <c r="B77" i="14"/>
  <c r="B179" i="14" s="1"/>
  <c r="G103" i="1"/>
  <c r="U104" i="19" s="1"/>
  <c r="G101" i="1"/>
  <c r="U89" i="19" s="1"/>
  <c r="G100" i="1"/>
  <c r="U88" i="19" s="1"/>
  <c r="G98" i="1"/>
  <c r="U92" i="19" s="1"/>
  <c r="G96" i="1"/>
  <c r="G91" i="1"/>
  <c r="G92" i="1"/>
  <c r="U111" i="19" s="1"/>
  <c r="G93" i="1"/>
  <c r="G94" i="1"/>
  <c r="G90" i="1"/>
  <c r="G88" i="1"/>
  <c r="U109" i="19" s="1"/>
  <c r="G82" i="1"/>
  <c r="G81" i="1"/>
  <c r="G80" i="1"/>
  <c r="G78" i="1"/>
  <c r="G77" i="1"/>
  <c r="G76" i="1"/>
  <c r="G75" i="1"/>
  <c r="G68" i="1"/>
  <c r="G66" i="1"/>
  <c r="U110" i="19" s="1"/>
  <c r="G62" i="1"/>
  <c r="G57" i="1"/>
  <c r="G58" i="1"/>
  <c r="G52" i="1"/>
  <c r="G53" i="1"/>
  <c r="G54" i="1"/>
  <c r="G55" i="1"/>
  <c r="G56" i="1"/>
  <c r="G51" i="1"/>
  <c r="G43" i="1"/>
  <c r="G44" i="1"/>
  <c r="G45" i="1"/>
  <c r="G46" i="1"/>
  <c r="G42" i="1"/>
  <c r="G40" i="1"/>
  <c r="G39" i="1"/>
  <c r="U107" i="19" s="1"/>
  <c r="G35" i="1"/>
  <c r="W43" i="18" s="1"/>
  <c r="F104" i="19" l="1"/>
  <c r="P110" i="19"/>
  <c r="J110" i="19"/>
  <c r="E110" i="19"/>
  <c r="F110" i="19"/>
  <c r="O110" i="19"/>
  <c r="I110" i="19"/>
  <c r="G110" i="19"/>
  <c r="L110" i="19"/>
  <c r="K110" i="19"/>
  <c r="N110" i="19"/>
  <c r="H110" i="19"/>
  <c r="M110" i="19"/>
  <c r="P111" i="19"/>
  <c r="E111" i="19"/>
  <c r="K111" i="19"/>
  <c r="H111" i="19"/>
  <c r="M111" i="19"/>
  <c r="O111" i="19"/>
  <c r="J111" i="19"/>
  <c r="G111" i="19"/>
  <c r="F111" i="19"/>
  <c r="L111" i="19"/>
  <c r="N111" i="19"/>
  <c r="I111" i="19"/>
  <c r="W24" i="18"/>
  <c r="B134" i="15"/>
  <c r="B148" i="15" s="1"/>
  <c r="C131" i="15"/>
  <c r="D113" i="15"/>
  <c r="D115" i="15" s="1"/>
  <c r="U85" i="19"/>
  <c r="W29" i="18"/>
  <c r="D77" i="15"/>
  <c r="D79" i="15" s="1"/>
  <c r="C117" i="15"/>
  <c r="F97" i="15"/>
  <c r="C81" i="15"/>
  <c r="C179" i="15"/>
  <c r="C113" i="14"/>
  <c r="C115" i="14" s="1"/>
  <c r="B115" i="14"/>
  <c r="C99" i="14"/>
  <c r="C97" i="14"/>
  <c r="B97" i="14"/>
  <c r="D95" i="15"/>
  <c r="D98" i="15" s="1"/>
  <c r="C99" i="15"/>
  <c r="O80" i="14"/>
  <c r="P80" i="14" s="1"/>
  <c r="Q80" i="14" s="1"/>
  <c r="R80" i="14" s="1"/>
  <c r="S80" i="14" s="1"/>
  <c r="T80" i="14" s="1"/>
  <c r="U80" i="14" s="1"/>
  <c r="V80" i="14" s="1"/>
  <c r="W80" i="14" s="1"/>
  <c r="X80" i="14" s="1"/>
  <c r="Y80" i="14" s="1"/>
  <c r="Z80" i="14" s="1"/>
  <c r="B81" i="14"/>
  <c r="B133" i="14" s="1"/>
  <c r="D116" i="14"/>
  <c r="B78" i="14"/>
  <c r="B79" i="14" s="1"/>
  <c r="B118" i="14"/>
  <c r="D95" i="14"/>
  <c r="B100" i="14"/>
  <c r="G99" i="1"/>
  <c r="U84" i="19" l="1"/>
  <c r="U83" i="19"/>
  <c r="U103" i="19"/>
  <c r="Q111" i="19"/>
  <c r="Q110" i="19"/>
  <c r="D131" i="15"/>
  <c r="C119" i="15"/>
  <c r="C101" i="14"/>
  <c r="C83" i="15"/>
  <c r="D117" i="15"/>
  <c r="D120" i="15" s="1"/>
  <c r="E113" i="15"/>
  <c r="E115" i="15" s="1"/>
  <c r="E77" i="15"/>
  <c r="E79" i="15" s="1"/>
  <c r="D81" i="15"/>
  <c r="C133" i="15"/>
  <c r="G97" i="15"/>
  <c r="D179" i="15"/>
  <c r="D113" i="14"/>
  <c r="D115" i="14" s="1"/>
  <c r="C117" i="14"/>
  <c r="C119" i="14" s="1"/>
  <c r="B132" i="14"/>
  <c r="B131" i="14"/>
  <c r="D99" i="14"/>
  <c r="D102" i="14" s="1"/>
  <c r="D97" i="14"/>
  <c r="D99" i="15"/>
  <c r="D102" i="15" s="1"/>
  <c r="E95" i="15"/>
  <c r="E98" i="15" s="1"/>
  <c r="C101" i="15"/>
  <c r="B82" i="14"/>
  <c r="B134" i="14" s="1"/>
  <c r="AA80" i="14"/>
  <c r="AB80" i="14" s="1"/>
  <c r="AC80" i="14" s="1"/>
  <c r="AD80" i="14" s="1"/>
  <c r="AE80" i="14" s="1"/>
  <c r="AF80" i="14" s="1"/>
  <c r="AG80" i="14" s="1"/>
  <c r="AH80" i="14" s="1"/>
  <c r="AI80" i="14" s="1"/>
  <c r="AJ80" i="14" s="1"/>
  <c r="AK80" i="14" s="1"/>
  <c r="AL80" i="14" s="1"/>
  <c r="E116" i="14"/>
  <c r="C77" i="14"/>
  <c r="C79" i="14" s="1"/>
  <c r="C131" i="14" s="1"/>
  <c r="E95" i="14"/>
  <c r="E97" i="14" s="1"/>
  <c r="U80" i="19" l="1"/>
  <c r="W32" i="18"/>
  <c r="C135" i="15"/>
  <c r="C149" i="15" s="1"/>
  <c r="F113" i="15"/>
  <c r="F115" i="15" s="1"/>
  <c r="E117" i="15"/>
  <c r="E131" i="15"/>
  <c r="D84" i="15"/>
  <c r="D136" i="15" s="1"/>
  <c r="D150" i="15" s="1"/>
  <c r="B148" i="14"/>
  <c r="F77" i="15"/>
  <c r="F79" i="15" s="1"/>
  <c r="E81" i="15"/>
  <c r="D133" i="15"/>
  <c r="H97" i="15"/>
  <c r="I97" i="15" s="1"/>
  <c r="E179" i="15"/>
  <c r="D117" i="14"/>
  <c r="D120" i="14" s="1"/>
  <c r="E113" i="14"/>
  <c r="E115" i="14" s="1"/>
  <c r="G113" i="15"/>
  <c r="G115" i="15" s="1"/>
  <c r="F117" i="15"/>
  <c r="E121" i="15"/>
  <c r="E99" i="15"/>
  <c r="F95" i="15"/>
  <c r="F98" i="15" s="1"/>
  <c r="C179" i="14"/>
  <c r="C81" i="14"/>
  <c r="C133" i="14" s="1"/>
  <c r="F116" i="14"/>
  <c r="F95" i="14"/>
  <c r="E99" i="14"/>
  <c r="D77" i="14"/>
  <c r="D79" i="14" s="1"/>
  <c r="D131" i="14" s="1"/>
  <c r="F15" i="16"/>
  <c r="F38" i="16" s="1"/>
  <c r="F131" i="15" l="1"/>
  <c r="E85" i="15"/>
  <c r="E133" i="15"/>
  <c r="F81" i="15"/>
  <c r="F86" i="15" s="1"/>
  <c r="G77" i="15"/>
  <c r="G79" i="15" s="1"/>
  <c r="F113" i="14"/>
  <c r="F115" i="14" s="1"/>
  <c r="E117" i="14"/>
  <c r="E121" i="14" s="1"/>
  <c r="J97" i="15"/>
  <c r="F179" i="15"/>
  <c r="F99" i="14"/>
  <c r="F104" i="14" s="1"/>
  <c r="F97" i="14"/>
  <c r="E103" i="15"/>
  <c r="F122" i="15"/>
  <c r="F99" i="15"/>
  <c r="F104" i="15" s="1"/>
  <c r="G95" i="15"/>
  <c r="G117" i="15"/>
  <c r="H113" i="15"/>
  <c r="C83" i="14"/>
  <c r="C135" i="14" s="1"/>
  <c r="C149" i="14" s="1"/>
  <c r="E103" i="14"/>
  <c r="D81" i="14"/>
  <c r="D84" i="14" s="1"/>
  <c r="D136" i="14" s="1"/>
  <c r="D150" i="14" s="1"/>
  <c r="D179" i="14"/>
  <c r="G116" i="14"/>
  <c r="G95" i="14"/>
  <c r="E77" i="14"/>
  <c r="E79" i="14" s="1"/>
  <c r="E131" i="14" s="1"/>
  <c r="H18" i="1"/>
  <c r="E137" i="15" l="1"/>
  <c r="E151" i="15" s="1"/>
  <c r="G131" i="15"/>
  <c r="G98" i="15"/>
  <c r="G81" i="15"/>
  <c r="H77" i="15"/>
  <c r="H78" i="15" s="1"/>
  <c r="I77" i="15" s="1"/>
  <c r="I79" i="15" s="1"/>
  <c r="F117" i="14"/>
  <c r="F122" i="14" s="1"/>
  <c r="G113" i="14"/>
  <c r="G115" i="14" s="1"/>
  <c r="F138" i="15"/>
  <c r="F152" i="15" s="1"/>
  <c r="F133" i="15"/>
  <c r="K97" i="15"/>
  <c r="G179" i="15"/>
  <c r="H114" i="15"/>
  <c r="I113" i="15" s="1"/>
  <c r="I115" i="15" s="1"/>
  <c r="G123" i="15"/>
  <c r="D133" i="14"/>
  <c r="G99" i="14"/>
  <c r="G105" i="14" s="1"/>
  <c r="G97" i="14"/>
  <c r="G99" i="15"/>
  <c r="G105" i="15" s="1"/>
  <c r="H95" i="15"/>
  <c r="H117" i="15"/>
  <c r="H95" i="14"/>
  <c r="E81" i="14"/>
  <c r="E133" i="14" s="1"/>
  <c r="E179" i="14"/>
  <c r="H116" i="14"/>
  <c r="F77" i="14"/>
  <c r="F79" i="14" s="1"/>
  <c r="F131" i="14" s="1"/>
  <c r="C81" i="17"/>
  <c r="C80" i="17"/>
  <c r="C71" i="17"/>
  <c r="C70" i="17"/>
  <c r="C61" i="17"/>
  <c r="C60" i="17"/>
  <c r="C51" i="17"/>
  <c r="C50" i="17"/>
  <c r="C41" i="17"/>
  <c r="C40" i="17"/>
  <c r="C31" i="17"/>
  <c r="C30" i="17"/>
  <c r="C21" i="17"/>
  <c r="C20" i="17"/>
  <c r="D77" i="17"/>
  <c r="E77" i="17" s="1"/>
  <c r="D67" i="17"/>
  <c r="E67" i="17" s="1"/>
  <c r="D47" i="17"/>
  <c r="E47" i="17" s="1"/>
  <c r="D37" i="17"/>
  <c r="E37" i="17" s="1"/>
  <c r="D27" i="17"/>
  <c r="E27" i="17" s="1"/>
  <c r="D17" i="17"/>
  <c r="E17" i="17" s="1"/>
  <c r="G109" i="19"/>
  <c r="B9" i="2"/>
  <c r="L12" i="2" s="1"/>
  <c r="B9" i="4"/>
  <c r="L12" i="4" s="1"/>
  <c r="B74" i="12"/>
  <c r="F48" i="16"/>
  <c r="F14" i="16"/>
  <c r="H50" i="1"/>
  <c r="F50" i="1"/>
  <c r="F48" i="1" s="1"/>
  <c r="C3" i="22"/>
  <c r="C9" i="22" s="1"/>
  <c r="C2" i="22"/>
  <c r="C17" i="22" s="1"/>
  <c r="B5" i="4"/>
  <c r="B5" i="12" s="1"/>
  <c r="S59" i="18"/>
  <c r="B5" i="11"/>
  <c r="C5" i="16"/>
  <c r="G37" i="1"/>
  <c r="B6" i="12"/>
  <c r="B6" i="4"/>
  <c r="C6" i="16"/>
  <c r="S60" i="18"/>
  <c r="B6" i="11"/>
  <c r="C6" i="1"/>
  <c r="B6" i="2" s="1"/>
  <c r="D189" i="2"/>
  <c r="D187" i="2"/>
  <c r="D186" i="2"/>
  <c r="D179" i="2"/>
  <c r="D182" i="2" s="1"/>
  <c r="D183" i="2" s="1"/>
  <c r="D176" i="2"/>
  <c r="D119" i="2"/>
  <c r="D116" i="2"/>
  <c r="D109" i="2"/>
  <c r="D106" i="2"/>
  <c r="D49" i="2"/>
  <c r="D46" i="2"/>
  <c r="D48" i="2" s="1"/>
  <c r="E58" i="2"/>
  <c r="E62" i="2" s="1"/>
  <c r="H57" i="2"/>
  <c r="E57" i="2" s="1"/>
  <c r="H56" i="2"/>
  <c r="E56" i="2" s="1"/>
  <c r="H49" i="2"/>
  <c r="H47" i="2"/>
  <c r="E47" i="2" s="1"/>
  <c r="H46" i="2"/>
  <c r="H127" i="2"/>
  <c r="E127" i="2" s="1"/>
  <c r="H126" i="2"/>
  <c r="E126" i="2" s="1"/>
  <c r="H119" i="2"/>
  <c r="H117" i="2"/>
  <c r="H116" i="2"/>
  <c r="H109" i="2"/>
  <c r="H107" i="2"/>
  <c r="E107" i="2" s="1"/>
  <c r="H106" i="2"/>
  <c r="H197" i="2"/>
  <c r="E197" i="2" s="1"/>
  <c r="E203" i="2" s="1"/>
  <c r="H196" i="2"/>
  <c r="E196" i="2" s="1"/>
  <c r="E201" i="2" s="1"/>
  <c r="H189" i="2"/>
  <c r="H187" i="2"/>
  <c r="H186" i="2"/>
  <c r="H179" i="2"/>
  <c r="H177" i="2"/>
  <c r="E177" i="2" s="1"/>
  <c r="H176" i="2"/>
  <c r="D39" i="2"/>
  <c r="D36" i="2"/>
  <c r="D29" i="2"/>
  <c r="D32" i="2" s="1"/>
  <c r="D33" i="2" s="1"/>
  <c r="D26" i="2"/>
  <c r="D192" i="4"/>
  <c r="D191" i="4" s="1"/>
  <c r="D187" i="4"/>
  <c r="D186" i="4" s="1"/>
  <c r="D111" i="4"/>
  <c r="D106" i="4"/>
  <c r="D101" i="4"/>
  <c r="D100" i="4" s="1"/>
  <c r="D37" i="4"/>
  <c r="D36" i="4" s="1"/>
  <c r="D32" i="4"/>
  <c r="D58" i="4"/>
  <c r="D56" i="4"/>
  <c r="D65" i="4"/>
  <c r="D63" i="4"/>
  <c r="D72" i="4"/>
  <c r="D70" i="4"/>
  <c r="D139" i="4"/>
  <c r="D136" i="4" s="1"/>
  <c r="D137" i="4"/>
  <c r="D146" i="4"/>
  <c r="D144" i="4"/>
  <c r="D153" i="4"/>
  <c r="D150" i="4" s="1"/>
  <c r="D151" i="4"/>
  <c r="D182" i="4"/>
  <c r="D181" i="4" s="1"/>
  <c r="D234" i="4"/>
  <c r="D232" i="4"/>
  <c r="D227" i="4"/>
  <c r="D228" i="4" s="1"/>
  <c r="D225" i="4"/>
  <c r="D220" i="4"/>
  <c r="D217" i="4" s="1"/>
  <c r="D218" i="4"/>
  <c r="H72" i="4"/>
  <c r="H71" i="4"/>
  <c r="E71" i="4" s="1"/>
  <c r="H70" i="4"/>
  <c r="H65" i="4"/>
  <c r="H64" i="4"/>
  <c r="H63" i="4"/>
  <c r="H234" i="4"/>
  <c r="H233" i="4"/>
  <c r="H232" i="4"/>
  <c r="H227" i="4"/>
  <c r="H226" i="4"/>
  <c r="E226" i="4" s="1"/>
  <c r="H225" i="4"/>
  <c r="H220" i="4"/>
  <c r="H219" i="4"/>
  <c r="H218" i="4"/>
  <c r="H153" i="4"/>
  <c r="E153" i="4" s="1"/>
  <c r="H152" i="4"/>
  <c r="H151" i="4"/>
  <c r="H146" i="4"/>
  <c r="H145" i="4"/>
  <c r="E145" i="4" s="1"/>
  <c r="H144" i="4"/>
  <c r="H139" i="4"/>
  <c r="H138" i="4"/>
  <c r="E138" i="4" s="1"/>
  <c r="H137" i="4"/>
  <c r="H38" i="4"/>
  <c r="H37" i="4"/>
  <c r="H33" i="4"/>
  <c r="E33" i="4" s="1"/>
  <c r="H32" i="4"/>
  <c r="H112" i="4"/>
  <c r="H111" i="4"/>
  <c r="H107" i="4"/>
  <c r="H106" i="4"/>
  <c r="H102" i="4"/>
  <c r="H101" i="4"/>
  <c r="H193" i="4"/>
  <c r="E193" i="4" s="1"/>
  <c r="H192" i="4"/>
  <c r="H188" i="4"/>
  <c r="H187" i="4"/>
  <c r="E187" i="4" s="1"/>
  <c r="H183" i="4"/>
  <c r="E183" i="4" s="1"/>
  <c r="H182" i="4"/>
  <c r="A44" i="21"/>
  <c r="E16" i="12"/>
  <c r="E20" i="12"/>
  <c r="K28" i="12"/>
  <c r="W7" i="18" s="1"/>
  <c r="F38" i="12"/>
  <c r="I44" i="12"/>
  <c r="I46" i="12"/>
  <c r="I47" i="12"/>
  <c r="I48" i="12"/>
  <c r="G4" i="15"/>
  <c r="H4" i="15"/>
  <c r="G8" i="15"/>
  <c r="H8" i="15"/>
  <c r="L20" i="15"/>
  <c r="L21" i="15"/>
  <c r="L22" i="15"/>
  <c r="B161" i="15" s="1"/>
  <c r="B29" i="15"/>
  <c r="E29" i="15" s="1"/>
  <c r="B30" i="15"/>
  <c r="E30" i="15" s="1"/>
  <c r="B31" i="15"/>
  <c r="C31" i="15" s="1"/>
  <c r="C46" i="15"/>
  <c r="D46" i="15"/>
  <c r="C47" i="15"/>
  <c r="D47" i="15"/>
  <c r="C48" i="15"/>
  <c r="D48" i="15"/>
  <c r="C51" i="15"/>
  <c r="C52" i="15"/>
  <c r="C53" i="15"/>
  <c r="C57" i="15"/>
  <c r="D57" i="15"/>
  <c r="B63" i="15"/>
  <c r="D58" i="15" s="1"/>
  <c r="G58" i="15" s="1"/>
  <c r="C63" i="15"/>
  <c r="C64" i="15" s="1"/>
  <c r="D63" i="15"/>
  <c r="D64" i="15" s="1"/>
  <c r="E63" i="15"/>
  <c r="E64" i="15" s="1"/>
  <c r="L11" i="4"/>
  <c r="K12" i="4"/>
  <c r="C12" i="4"/>
  <c r="C81" i="4" s="1"/>
  <c r="D15" i="4"/>
  <c r="E15" i="4" s="1"/>
  <c r="C16" i="4"/>
  <c r="H8" i="8" s="1"/>
  <c r="D17" i="4"/>
  <c r="E17" i="4" s="1"/>
  <c r="H17" i="4"/>
  <c r="D20" i="4"/>
  <c r="E20" i="4" s="1"/>
  <c r="C21" i="4"/>
  <c r="H9" i="8" s="1"/>
  <c r="D22" i="4"/>
  <c r="H22" i="4"/>
  <c r="H23" i="4"/>
  <c r="E23" i="4" s="1"/>
  <c r="D25" i="4"/>
  <c r="E25" i="4" s="1"/>
  <c r="C26" i="4"/>
  <c r="H10" i="8" s="1"/>
  <c r="D27" i="4"/>
  <c r="E27" i="4" s="1"/>
  <c r="H27" i="4"/>
  <c r="H28" i="4"/>
  <c r="E28" i="4" s="1"/>
  <c r="D30" i="4"/>
  <c r="E30" i="4" s="1"/>
  <c r="C31" i="4"/>
  <c r="H11" i="8" s="1"/>
  <c r="D35" i="4"/>
  <c r="E35" i="4" s="1"/>
  <c r="C36" i="4"/>
  <c r="D40" i="4"/>
  <c r="E40" i="4" s="1"/>
  <c r="C41" i="4"/>
  <c r="D42" i="4"/>
  <c r="H43" i="4"/>
  <c r="D44" i="4"/>
  <c r="D41" i="4" s="1"/>
  <c r="H44" i="4"/>
  <c r="C45" i="4"/>
  <c r="D47" i="4"/>
  <c r="E47" i="4" s="1"/>
  <c r="C48" i="4"/>
  <c r="H14" i="8" s="1"/>
  <c r="D49" i="4"/>
  <c r="H49" i="4"/>
  <c r="H50" i="4"/>
  <c r="E50" i="4" s="1"/>
  <c r="D51" i="4"/>
  <c r="H51" i="4"/>
  <c r="C52" i="4"/>
  <c r="D54" i="4"/>
  <c r="E54" i="4" s="1"/>
  <c r="C55" i="4"/>
  <c r="H56" i="4"/>
  <c r="H57" i="4"/>
  <c r="E57" i="4" s="1"/>
  <c r="H58" i="4"/>
  <c r="C59" i="4"/>
  <c r="D61" i="4"/>
  <c r="E61" i="4" s="1"/>
  <c r="C62" i="4"/>
  <c r="C66" i="4"/>
  <c r="D68" i="4"/>
  <c r="E68" i="4" s="1"/>
  <c r="C69" i="4"/>
  <c r="C73" i="4"/>
  <c r="C77" i="4"/>
  <c r="D84" i="4"/>
  <c r="E84" i="4" s="1"/>
  <c r="C85" i="4"/>
  <c r="D86" i="4"/>
  <c r="D85" i="4" s="1"/>
  <c r="H86" i="4"/>
  <c r="H87" i="4"/>
  <c r="E87" i="4" s="1"/>
  <c r="D89" i="4"/>
  <c r="E89" i="4" s="1"/>
  <c r="C90" i="4"/>
  <c r="H20" i="8" s="1"/>
  <c r="D91" i="4"/>
  <c r="D90" i="4" s="1"/>
  <c r="H91" i="4"/>
  <c r="H92" i="4"/>
  <c r="E92" i="4" s="1"/>
  <c r="D94" i="4"/>
  <c r="E94" i="4" s="1"/>
  <c r="C95" i="4"/>
  <c r="H21" i="8" s="1"/>
  <c r="D96" i="4"/>
  <c r="D95" i="4" s="1"/>
  <c r="H96" i="4"/>
  <c r="H97" i="4"/>
  <c r="D99" i="4"/>
  <c r="E99" i="4" s="1"/>
  <c r="C100" i="4"/>
  <c r="H22" i="8" s="1"/>
  <c r="D104" i="4"/>
  <c r="E104" i="4" s="1"/>
  <c r="C105" i="4"/>
  <c r="H23" i="8" s="1"/>
  <c r="D109" i="4"/>
  <c r="E109" i="4" s="1"/>
  <c r="C110" i="4"/>
  <c r="H24" i="8" s="1"/>
  <c r="D114" i="4"/>
  <c r="E114" i="4" s="1"/>
  <c r="D116" i="4"/>
  <c r="H116" i="4"/>
  <c r="H117" i="4"/>
  <c r="D118" i="4"/>
  <c r="H118" i="4"/>
  <c r="C119" i="4"/>
  <c r="D121" i="4"/>
  <c r="E121" i="4" s="1"/>
  <c r="C122" i="4"/>
  <c r="D123" i="4"/>
  <c r="H123" i="4"/>
  <c r="H124" i="4"/>
  <c r="D125" i="4"/>
  <c r="D122" i="4" s="1"/>
  <c r="I26" i="8" s="1"/>
  <c r="H125" i="4"/>
  <c r="C126" i="4"/>
  <c r="D128" i="4"/>
  <c r="E128" i="4" s="1"/>
  <c r="C129" i="4"/>
  <c r="H27" i="8" s="1"/>
  <c r="D130" i="4"/>
  <c r="H130" i="4"/>
  <c r="H131" i="4"/>
  <c r="E131" i="4" s="1"/>
  <c r="D132" i="4"/>
  <c r="H132" i="4"/>
  <c r="C133" i="4"/>
  <c r="D135" i="4"/>
  <c r="E135" i="4" s="1"/>
  <c r="C140" i="4"/>
  <c r="D142" i="4"/>
  <c r="E142" i="4" s="1"/>
  <c r="C147" i="4"/>
  <c r="D149" i="4"/>
  <c r="E149" i="4" s="1"/>
  <c r="C154" i="4"/>
  <c r="D165" i="4"/>
  <c r="E165" i="4" s="1"/>
  <c r="H32" i="8"/>
  <c r="D167" i="4"/>
  <c r="D166" i="4" s="1"/>
  <c r="H167" i="4"/>
  <c r="H168" i="4"/>
  <c r="D170" i="4"/>
  <c r="E170" i="4" s="1"/>
  <c r="H33" i="8"/>
  <c r="D172" i="4"/>
  <c r="D171" i="4" s="1"/>
  <c r="H172" i="4"/>
  <c r="H173" i="4"/>
  <c r="D175" i="4"/>
  <c r="E175" i="4" s="1"/>
  <c r="C176" i="4"/>
  <c r="H34" i="8" s="1"/>
  <c r="D177" i="4"/>
  <c r="D176" i="4" s="1"/>
  <c r="H177" i="4"/>
  <c r="H178" i="4"/>
  <c r="E178" i="4" s="1"/>
  <c r="D180" i="4"/>
  <c r="E180" i="4" s="1"/>
  <c r="C181" i="4"/>
  <c r="D185" i="4"/>
  <c r="E185" i="4" s="1"/>
  <c r="C186" i="4"/>
  <c r="D190" i="4"/>
  <c r="E190" i="4" s="1"/>
  <c r="C191" i="4"/>
  <c r="H37" i="8" s="1"/>
  <c r="D195" i="4"/>
  <c r="E195" i="4" s="1"/>
  <c r="C196" i="4"/>
  <c r="H38" i="8" s="1"/>
  <c r="D197" i="4"/>
  <c r="H197" i="4"/>
  <c r="H198" i="4"/>
  <c r="D199" i="4"/>
  <c r="H199" i="4"/>
  <c r="C200" i="4"/>
  <c r="D202" i="4"/>
  <c r="E202" i="4" s="1"/>
  <c r="C203" i="4"/>
  <c r="D204" i="4"/>
  <c r="H204" i="4"/>
  <c r="H205" i="4"/>
  <c r="D206" i="4"/>
  <c r="H206" i="4"/>
  <c r="C207" i="4"/>
  <c r="D209" i="4"/>
  <c r="E209" i="4" s="1"/>
  <c r="C210" i="4"/>
  <c r="D211" i="4"/>
  <c r="H211" i="4"/>
  <c r="H212" i="4"/>
  <c r="D213" i="4"/>
  <c r="D210" i="4" s="1"/>
  <c r="H213" i="4"/>
  <c r="C214" i="4"/>
  <c r="D216" i="4"/>
  <c r="E216" i="4" s="1"/>
  <c r="C217" i="4"/>
  <c r="C221" i="4"/>
  <c r="D223" i="4"/>
  <c r="E223" i="4" s="1"/>
  <c r="C224" i="4"/>
  <c r="C228" i="4"/>
  <c r="C231" i="4"/>
  <c r="H43" i="8" s="1"/>
  <c r="C235" i="4"/>
  <c r="G14" i="16"/>
  <c r="K16" i="16"/>
  <c r="G17" i="16"/>
  <c r="K17" i="16"/>
  <c r="G19" i="16"/>
  <c r="H19" i="16" s="1"/>
  <c r="F27" i="16"/>
  <c r="F26" i="16" s="1"/>
  <c r="G31" i="16"/>
  <c r="H31" i="16" s="1"/>
  <c r="G34" i="16"/>
  <c r="H34" i="16" s="1"/>
  <c r="H35" i="16"/>
  <c r="G37" i="16"/>
  <c r="K39" i="16"/>
  <c r="H39" i="16" s="1"/>
  <c r="K40" i="16"/>
  <c r="F41" i="16"/>
  <c r="E66" i="12" s="1"/>
  <c r="K42" i="16"/>
  <c r="K43" i="16"/>
  <c r="K44" i="16"/>
  <c r="K45" i="16"/>
  <c r="K46" i="16"/>
  <c r="G49" i="16"/>
  <c r="K49" i="16"/>
  <c r="K51" i="16"/>
  <c r="K52" i="16"/>
  <c r="H52" i="16" s="1"/>
  <c r="K53" i="16"/>
  <c r="K54" i="16"/>
  <c r="K55" i="16"/>
  <c r="K56" i="16"/>
  <c r="K57" i="16"/>
  <c r="K58" i="16"/>
  <c r="F60" i="16"/>
  <c r="G60" i="16" s="1"/>
  <c r="G63" i="16"/>
  <c r="G64" i="16"/>
  <c r="K64" i="16"/>
  <c r="K65" i="16"/>
  <c r="K66" i="16"/>
  <c r="K68" i="16"/>
  <c r="F69" i="16"/>
  <c r="E68" i="12" s="1"/>
  <c r="K70" i="16"/>
  <c r="H70" i="16" s="1"/>
  <c r="K71" i="16"/>
  <c r="K72" i="16"/>
  <c r="K73" i="16"/>
  <c r="F74" i="16"/>
  <c r="E69" i="12" s="1"/>
  <c r="K75" i="16"/>
  <c r="K76" i="16"/>
  <c r="K77" i="16"/>
  <c r="K78" i="16"/>
  <c r="F79" i="16"/>
  <c r="K80" i="16"/>
  <c r="K81" i="16"/>
  <c r="K82" i="16"/>
  <c r="H82" i="16" s="1"/>
  <c r="F83" i="16"/>
  <c r="H84" i="16"/>
  <c r="G85" i="16"/>
  <c r="G86" i="16"/>
  <c r="H86" i="16" s="1"/>
  <c r="G87" i="16"/>
  <c r="H87" i="16" s="1"/>
  <c r="K88" i="16"/>
  <c r="F89" i="16"/>
  <c r="F47" i="12" s="1"/>
  <c r="K90" i="16"/>
  <c r="K91" i="16"/>
  <c r="K92" i="16"/>
  <c r="K93" i="16"/>
  <c r="K94" i="16"/>
  <c r="F95" i="16"/>
  <c r="K69" i="12" s="1"/>
  <c r="K96" i="16"/>
  <c r="H96" i="16" s="1"/>
  <c r="K98" i="16"/>
  <c r="F99" i="16"/>
  <c r="K100" i="16"/>
  <c r="K101" i="16"/>
  <c r="K103" i="16"/>
  <c r="H103" i="16" s="1"/>
  <c r="K67" i="12"/>
  <c r="K107" i="16"/>
  <c r="K108" i="16"/>
  <c r="H108" i="16" s="1"/>
  <c r="F109" i="16"/>
  <c r="K110" i="16"/>
  <c r="K111" i="16"/>
  <c r="K112" i="16"/>
  <c r="K113" i="16"/>
  <c r="F114" i="16"/>
  <c r="G114" i="16"/>
  <c r="K115" i="16"/>
  <c r="K116" i="16"/>
  <c r="K117" i="16"/>
  <c r="H117" i="16" s="1"/>
  <c r="K118" i="16"/>
  <c r="K119" i="16"/>
  <c r="D2" i="22"/>
  <c r="D17" i="22" s="1"/>
  <c r="U8" i="18"/>
  <c r="S9" i="18"/>
  <c r="T9" i="18" s="1"/>
  <c r="U9" i="18"/>
  <c r="U10" i="18"/>
  <c r="S11" i="18"/>
  <c r="T11" i="18" s="1"/>
  <c r="U11" i="18"/>
  <c r="U12" i="18"/>
  <c r="U13" i="18"/>
  <c r="U14" i="18"/>
  <c r="G17" i="18"/>
  <c r="S17" i="18"/>
  <c r="U18" i="18"/>
  <c r="U22" i="18"/>
  <c r="U35" i="18"/>
  <c r="U36" i="18"/>
  <c r="U37" i="18"/>
  <c r="U38" i="18"/>
  <c r="U39" i="18"/>
  <c r="S51" i="18"/>
  <c r="S53" i="18"/>
  <c r="S54" i="18"/>
  <c r="H67" i="18"/>
  <c r="N67" i="18"/>
  <c r="E7" i="19"/>
  <c r="E53" i="19" s="1"/>
  <c r="D11" i="19"/>
  <c r="Q23" i="19"/>
  <c r="D27" i="19"/>
  <c r="D28" i="19"/>
  <c r="C44" i="19"/>
  <c r="C46" i="19"/>
  <c r="C58" i="19"/>
  <c r="D58" i="19"/>
  <c r="C60" i="19"/>
  <c r="D60" i="19"/>
  <c r="C62" i="19"/>
  <c r="D62" i="19"/>
  <c r="C64" i="19"/>
  <c r="D64" i="19"/>
  <c r="C66" i="19"/>
  <c r="D66" i="19"/>
  <c r="C68" i="19"/>
  <c r="D68" i="19"/>
  <c r="F68" i="19"/>
  <c r="G68" i="19"/>
  <c r="H68" i="19"/>
  <c r="I68" i="19"/>
  <c r="J68" i="19"/>
  <c r="K68" i="19"/>
  <c r="L68" i="19"/>
  <c r="M68" i="19"/>
  <c r="N68" i="19"/>
  <c r="O68" i="19"/>
  <c r="P68" i="19"/>
  <c r="C70" i="19"/>
  <c r="D70" i="19"/>
  <c r="C72" i="19"/>
  <c r="D72" i="19"/>
  <c r="D74" i="19"/>
  <c r="D85" i="19"/>
  <c r="T85" i="19" s="1"/>
  <c r="D86" i="19"/>
  <c r="D87" i="19" s="1"/>
  <c r="C11" i="17"/>
  <c r="F40" i="11" s="1"/>
  <c r="D14" i="17"/>
  <c r="E14" i="17" s="1"/>
  <c r="D15" i="17"/>
  <c r="E15" i="17" s="1"/>
  <c r="D16" i="17"/>
  <c r="E16" i="17" s="1"/>
  <c r="D18" i="17"/>
  <c r="E18" i="17" s="1"/>
  <c r="E19" i="17"/>
  <c r="D24" i="17"/>
  <c r="E24" i="17" s="1"/>
  <c r="D25" i="17"/>
  <c r="E25" i="17" s="1"/>
  <c r="D26" i="17"/>
  <c r="E26" i="17" s="1"/>
  <c r="D28" i="17"/>
  <c r="E28" i="17" s="1"/>
  <c r="E29" i="17"/>
  <c r="D34" i="17"/>
  <c r="D35" i="17"/>
  <c r="E35" i="17" s="1"/>
  <c r="D36" i="17"/>
  <c r="E36" i="17" s="1"/>
  <c r="D38" i="17"/>
  <c r="E38" i="17" s="1"/>
  <c r="E39" i="17"/>
  <c r="D44" i="17"/>
  <c r="D45" i="17"/>
  <c r="E45" i="17" s="1"/>
  <c r="D46" i="17"/>
  <c r="E46" i="17" s="1"/>
  <c r="D48" i="17"/>
  <c r="E48" i="17" s="1"/>
  <c r="E49" i="17"/>
  <c r="D55" i="17"/>
  <c r="E55" i="17" s="1"/>
  <c r="E56" i="17"/>
  <c r="D58" i="17"/>
  <c r="E58" i="17" s="1"/>
  <c r="E59" i="17"/>
  <c r="D64" i="17"/>
  <c r="E64" i="17" s="1"/>
  <c r="D65" i="17"/>
  <c r="E65" i="17" s="1"/>
  <c r="D66" i="17"/>
  <c r="E66" i="17" s="1"/>
  <c r="D68" i="17"/>
  <c r="E68" i="17" s="1"/>
  <c r="E69" i="17"/>
  <c r="D74" i="17"/>
  <c r="E74" i="17" s="1"/>
  <c r="D75" i="17"/>
  <c r="E75" i="17" s="1"/>
  <c r="D76" i="17"/>
  <c r="E76" i="17" s="1"/>
  <c r="D78" i="17"/>
  <c r="E78" i="17" s="1"/>
  <c r="D79" i="17"/>
  <c r="E79" i="17" s="1"/>
  <c r="C84" i="17"/>
  <c r="E16" i="11"/>
  <c r="K16" i="11"/>
  <c r="K28" i="11"/>
  <c r="F38" i="11"/>
  <c r="E86" i="11" s="1"/>
  <c r="E77" i="11" s="1"/>
  <c r="I49" i="11"/>
  <c r="H52" i="11"/>
  <c r="K52" i="11" s="1"/>
  <c r="F74" i="11"/>
  <c r="K74" i="11"/>
  <c r="F4" i="14"/>
  <c r="G4" i="14"/>
  <c r="H4" i="14"/>
  <c r="F8" i="14"/>
  <c r="G8" i="14"/>
  <c r="H8" i="14"/>
  <c r="L20" i="14"/>
  <c r="L21" i="14"/>
  <c r="L22" i="14"/>
  <c r="B161" i="14" s="1"/>
  <c r="C46" i="14"/>
  <c r="D46" i="14"/>
  <c r="C47" i="14"/>
  <c r="D47" i="14"/>
  <c r="C48" i="14"/>
  <c r="D48" i="14"/>
  <c r="C51" i="14"/>
  <c r="D51" i="14"/>
  <c r="C52" i="14"/>
  <c r="D52" i="14"/>
  <c r="C53" i="14"/>
  <c r="D53" i="14"/>
  <c r="C58" i="14"/>
  <c r="D58" i="14"/>
  <c r="B63" i="14"/>
  <c r="D57" i="14" s="1"/>
  <c r="G57" i="14" s="1"/>
  <c r="C63" i="14"/>
  <c r="C64" i="14" s="1"/>
  <c r="D63" i="14"/>
  <c r="D64" i="14" s="1"/>
  <c r="E63" i="14"/>
  <c r="C12" i="2"/>
  <c r="C142" i="2" s="1"/>
  <c r="D15" i="2"/>
  <c r="E15" i="2" s="1"/>
  <c r="H16" i="2"/>
  <c r="H17" i="2"/>
  <c r="C18" i="2"/>
  <c r="B8" i="8" s="1"/>
  <c r="H19" i="2"/>
  <c r="E19" i="2" s="1"/>
  <c r="D20" i="2"/>
  <c r="E20" i="2" s="1"/>
  <c r="C22" i="2"/>
  <c r="C23" i="2" s="1"/>
  <c r="C219" i="2" s="1"/>
  <c r="D25" i="2"/>
  <c r="E25" i="2" s="1"/>
  <c r="H26" i="2"/>
  <c r="E26" i="2" s="1"/>
  <c r="H27" i="2"/>
  <c r="E27" i="2" s="1"/>
  <c r="C28" i="2"/>
  <c r="B9" i="8" s="1"/>
  <c r="H29" i="2"/>
  <c r="D30" i="2"/>
  <c r="E30" i="2" s="1"/>
  <c r="C31" i="2"/>
  <c r="C32" i="2"/>
  <c r="C33" i="2" s="1"/>
  <c r="D35" i="2"/>
  <c r="E35" i="2" s="1"/>
  <c r="H36" i="2"/>
  <c r="H37" i="2"/>
  <c r="C38" i="2"/>
  <c r="B10" i="8" s="1"/>
  <c r="H39" i="2"/>
  <c r="D40" i="2"/>
  <c r="E40" i="2" s="1"/>
  <c r="C41" i="2"/>
  <c r="C42" i="2"/>
  <c r="C43" i="2" s="1"/>
  <c r="D45" i="2"/>
  <c r="E45" i="2" s="1"/>
  <c r="D50" i="2"/>
  <c r="E50" i="2" s="1"/>
  <c r="C51" i="2"/>
  <c r="C52" i="2"/>
  <c r="C53" i="2" s="1"/>
  <c r="D55" i="2"/>
  <c r="C33" i="8" s="1"/>
  <c r="C12" i="8" s="1"/>
  <c r="C71" i="2"/>
  <c r="D71" i="2"/>
  <c r="E71" i="2"/>
  <c r="D75" i="2"/>
  <c r="E75" i="2" s="1"/>
  <c r="D76" i="2"/>
  <c r="H76" i="2"/>
  <c r="H77" i="2"/>
  <c r="C78" i="2"/>
  <c r="B14" i="8" s="1"/>
  <c r="D79" i="2"/>
  <c r="H79" i="2"/>
  <c r="D80" i="2"/>
  <c r="E80" i="2" s="1"/>
  <c r="C81" i="2"/>
  <c r="C82" i="2"/>
  <c r="C83" i="2" s="1"/>
  <c r="D85" i="2"/>
  <c r="E85" i="2" s="1"/>
  <c r="D86" i="2"/>
  <c r="D88" i="2" s="1"/>
  <c r="C15" i="8" s="1"/>
  <c r="H86" i="2"/>
  <c r="H87" i="2"/>
  <c r="C88" i="2"/>
  <c r="B15" i="8" s="1"/>
  <c r="D89" i="2"/>
  <c r="H89" i="2"/>
  <c r="D90" i="2"/>
  <c r="E90" i="2" s="1"/>
  <c r="C91" i="2"/>
  <c r="C92" i="2"/>
  <c r="C93" i="2" s="1"/>
  <c r="D95" i="2"/>
  <c r="E95" i="2" s="1"/>
  <c r="D96" i="2"/>
  <c r="D98" i="2" s="1"/>
  <c r="H96" i="2"/>
  <c r="H97" i="2"/>
  <c r="C98" i="2"/>
  <c r="B16" i="8" s="1"/>
  <c r="D99" i="2"/>
  <c r="H99" i="2"/>
  <c r="D100" i="2"/>
  <c r="E100" i="2" s="1"/>
  <c r="C101" i="2"/>
  <c r="C102" i="2"/>
  <c r="C103" i="2" s="1"/>
  <c r="D105" i="2"/>
  <c r="E105" i="2" s="1"/>
  <c r="C108" i="2"/>
  <c r="B17" i="8" s="1"/>
  <c r="D110" i="2"/>
  <c r="E110" i="2" s="1"/>
  <c r="C111" i="2"/>
  <c r="C112" i="2"/>
  <c r="C113" i="2" s="1"/>
  <c r="D115" i="2"/>
  <c r="E115" i="2" s="1"/>
  <c r="C118" i="2"/>
  <c r="B18" i="8" s="1"/>
  <c r="D120" i="2"/>
  <c r="E120" i="2" s="1"/>
  <c r="C121" i="2"/>
  <c r="C122" i="2"/>
  <c r="C123" i="2" s="1"/>
  <c r="D125" i="2"/>
  <c r="C36" i="8" s="1"/>
  <c r="C19" i="8" s="1"/>
  <c r="C141" i="2"/>
  <c r="D141" i="2"/>
  <c r="E141" i="2"/>
  <c r="D145" i="2"/>
  <c r="E145" i="2" s="1"/>
  <c r="D146" i="2"/>
  <c r="D151" i="2" s="1"/>
  <c r="H146" i="2"/>
  <c r="H147" i="2"/>
  <c r="E147" i="2" s="1"/>
  <c r="C148" i="2"/>
  <c r="B21" i="8" s="1"/>
  <c r="D149" i="2"/>
  <c r="D152" i="2" s="1"/>
  <c r="H149" i="2"/>
  <c r="D150" i="2"/>
  <c r="E150" i="2" s="1"/>
  <c r="C151" i="2"/>
  <c r="C152" i="2"/>
  <c r="C153" i="2" s="1"/>
  <c r="D155" i="2"/>
  <c r="E155" i="2" s="1"/>
  <c r="D156" i="2"/>
  <c r="D161" i="2" s="1"/>
  <c r="H156" i="2"/>
  <c r="H157" i="2"/>
  <c r="C158" i="2"/>
  <c r="B22" i="8" s="1"/>
  <c r="D159" i="2"/>
  <c r="D162" i="2" s="1"/>
  <c r="D163" i="2" s="1"/>
  <c r="H159" i="2"/>
  <c r="D160" i="2"/>
  <c r="E160" i="2" s="1"/>
  <c r="C161" i="2"/>
  <c r="C162" i="2"/>
  <c r="C163" i="2" s="1"/>
  <c r="D165" i="2"/>
  <c r="E165" i="2" s="1"/>
  <c r="D166" i="2"/>
  <c r="H166" i="2"/>
  <c r="H167" i="2"/>
  <c r="C168" i="2"/>
  <c r="B23" i="8" s="1"/>
  <c r="D169" i="2"/>
  <c r="H169" i="2"/>
  <c r="D170" i="2"/>
  <c r="E170" i="2" s="1"/>
  <c r="C171" i="2"/>
  <c r="C172" i="2"/>
  <c r="C173" i="2" s="1"/>
  <c r="D175" i="2"/>
  <c r="E175" i="2" s="1"/>
  <c r="C178" i="2"/>
  <c r="B24" i="8" s="1"/>
  <c r="D180" i="2"/>
  <c r="E180" i="2" s="1"/>
  <c r="C181" i="2"/>
  <c r="C182" i="2"/>
  <c r="C183" i="2" s="1"/>
  <c r="D185" i="2"/>
  <c r="E185" i="2" s="1"/>
  <c r="C188" i="2"/>
  <c r="B25" i="8" s="1"/>
  <c r="D190" i="2"/>
  <c r="E190" i="2" s="1"/>
  <c r="C191" i="2"/>
  <c r="C192" i="2"/>
  <c r="C193" i="2" s="1"/>
  <c r="D195" i="2"/>
  <c r="C39" i="8" s="1"/>
  <c r="C26" i="8" s="1"/>
  <c r="J9" i="1"/>
  <c r="G12" i="1"/>
  <c r="J95" i="1" s="1"/>
  <c r="E16" i="19"/>
  <c r="G16" i="1"/>
  <c r="G14" i="1" s="1"/>
  <c r="G17" i="1"/>
  <c r="G19" i="1"/>
  <c r="H19" i="1" s="1"/>
  <c r="F27" i="1"/>
  <c r="F26" i="1" s="1"/>
  <c r="G27" i="1"/>
  <c r="G31" i="1"/>
  <c r="H31" i="1" s="1"/>
  <c r="G34" i="1"/>
  <c r="H35" i="1"/>
  <c r="K39" i="1"/>
  <c r="K40" i="1"/>
  <c r="H40" i="1" s="1"/>
  <c r="F41" i="1"/>
  <c r="K42" i="1"/>
  <c r="H42" i="1" s="1"/>
  <c r="K43" i="1"/>
  <c r="H43" i="1" s="1"/>
  <c r="K44" i="1"/>
  <c r="H44" i="1" s="1"/>
  <c r="K45" i="1"/>
  <c r="H45" i="1" s="1"/>
  <c r="K46" i="1"/>
  <c r="H46" i="1" s="1"/>
  <c r="G49" i="1"/>
  <c r="K49" i="1"/>
  <c r="K51" i="1"/>
  <c r="H51" i="1" s="1"/>
  <c r="K52" i="1"/>
  <c r="H52" i="1" s="1"/>
  <c r="K53" i="1"/>
  <c r="H53" i="1" s="1"/>
  <c r="K54" i="1"/>
  <c r="H54" i="1" s="1"/>
  <c r="K55" i="1"/>
  <c r="H55" i="1" s="1"/>
  <c r="K56" i="1"/>
  <c r="H56" i="1" s="1"/>
  <c r="K57" i="1"/>
  <c r="H57" i="1" s="1"/>
  <c r="K58" i="1"/>
  <c r="H58" i="1" s="1"/>
  <c r="F60" i="1"/>
  <c r="G60" i="1"/>
  <c r="H60" i="1" s="1"/>
  <c r="K62" i="1"/>
  <c r="H62" i="1" s="1"/>
  <c r="G63" i="1"/>
  <c r="G64" i="1"/>
  <c r="K64" i="1"/>
  <c r="K65" i="1"/>
  <c r="K66" i="1"/>
  <c r="K68" i="1"/>
  <c r="F69" i="1"/>
  <c r="E68" i="11" s="1"/>
  <c r="K70" i="1"/>
  <c r="K71" i="1"/>
  <c r="K72" i="1"/>
  <c r="K73" i="1"/>
  <c r="F74" i="1"/>
  <c r="E69" i="11" s="1"/>
  <c r="K75" i="1"/>
  <c r="K76" i="1"/>
  <c r="H76" i="1" s="1"/>
  <c r="K77" i="1"/>
  <c r="K78" i="1"/>
  <c r="F79" i="1"/>
  <c r="K80" i="1"/>
  <c r="H80" i="1" s="1"/>
  <c r="K81" i="1"/>
  <c r="G79" i="1"/>
  <c r="K82" i="1"/>
  <c r="F83" i="1"/>
  <c r="H84" i="1"/>
  <c r="G85" i="1"/>
  <c r="H85" i="1" s="1"/>
  <c r="G86" i="1"/>
  <c r="H86" i="1" s="1"/>
  <c r="G87" i="1"/>
  <c r="H87" i="1" s="1"/>
  <c r="K88" i="1"/>
  <c r="F89" i="1"/>
  <c r="K90" i="1"/>
  <c r="K91" i="1"/>
  <c r="K92" i="1"/>
  <c r="K93" i="1"/>
  <c r="K94" i="1"/>
  <c r="F95" i="1"/>
  <c r="K96" i="1"/>
  <c r="K98" i="1"/>
  <c r="F99" i="1"/>
  <c r="K100" i="1"/>
  <c r="K101" i="1"/>
  <c r="K103" i="1"/>
  <c r="F104" i="1"/>
  <c r="K67" i="11" s="1"/>
  <c r="K105" i="1"/>
  <c r="K107" i="1"/>
  <c r="K108" i="1"/>
  <c r="F109" i="1"/>
  <c r="K68" i="11" s="1"/>
  <c r="K110" i="1"/>
  <c r="K111" i="1"/>
  <c r="K112" i="1"/>
  <c r="K113" i="1"/>
  <c r="F114" i="1"/>
  <c r="K115" i="1"/>
  <c r="K116" i="1"/>
  <c r="K117" i="1"/>
  <c r="K118" i="1"/>
  <c r="K119" i="1"/>
  <c r="H119" i="1" s="1"/>
  <c r="D154" i="4"/>
  <c r="I17" i="18"/>
  <c r="F7" i="19"/>
  <c r="F43" i="19" s="1"/>
  <c r="H17" i="18"/>
  <c r="D31" i="2"/>
  <c r="D28" i="2"/>
  <c r="C9" i="8" s="1"/>
  <c r="C21" i="2"/>
  <c r="D16" i="2"/>
  <c r="C65" i="2"/>
  <c r="C135" i="2" s="1"/>
  <c r="C205" i="2" s="1"/>
  <c r="E102" i="4"/>
  <c r="D55" i="4"/>
  <c r="I15" i="8" s="1"/>
  <c r="D59" i="4"/>
  <c r="E116" i="4"/>
  <c r="H35" i="8"/>
  <c r="D66" i="4"/>
  <c r="E65" i="4"/>
  <c r="J79" i="16"/>
  <c r="J109" i="16"/>
  <c r="J48" i="16"/>
  <c r="D12" i="4"/>
  <c r="G122" i="4" s="1"/>
  <c r="J87" i="16"/>
  <c r="J104" i="16"/>
  <c r="J69" i="16"/>
  <c r="K38" i="16"/>
  <c r="J41" i="16"/>
  <c r="J15" i="16"/>
  <c r="J50" i="16"/>
  <c r="J114" i="16"/>
  <c r="J99" i="16"/>
  <c r="J74" i="16"/>
  <c r="J95" i="16"/>
  <c r="C16" i="22"/>
  <c r="I24" i="22" s="1"/>
  <c r="F3" i="19" l="1"/>
  <c r="G32" i="1"/>
  <c r="W36" i="18"/>
  <c r="O36" i="18" s="1"/>
  <c r="M9" i="19" s="1"/>
  <c r="W35" i="18"/>
  <c r="Q35" i="18" s="1"/>
  <c r="O8" i="19" s="1"/>
  <c r="E4" i="19"/>
  <c r="F47" i="11"/>
  <c r="K69" i="11"/>
  <c r="D88" i="19"/>
  <c r="E88" i="19" s="1"/>
  <c r="I41" i="8"/>
  <c r="I40" i="8"/>
  <c r="I30" i="8"/>
  <c r="I28" i="8"/>
  <c r="I13" i="8"/>
  <c r="C16" i="8"/>
  <c r="C11" i="8"/>
  <c r="V27" i="18"/>
  <c r="G27" i="18" s="1"/>
  <c r="K27" i="12"/>
  <c r="G61" i="1"/>
  <c r="H63" i="16"/>
  <c r="G61" i="16"/>
  <c r="E192" i="4"/>
  <c r="E191" i="4" s="1"/>
  <c r="J37" i="8" s="1"/>
  <c r="D133" i="4"/>
  <c r="D52" i="4"/>
  <c r="W13" i="18" a="1"/>
  <c r="W13" i="18" s="1"/>
  <c r="G13" i="18" s="1"/>
  <c r="S13" i="18" s="1"/>
  <c r="D82" i="2"/>
  <c r="E215" i="2"/>
  <c r="C67" i="2"/>
  <c r="C137" i="2" s="1"/>
  <c r="C207" i="2" s="1"/>
  <c r="B29" i="8"/>
  <c r="C217" i="2"/>
  <c r="D78" i="2"/>
  <c r="C14" i="8" s="1"/>
  <c r="D191" i="2"/>
  <c r="E133" i="2"/>
  <c r="D35" i="8"/>
  <c r="D38" i="8"/>
  <c r="D32" i="8"/>
  <c r="E33" i="11"/>
  <c r="I54" i="11" s="1"/>
  <c r="E29" i="2"/>
  <c r="E32" i="2" s="1"/>
  <c r="E33" i="2" s="1"/>
  <c r="B44" i="21"/>
  <c r="C44" i="21"/>
  <c r="D108" i="2"/>
  <c r="C17" i="8" s="1"/>
  <c r="H63" i="1"/>
  <c r="E42" i="4"/>
  <c r="D78" i="4"/>
  <c r="D159" i="4" s="1"/>
  <c r="D147" i="4"/>
  <c r="D143" i="4"/>
  <c r="I29" i="8" s="1"/>
  <c r="D200" i="4"/>
  <c r="E63" i="2"/>
  <c r="D48" i="4"/>
  <c r="I14" i="8" s="1"/>
  <c r="D188" i="2"/>
  <c r="C25" i="8" s="1"/>
  <c r="D192" i="2"/>
  <c r="D193" i="2" s="1"/>
  <c r="E179" i="2"/>
  <c r="E182" i="2" s="1"/>
  <c r="E183" i="2" s="1"/>
  <c r="D121" i="2"/>
  <c r="D122" i="2"/>
  <c r="D123" i="2" s="1"/>
  <c r="D101" i="2"/>
  <c r="D92" i="2"/>
  <c r="D52" i="2"/>
  <c r="D53" i="2" s="1"/>
  <c r="D42" i="2"/>
  <c r="D43" i="2" s="1"/>
  <c r="D112" i="2"/>
  <c r="D113" i="2" s="1"/>
  <c r="E28" i="2"/>
  <c r="D9" i="8" s="1"/>
  <c r="D22" i="2"/>
  <c r="D23" i="2" s="1"/>
  <c r="E22" i="2"/>
  <c r="D235" i="4"/>
  <c r="E177" i="4"/>
  <c r="E176" i="4" s="1"/>
  <c r="J34" i="8" s="1"/>
  <c r="E106" i="4"/>
  <c r="E111" i="4"/>
  <c r="E225" i="4"/>
  <c r="E123" i="4"/>
  <c r="E195" i="2"/>
  <c r="D200" i="2"/>
  <c r="C13" i="22"/>
  <c r="C12" i="22"/>
  <c r="L69" i="19"/>
  <c r="H69" i="19"/>
  <c r="E186" i="2"/>
  <c r="C66" i="2"/>
  <c r="C136" i="2" s="1"/>
  <c r="C206" i="2" s="1"/>
  <c r="C218" i="2" s="1"/>
  <c r="C220" i="2" s="1"/>
  <c r="C68" i="2"/>
  <c r="E16" i="2"/>
  <c r="E125" i="2"/>
  <c r="D130" i="2"/>
  <c r="E55" i="2"/>
  <c r="D60" i="2"/>
  <c r="E109" i="2"/>
  <c r="E112" i="2" s="1"/>
  <c r="E113" i="2" s="1"/>
  <c r="E39" i="2"/>
  <c r="E42" i="2" s="1"/>
  <c r="E46" i="2"/>
  <c r="E48" i="2" s="1"/>
  <c r="D11" i="8" s="1"/>
  <c r="D29" i="15"/>
  <c r="E70" i="4"/>
  <c r="C8" i="22"/>
  <c r="E20" i="22" s="1"/>
  <c r="D3" i="22"/>
  <c r="D11" i="22" s="1"/>
  <c r="C7" i="22"/>
  <c r="C15" i="22"/>
  <c r="E220" i="4"/>
  <c r="E204" i="4"/>
  <c r="C14" i="22"/>
  <c r="C11" i="22"/>
  <c r="C10" i="22"/>
  <c r="D221" i="4"/>
  <c r="E58" i="4"/>
  <c r="D81" i="2"/>
  <c r="E33" i="12"/>
  <c r="E66" i="11"/>
  <c r="D214" i="4"/>
  <c r="E96" i="2"/>
  <c r="E132" i="4"/>
  <c r="I21" i="8"/>
  <c r="E197" i="4"/>
  <c r="P69" i="19"/>
  <c r="D126" i="4"/>
  <c r="E96" i="4"/>
  <c r="E77" i="12"/>
  <c r="E86" i="12" s="1"/>
  <c r="E37" i="4"/>
  <c r="D105" i="4"/>
  <c r="I23" i="8" s="1"/>
  <c r="E63" i="4"/>
  <c r="E66" i="4" s="1"/>
  <c r="D231" i="4"/>
  <c r="I43" i="8" s="1"/>
  <c r="I36" i="8"/>
  <c r="E213" i="4"/>
  <c r="I69" i="19"/>
  <c r="D118" i="2"/>
  <c r="C18" i="8" s="1"/>
  <c r="E146" i="4"/>
  <c r="E143" i="4" s="1"/>
  <c r="J29" i="8" s="1"/>
  <c r="I22" i="8"/>
  <c r="G7" i="18"/>
  <c r="E22" i="4"/>
  <c r="E21" i="4" s="1"/>
  <c r="K65" i="12"/>
  <c r="E206" i="4"/>
  <c r="E101" i="4"/>
  <c r="E100" i="4" s="1"/>
  <c r="J22" i="8" s="1"/>
  <c r="E151" i="4"/>
  <c r="E154" i="4" s="1"/>
  <c r="I37" i="8"/>
  <c r="E86" i="2"/>
  <c r="E119" i="2"/>
  <c r="E122" i="2" s="1"/>
  <c r="E76" i="2"/>
  <c r="I33" i="8"/>
  <c r="I12" i="8"/>
  <c r="D172" i="2"/>
  <c r="D173" i="2" s="1"/>
  <c r="D171" i="2"/>
  <c r="E49" i="2"/>
  <c r="E52" i="2" s="1"/>
  <c r="E53" i="2" s="1"/>
  <c r="J89" i="1"/>
  <c r="J109" i="1"/>
  <c r="J50" i="1"/>
  <c r="J74" i="1"/>
  <c r="J104" i="1"/>
  <c r="J41" i="1"/>
  <c r="H38" i="11"/>
  <c r="F86" i="11" s="1"/>
  <c r="F77" i="11" s="1"/>
  <c r="E17" i="19"/>
  <c r="E18" i="19" s="1"/>
  <c r="H131" i="15"/>
  <c r="G87" i="15"/>
  <c r="G139" i="15" s="1"/>
  <c r="G153" i="15" s="1"/>
  <c r="D73" i="4"/>
  <c r="H113" i="14"/>
  <c r="H114" i="14" s="1"/>
  <c r="G117" i="14"/>
  <c r="G123" i="14" s="1"/>
  <c r="E31" i="15"/>
  <c r="G41" i="15" s="1"/>
  <c r="D31" i="15"/>
  <c r="F53" i="19"/>
  <c r="D119" i="4"/>
  <c r="H81" i="15"/>
  <c r="K69" i="19"/>
  <c r="D51" i="2"/>
  <c r="W22" i="18"/>
  <c r="E67" i="11"/>
  <c r="K68" i="12"/>
  <c r="F47" i="16"/>
  <c r="F48" i="12" s="1"/>
  <c r="F47" i="1"/>
  <c r="E65" i="11" s="1"/>
  <c r="C29" i="15"/>
  <c r="H115" i="15"/>
  <c r="G133" i="15"/>
  <c r="H79" i="15"/>
  <c r="L97" i="15"/>
  <c r="N69" i="19"/>
  <c r="F69" i="19"/>
  <c r="D45" i="4"/>
  <c r="D12" i="2"/>
  <c r="E21" i="21" s="1"/>
  <c r="E38" i="21" s="1"/>
  <c r="F23" i="19"/>
  <c r="E211" i="4"/>
  <c r="D129" i="4"/>
  <c r="I27" i="8" s="1"/>
  <c r="E51" i="4"/>
  <c r="E48" i="4" s="1"/>
  <c r="J14" i="8" s="1"/>
  <c r="E227" i="4"/>
  <c r="E228" i="4" s="1"/>
  <c r="G115" i="4"/>
  <c r="H27" i="1"/>
  <c r="H26" i="1" s="1"/>
  <c r="G26" i="1"/>
  <c r="H96" i="15"/>
  <c r="H132" i="15" s="1"/>
  <c r="H179" i="15"/>
  <c r="J15" i="19"/>
  <c r="H38" i="12"/>
  <c r="K38" i="12" s="1"/>
  <c r="H60" i="16"/>
  <c r="D30" i="15"/>
  <c r="L23" i="15"/>
  <c r="L24" i="15" s="1"/>
  <c r="W27" i="15"/>
  <c r="O27" i="15"/>
  <c r="P27" i="15"/>
  <c r="V27" i="15"/>
  <c r="N27" i="15"/>
  <c r="T27" i="15"/>
  <c r="L27" i="15"/>
  <c r="S27" i="15"/>
  <c r="K27" i="15"/>
  <c r="K28" i="15" s="1"/>
  <c r="R27" i="15"/>
  <c r="U27" i="15"/>
  <c r="M27" i="15"/>
  <c r="Q27" i="15"/>
  <c r="G27" i="16"/>
  <c r="E46" i="15"/>
  <c r="G46" i="15" s="1"/>
  <c r="C30" i="15"/>
  <c r="I40" i="15" s="1"/>
  <c r="I81" i="15"/>
  <c r="J77" i="15"/>
  <c r="J79" i="15" s="1"/>
  <c r="J113" i="15"/>
  <c r="J115" i="15" s="1"/>
  <c r="I117" i="15"/>
  <c r="H124" i="15"/>
  <c r="H99" i="15"/>
  <c r="H106" i="15" s="1"/>
  <c r="E99" i="2"/>
  <c r="E102" i="2" s="1"/>
  <c r="E169" i="2"/>
  <c r="E172" i="2" s="1"/>
  <c r="E17" i="2"/>
  <c r="E167" i="2"/>
  <c r="E79" i="2"/>
  <c r="E82" i="2" s="1"/>
  <c r="D168" i="2"/>
  <c r="C23" i="8" s="1"/>
  <c r="E117" i="2"/>
  <c r="E85" i="14"/>
  <c r="E137" i="14" s="1"/>
  <c r="E151" i="14" s="1"/>
  <c r="I41" i="14"/>
  <c r="U27" i="14"/>
  <c r="AD163" i="14" s="1"/>
  <c r="AE163" i="14" s="1"/>
  <c r="AF163" i="14" s="1"/>
  <c r="R27" i="14"/>
  <c r="U163" i="14" s="1"/>
  <c r="V27" i="14"/>
  <c r="AG163" i="14" s="1"/>
  <c r="AH163" i="14" s="1"/>
  <c r="AI163" i="14" s="1"/>
  <c r="W27" i="14"/>
  <c r="AJ163" i="14" s="1"/>
  <c r="AK163" i="14" s="1"/>
  <c r="AL163" i="14" s="1"/>
  <c r="S27" i="14"/>
  <c r="X163" i="14" s="1"/>
  <c r="T27" i="14"/>
  <c r="AA163" i="14" s="1"/>
  <c r="Q27" i="14"/>
  <c r="R163" i="14" s="1"/>
  <c r="I22" i="14"/>
  <c r="I31" i="14" s="1"/>
  <c r="F81" i="14"/>
  <c r="F179" i="14"/>
  <c r="H99" i="14"/>
  <c r="H96" i="14"/>
  <c r="I95" i="14" s="1"/>
  <c r="I116" i="14"/>
  <c r="G77" i="14"/>
  <c r="G79" i="14" s="1"/>
  <c r="G131" i="14" s="1"/>
  <c r="L27" i="14"/>
  <c r="C163" i="14" s="1"/>
  <c r="K27" i="14"/>
  <c r="N27" i="14"/>
  <c r="I163" i="14" s="1"/>
  <c r="L23" i="14"/>
  <c r="L24" i="14" s="1"/>
  <c r="O69" i="19"/>
  <c r="H119" i="16"/>
  <c r="K66" i="12"/>
  <c r="H93" i="16"/>
  <c r="H78" i="16"/>
  <c r="E198" i="4"/>
  <c r="D115" i="4"/>
  <c r="I25" i="8" s="1"/>
  <c r="C75" i="4"/>
  <c r="C156" i="4" s="1"/>
  <c r="C237" i="4" s="1"/>
  <c r="D18" i="2"/>
  <c r="C8" i="8" s="1"/>
  <c r="D91" i="2"/>
  <c r="H110" i="1"/>
  <c r="E77" i="2"/>
  <c r="H77" i="16"/>
  <c r="H68" i="16"/>
  <c r="H53" i="16"/>
  <c r="H42" i="16"/>
  <c r="E234" i="4"/>
  <c r="I35" i="8"/>
  <c r="G90" i="4"/>
  <c r="E2" i="22"/>
  <c r="E17" i="22" s="1"/>
  <c r="E37" i="2"/>
  <c r="J69" i="19"/>
  <c r="E43" i="19"/>
  <c r="E168" i="4"/>
  <c r="E49" i="4"/>
  <c r="E219" i="4"/>
  <c r="G95" i="4"/>
  <c r="D69" i="4"/>
  <c r="I17" i="8" s="1"/>
  <c r="I19" i="8"/>
  <c r="E91" i="4"/>
  <c r="E90" i="4" s="1"/>
  <c r="J20" i="8" s="1"/>
  <c r="G83" i="1"/>
  <c r="D21" i="2"/>
  <c r="G7" i="19"/>
  <c r="G53" i="19" s="1"/>
  <c r="E72" i="4"/>
  <c r="E73" i="4" s="1"/>
  <c r="H71" i="16"/>
  <c r="E86" i="4"/>
  <c r="E85" i="4" s="1"/>
  <c r="J19" i="8" s="1"/>
  <c r="E144" i="4"/>
  <c r="D31" i="4"/>
  <c r="I11" i="8" s="1"/>
  <c r="J114" i="1"/>
  <c r="J38" i="1"/>
  <c r="E159" i="2"/>
  <c r="E162" i="2" s="1"/>
  <c r="H44" i="16"/>
  <c r="J89" i="16"/>
  <c r="J38" i="16"/>
  <c r="E212" i="4"/>
  <c r="E205" i="4"/>
  <c r="E199" i="4"/>
  <c r="E200" i="4" s="1"/>
  <c r="E172" i="4"/>
  <c r="E125" i="4"/>
  <c r="E118" i="4"/>
  <c r="E119" i="4" s="1"/>
  <c r="B64" i="15"/>
  <c r="I21" i="15"/>
  <c r="I29" i="15" s="1"/>
  <c r="G24" i="18"/>
  <c r="E62" i="19" s="1"/>
  <c r="E63" i="19" s="1"/>
  <c r="E52" i="14"/>
  <c r="G52" i="14" s="1"/>
  <c r="K107" i="19"/>
  <c r="H40" i="14"/>
  <c r="F63" i="14"/>
  <c r="F64" i="14" s="1"/>
  <c r="G64" i="14" s="1"/>
  <c r="E46" i="14"/>
  <c r="G46" i="14" s="1"/>
  <c r="E64" i="14"/>
  <c r="H75" i="1"/>
  <c r="H88" i="1"/>
  <c r="H37" i="1"/>
  <c r="K99" i="16"/>
  <c r="G26" i="4"/>
  <c r="H88" i="16"/>
  <c r="H37" i="16"/>
  <c r="K41" i="16"/>
  <c r="G231" i="4"/>
  <c r="H101" i="16"/>
  <c r="H76" i="16"/>
  <c r="H45" i="16"/>
  <c r="D81" i="4"/>
  <c r="H116" i="16"/>
  <c r="G83" i="16"/>
  <c r="H75" i="16"/>
  <c r="H40" i="16"/>
  <c r="K50" i="16"/>
  <c r="G181" i="4"/>
  <c r="G89" i="16"/>
  <c r="H47" i="12" s="1"/>
  <c r="H110" i="16"/>
  <c r="J63" i="16"/>
  <c r="H85" i="16"/>
  <c r="H83" i="16" s="1"/>
  <c r="G69" i="16"/>
  <c r="H57" i="16"/>
  <c r="H80" i="16"/>
  <c r="H56" i="16"/>
  <c r="H46" i="16"/>
  <c r="H113" i="16"/>
  <c r="H55" i="16"/>
  <c r="C162" i="4"/>
  <c r="H73" i="16"/>
  <c r="H58" i="16"/>
  <c r="H113" i="1"/>
  <c r="H103" i="1"/>
  <c r="H91" i="1"/>
  <c r="H34" i="1"/>
  <c r="H115" i="1"/>
  <c r="H70" i="1"/>
  <c r="H93" i="1"/>
  <c r="H16" i="1"/>
  <c r="H14" i="1" s="1"/>
  <c r="S16" i="19"/>
  <c r="H16" i="16"/>
  <c r="H14" i="16" s="1"/>
  <c r="E233" i="4"/>
  <c r="E173" i="4"/>
  <c r="E171" i="4" s="1"/>
  <c r="E124" i="4"/>
  <c r="E97" i="4"/>
  <c r="E64" i="4"/>
  <c r="E62" i="4" s="1"/>
  <c r="J16" i="8" s="1"/>
  <c r="E43" i="4"/>
  <c r="E18" i="4"/>
  <c r="E16" i="4" s="1"/>
  <c r="J8" i="8" s="1"/>
  <c r="E157" i="2"/>
  <c r="D153" i="2"/>
  <c r="D93" i="2"/>
  <c r="K63" i="16"/>
  <c r="D62" i="4"/>
  <c r="I16" i="8" s="1"/>
  <c r="K87" i="16"/>
  <c r="G74" i="16"/>
  <c r="G224" i="4"/>
  <c r="G136" i="4"/>
  <c r="G41" i="4"/>
  <c r="E43" i="21"/>
  <c r="D21" i="4"/>
  <c r="I9" i="8" s="1"/>
  <c r="C158" i="4"/>
  <c r="J61" i="1"/>
  <c r="O27" i="14"/>
  <c r="L163" i="14" s="1"/>
  <c r="H98" i="1"/>
  <c r="G109" i="16"/>
  <c r="G95" i="16"/>
  <c r="H92" i="16"/>
  <c r="E112" i="4"/>
  <c r="K109" i="16"/>
  <c r="E137" i="4"/>
  <c r="D196" i="4"/>
  <c r="I38" i="8" s="1"/>
  <c r="E166" i="2"/>
  <c r="E168" i="2" s="1"/>
  <c r="D23" i="8" s="1"/>
  <c r="E89" i="2"/>
  <c r="E92" i="2" s="1"/>
  <c r="H115" i="16"/>
  <c r="H111" i="16"/>
  <c r="H107" i="16"/>
  <c r="H104" i="16" s="1"/>
  <c r="H72" i="16"/>
  <c r="E130" i="4"/>
  <c r="E52" i="15"/>
  <c r="G52" i="15" s="1"/>
  <c r="E218" i="4"/>
  <c r="D111" i="2"/>
  <c r="E188" i="4"/>
  <c r="E186" i="4" s="1"/>
  <c r="J36" i="8" s="1"/>
  <c r="B64" i="14"/>
  <c r="H73" i="1"/>
  <c r="H118" i="16"/>
  <c r="H91" i="16"/>
  <c r="H51" i="16"/>
  <c r="H17" i="16"/>
  <c r="E26" i="4"/>
  <c r="J10" i="8" s="1"/>
  <c r="E106" i="2"/>
  <c r="E111" i="2" s="1"/>
  <c r="E176" i="2"/>
  <c r="E178" i="2" s="1"/>
  <c r="D24" i="8" s="1"/>
  <c r="E12" i="4"/>
  <c r="H129" i="4" s="1"/>
  <c r="K74" i="16"/>
  <c r="G166" i="4"/>
  <c r="G210" i="4"/>
  <c r="G129" i="4"/>
  <c r="M27" i="14"/>
  <c r="F163" i="14" s="1"/>
  <c r="E182" i="4"/>
  <c r="E181" i="4" s="1"/>
  <c r="J35" i="8" s="1"/>
  <c r="H107" i="1"/>
  <c r="E87" i="2"/>
  <c r="H94" i="16"/>
  <c r="H90" i="16"/>
  <c r="H66" i="16"/>
  <c r="H54" i="16"/>
  <c r="I32" i="8"/>
  <c r="E139" i="4"/>
  <c r="E136" i="4" s="1"/>
  <c r="J28" i="8" s="1"/>
  <c r="D77" i="4"/>
  <c r="G110" i="4"/>
  <c r="K104" i="16"/>
  <c r="K79" i="16"/>
  <c r="G217" i="4"/>
  <c r="G21" i="4"/>
  <c r="G203" i="4"/>
  <c r="D102" i="2"/>
  <c r="D103" i="2" s="1"/>
  <c r="G69" i="19"/>
  <c r="G99" i="16"/>
  <c r="H65" i="16"/>
  <c r="H49" i="16"/>
  <c r="G15" i="16"/>
  <c r="E57" i="15"/>
  <c r="G57" i="15" s="1"/>
  <c r="G31" i="4"/>
  <c r="P27" i="14"/>
  <c r="K95" i="16"/>
  <c r="K89" i="16"/>
  <c r="G62" i="4"/>
  <c r="G143" i="4"/>
  <c r="G196" i="4"/>
  <c r="E44" i="4"/>
  <c r="E38" i="4"/>
  <c r="H12" i="1"/>
  <c r="K48" i="1" s="1"/>
  <c r="H66" i="1"/>
  <c r="I34" i="8"/>
  <c r="E107" i="4"/>
  <c r="G191" i="4"/>
  <c r="K114" i="16"/>
  <c r="K15" i="16"/>
  <c r="K69" i="16"/>
  <c r="K48" i="16"/>
  <c r="G186" i="4"/>
  <c r="D162" i="4"/>
  <c r="G105" i="4"/>
  <c r="K65" i="11"/>
  <c r="H71" i="1"/>
  <c r="D83" i="2"/>
  <c r="M69" i="19"/>
  <c r="E23" i="19"/>
  <c r="H81" i="16"/>
  <c r="H64" i="16"/>
  <c r="H43" i="16"/>
  <c r="I20" i="8"/>
  <c r="D16" i="4"/>
  <c r="I8" i="8" s="1"/>
  <c r="E232" i="4"/>
  <c r="E32" i="4"/>
  <c r="E31" i="4" s="1"/>
  <c r="J11" i="8" s="1"/>
  <c r="D110" i="4"/>
  <c r="I24" i="8" s="1"/>
  <c r="E36" i="2"/>
  <c r="E38" i="2" s="1"/>
  <c r="D10" i="8" s="1"/>
  <c r="E187" i="2"/>
  <c r="H21" i="14"/>
  <c r="H30" i="14" s="1"/>
  <c r="F105" i="19"/>
  <c r="N49" i="18"/>
  <c r="E51" i="14"/>
  <c r="G51" i="14" s="1"/>
  <c r="Q29" i="18"/>
  <c r="O72" i="19" s="1"/>
  <c r="O73" i="19" s="1"/>
  <c r="I86" i="19"/>
  <c r="L87" i="19"/>
  <c r="E58" i="14"/>
  <c r="G58" i="14" s="1"/>
  <c r="B74" i="11"/>
  <c r="N11" i="11"/>
  <c r="N85" i="19"/>
  <c r="O108" i="19"/>
  <c r="F106" i="19"/>
  <c r="Q106" i="19" s="1"/>
  <c r="E21" i="2"/>
  <c r="E31" i="2"/>
  <c r="E97" i="2"/>
  <c r="D158" i="2"/>
  <c r="C22" i="8" s="1"/>
  <c r="D41" i="2"/>
  <c r="D181" i="2"/>
  <c r="E116" i="2"/>
  <c r="D65" i="2"/>
  <c r="D148" i="2"/>
  <c r="C21" i="8" s="1"/>
  <c r="E146" i="2"/>
  <c r="D178" i="2"/>
  <c r="C24" i="8" s="1"/>
  <c r="E149" i="2"/>
  <c r="E152" i="2" s="1"/>
  <c r="E153" i="2" s="1"/>
  <c r="E156" i="2"/>
  <c r="E189" i="2"/>
  <c r="E192" i="2" s="1"/>
  <c r="D38" i="2"/>
  <c r="C10" i="8" s="1"/>
  <c r="H117" i="1"/>
  <c r="H82" i="1"/>
  <c r="G109" i="1"/>
  <c r="H116" i="1"/>
  <c r="H111" i="1"/>
  <c r="H94" i="1"/>
  <c r="H81" i="1"/>
  <c r="H68" i="1"/>
  <c r="H49" i="1"/>
  <c r="H48" i="1" s="1"/>
  <c r="H105" i="1"/>
  <c r="G69" i="1"/>
  <c r="K66" i="11"/>
  <c r="H118" i="1"/>
  <c r="G74" i="1"/>
  <c r="H65" i="1"/>
  <c r="D67" i="18"/>
  <c r="I39" i="15"/>
  <c r="N13" i="12"/>
  <c r="H22" i="15"/>
  <c r="H30" i="15" s="1"/>
  <c r="E56" i="4"/>
  <c r="D26" i="4"/>
  <c r="I10" i="8" s="1"/>
  <c r="D207" i="4"/>
  <c r="H36" i="8"/>
  <c r="H19" i="8"/>
  <c r="H12" i="8"/>
  <c r="E152" i="4"/>
  <c r="E150" i="4" s="1"/>
  <c r="J30" i="8" s="1"/>
  <c r="D140" i="4"/>
  <c r="E117" i="4"/>
  <c r="C76" i="4"/>
  <c r="C157" i="4" s="1"/>
  <c r="C238" i="4" s="1"/>
  <c r="G36" i="4"/>
  <c r="G48" i="4"/>
  <c r="G150" i="4"/>
  <c r="G55" i="4"/>
  <c r="G171" i="4"/>
  <c r="D203" i="4"/>
  <c r="I39" i="8" s="1"/>
  <c r="E167" i="4"/>
  <c r="D224" i="4"/>
  <c r="I42" i="8" s="1"/>
  <c r="G176" i="4"/>
  <c r="G69" i="4"/>
  <c r="G16" i="4"/>
  <c r="G85" i="4" s="1"/>
  <c r="G100" i="4"/>
  <c r="H16" i="19"/>
  <c r="H112" i="16"/>
  <c r="H100" i="16"/>
  <c r="G79" i="16"/>
  <c r="G41" i="16"/>
  <c r="H98" i="16"/>
  <c r="H95" i="16" s="1"/>
  <c r="E47" i="14"/>
  <c r="G47" i="14" s="1"/>
  <c r="G23" i="14"/>
  <c r="G32" i="14" s="1"/>
  <c r="I23" i="14"/>
  <c r="I32" i="14" s="1"/>
  <c r="I21" i="14"/>
  <c r="I30" i="14" s="1"/>
  <c r="H23" i="14"/>
  <c r="H32" i="14" s="1"/>
  <c r="H39" i="14"/>
  <c r="I39" i="14"/>
  <c r="G21" i="14"/>
  <c r="G30" i="14" s="1"/>
  <c r="G41" i="14"/>
  <c r="G39" i="14"/>
  <c r="E53" i="14"/>
  <c r="G53" i="14" s="1"/>
  <c r="E48" i="14"/>
  <c r="G48" i="14" s="1"/>
  <c r="G39" i="15"/>
  <c r="H39" i="15"/>
  <c r="E51" i="15"/>
  <c r="G51" i="15" s="1"/>
  <c r="G21" i="15"/>
  <c r="G29" i="15" s="1"/>
  <c r="H21" i="15"/>
  <c r="H29" i="15" s="1"/>
  <c r="E53" i="15"/>
  <c r="G53" i="15" s="1"/>
  <c r="E47" i="15"/>
  <c r="G40" i="15"/>
  <c r="G22" i="15"/>
  <c r="B33" i="15"/>
  <c r="H40" i="15"/>
  <c r="D56" i="15"/>
  <c r="I22" i="15"/>
  <c r="F40" i="12"/>
  <c r="P107" i="19"/>
  <c r="H22" i="14"/>
  <c r="H31" i="14" s="1"/>
  <c r="G40" i="14"/>
  <c r="D56" i="14"/>
  <c r="G22" i="14"/>
  <c r="G31" i="14" s="1"/>
  <c r="D21" i="21"/>
  <c r="D38" i="21" s="1"/>
  <c r="E109" i="19"/>
  <c r="L109" i="19"/>
  <c r="K109" i="19"/>
  <c r="D43" i="21"/>
  <c r="J109" i="19"/>
  <c r="F109" i="19"/>
  <c r="F63" i="15"/>
  <c r="F64" i="15" s="1"/>
  <c r="G64" i="15" s="1"/>
  <c r="I109" i="19"/>
  <c r="C9" i="17"/>
  <c r="D9" i="17" s="1"/>
  <c r="E9" i="17" s="1"/>
  <c r="H14" i="17" s="1"/>
  <c r="I107" i="19"/>
  <c r="N109" i="19"/>
  <c r="D61" i="17"/>
  <c r="J107" i="19"/>
  <c r="O109" i="19"/>
  <c r="H109" i="19"/>
  <c r="J15" i="1"/>
  <c r="J69" i="1"/>
  <c r="J63" i="1"/>
  <c r="J99" i="1"/>
  <c r="H92" i="1"/>
  <c r="H72" i="1"/>
  <c r="G15" i="19"/>
  <c r="E107" i="19"/>
  <c r="E81" i="17"/>
  <c r="G48" i="1"/>
  <c r="G47" i="1" s="1"/>
  <c r="D60" i="17"/>
  <c r="L107" i="19"/>
  <c r="M109" i="19"/>
  <c r="D21" i="17"/>
  <c r="J48" i="1"/>
  <c r="H101" i="1"/>
  <c r="H78" i="1"/>
  <c r="F107" i="19"/>
  <c r="N107" i="19"/>
  <c r="G114" i="1"/>
  <c r="G107" i="19"/>
  <c r="M107" i="19"/>
  <c r="P109" i="19"/>
  <c r="E60" i="17"/>
  <c r="C72" i="2"/>
  <c r="J79" i="1"/>
  <c r="J87" i="1"/>
  <c r="H100" i="1"/>
  <c r="H39" i="1"/>
  <c r="O107" i="19"/>
  <c r="H112" i="1"/>
  <c r="H107" i="19"/>
  <c r="G41" i="1"/>
  <c r="H108" i="1"/>
  <c r="G104" i="1"/>
  <c r="O29" i="18"/>
  <c r="M72" i="19" s="1"/>
  <c r="M73" i="19" s="1"/>
  <c r="H96" i="1"/>
  <c r="G95" i="1"/>
  <c r="H64" i="1"/>
  <c r="M85" i="19"/>
  <c r="H90" i="1"/>
  <c r="G89" i="1"/>
  <c r="H77" i="1"/>
  <c r="H83" i="1"/>
  <c r="G15" i="1"/>
  <c r="H17" i="1"/>
  <c r="D51" i="17"/>
  <c r="E44" i="17"/>
  <c r="E51" i="17" s="1"/>
  <c r="R16" i="19"/>
  <c r="R17" i="19" s="1"/>
  <c r="R18" i="19" s="1"/>
  <c r="E70" i="17"/>
  <c r="D41" i="17"/>
  <c r="D70" i="17"/>
  <c r="C83" i="17"/>
  <c r="E34" i="17"/>
  <c r="E41" i="17" s="1"/>
  <c r="E20" i="17"/>
  <c r="E21" i="17"/>
  <c r="E30" i="17"/>
  <c r="E31" i="17"/>
  <c r="D20" i="17"/>
  <c r="D31" i="17"/>
  <c r="D71" i="17"/>
  <c r="D84" i="17"/>
  <c r="D50" i="17"/>
  <c r="E71" i="17"/>
  <c r="E80" i="17"/>
  <c r="D80" i="17"/>
  <c r="D40" i="17"/>
  <c r="D81" i="17"/>
  <c r="D11" i="17"/>
  <c r="D30" i="17"/>
  <c r="C221" i="2" l="1"/>
  <c r="C223" i="2"/>
  <c r="C224" i="2" s="1"/>
  <c r="H32" i="1"/>
  <c r="G38" i="1"/>
  <c r="E222" i="2"/>
  <c r="W44" i="18"/>
  <c r="H44" i="18" s="1"/>
  <c r="S44" i="18" s="1"/>
  <c r="T88" i="19"/>
  <c r="J88" i="19"/>
  <c r="F88" i="19"/>
  <c r="L88" i="19"/>
  <c r="K88" i="19"/>
  <c r="O88" i="19"/>
  <c r="H88" i="19"/>
  <c r="N88" i="19"/>
  <c r="I88" i="19"/>
  <c r="P88" i="19"/>
  <c r="G88" i="19"/>
  <c r="M88" i="19"/>
  <c r="M114" i="19"/>
  <c r="J114" i="19"/>
  <c r="O114" i="19"/>
  <c r="O103" i="19" s="1"/>
  <c r="H114" i="19"/>
  <c r="N114" i="19"/>
  <c r="G114" i="19"/>
  <c r="L114" i="19"/>
  <c r="F114" i="19"/>
  <c r="I114" i="19"/>
  <c r="P114" i="19"/>
  <c r="E114" i="19"/>
  <c r="K114" i="19"/>
  <c r="D89" i="19"/>
  <c r="E89" i="19" s="1"/>
  <c r="H61" i="1"/>
  <c r="H61" i="16"/>
  <c r="D7" i="22"/>
  <c r="D8" i="22"/>
  <c r="D61" i="2"/>
  <c r="D216" i="2"/>
  <c r="D67" i="2"/>
  <c r="D137" i="2" s="1"/>
  <c r="D207" i="2" s="1"/>
  <c r="D219" i="2"/>
  <c r="E95" i="4"/>
  <c r="J21" i="8" s="1"/>
  <c r="E188" i="2"/>
  <c r="D25" i="8" s="1"/>
  <c r="D36" i="8"/>
  <c r="D19" i="8" s="1"/>
  <c r="E130" i="2" s="1"/>
  <c r="E131" i="2" s="1"/>
  <c r="D33" i="8"/>
  <c r="D12" i="8" s="1"/>
  <c r="E60" i="2" s="1"/>
  <c r="D39" i="8"/>
  <c r="D26" i="8" s="1"/>
  <c r="E200" i="2" s="1"/>
  <c r="E191" i="2"/>
  <c r="W48" i="18"/>
  <c r="G48" i="18" s="1"/>
  <c r="D13" i="22"/>
  <c r="E207" i="4"/>
  <c r="E45" i="4"/>
  <c r="E166" i="4"/>
  <c r="J32" i="8" s="1"/>
  <c r="E23" i="2"/>
  <c r="E221" i="4"/>
  <c r="E214" i="4"/>
  <c r="E78" i="4"/>
  <c r="E159" i="4" s="1"/>
  <c r="C239" i="4"/>
  <c r="F44" i="12" s="1"/>
  <c r="E59" i="4"/>
  <c r="E126" i="4"/>
  <c r="E133" i="4"/>
  <c r="E140" i="4"/>
  <c r="E147" i="4"/>
  <c r="E217" i="4"/>
  <c r="J41" i="8" s="1"/>
  <c r="E105" i="4"/>
  <c r="J23" i="8" s="1"/>
  <c r="E98" i="2"/>
  <c r="D16" i="8" s="1"/>
  <c r="E88" i="2"/>
  <c r="D15" i="8" s="1"/>
  <c r="D135" i="2"/>
  <c r="D205" i="2" s="1"/>
  <c r="D217" i="2" s="1"/>
  <c r="F41" i="11"/>
  <c r="D16" i="22"/>
  <c r="J24" i="22" s="1"/>
  <c r="E3" i="22"/>
  <c r="E10" i="22" s="1"/>
  <c r="D12" i="22"/>
  <c r="D15" i="22"/>
  <c r="D14" i="22"/>
  <c r="D9" i="22"/>
  <c r="D10" i="22"/>
  <c r="G21" i="22" s="1"/>
  <c r="E235" i="4"/>
  <c r="F41" i="12"/>
  <c r="G22" i="22"/>
  <c r="E110" i="4"/>
  <c r="J24" i="8" s="1"/>
  <c r="E55" i="4"/>
  <c r="J15" i="8" s="1"/>
  <c r="C138" i="2"/>
  <c r="C208" i="2" s="1"/>
  <c r="C209" i="2" s="1"/>
  <c r="D131" i="2"/>
  <c r="G63" i="14"/>
  <c r="G66" i="14" s="1"/>
  <c r="D66" i="2"/>
  <c r="D136" i="2" s="1"/>
  <c r="E51" i="2"/>
  <c r="D68" i="2"/>
  <c r="D138" i="2" s="1"/>
  <c r="D208" i="2" s="1"/>
  <c r="H44" i="11" s="1"/>
  <c r="E43" i="2"/>
  <c r="G35" i="2"/>
  <c r="E91" i="2"/>
  <c r="E101" i="2"/>
  <c r="E108" i="2"/>
  <c r="D17" i="8" s="1"/>
  <c r="H23" i="22"/>
  <c r="G25" i="2"/>
  <c r="G185" i="2" s="1"/>
  <c r="G15" i="2"/>
  <c r="G75" i="2" s="1"/>
  <c r="F21" i="22"/>
  <c r="H117" i="14"/>
  <c r="H124" i="14" s="1"/>
  <c r="D72" i="2"/>
  <c r="I18" i="8"/>
  <c r="J9" i="8"/>
  <c r="E129" i="4"/>
  <c r="J27" i="8" s="1"/>
  <c r="E203" i="4"/>
  <c r="J39" i="8" s="1"/>
  <c r="J33" i="8"/>
  <c r="E122" i="4"/>
  <c r="J26" i="8" s="1"/>
  <c r="H41" i="15"/>
  <c r="H43" i="15" s="1"/>
  <c r="E68" i="19"/>
  <c r="S27" i="18"/>
  <c r="H48" i="11"/>
  <c r="F48" i="11"/>
  <c r="Q104" i="19"/>
  <c r="U25" i="18"/>
  <c r="U24" i="18"/>
  <c r="U23" i="18"/>
  <c r="R14" i="19"/>
  <c r="R30" i="19" s="1"/>
  <c r="D142" i="2"/>
  <c r="E115" i="4"/>
  <c r="J25" i="8" s="1"/>
  <c r="E103" i="2"/>
  <c r="I23" i="15"/>
  <c r="I31" i="15" s="1"/>
  <c r="E210" i="4"/>
  <c r="J40" i="8" s="1"/>
  <c r="K114" i="1"/>
  <c r="E93" i="2"/>
  <c r="I41" i="15"/>
  <c r="H21" i="4"/>
  <c r="G23" i="15"/>
  <c r="G31" i="15" s="1"/>
  <c r="E171" i="2"/>
  <c r="E224" i="4"/>
  <c r="J42" i="8" s="1"/>
  <c r="H23" i="15"/>
  <c r="H31" i="15" s="1"/>
  <c r="H33" i="15" s="1"/>
  <c r="E36" i="4"/>
  <c r="J12" i="8" s="1"/>
  <c r="H99" i="16"/>
  <c r="P25" i="18"/>
  <c r="N64" i="19" s="1"/>
  <c r="N65" i="19" s="1"/>
  <c r="E123" i="2"/>
  <c r="E78" i="2"/>
  <c r="D14" i="8" s="1"/>
  <c r="E81" i="2"/>
  <c r="G30" i="1"/>
  <c r="H18" i="8"/>
  <c r="H31" i="8" s="1"/>
  <c r="H44" i="8" s="1"/>
  <c r="H46" i="8" s="1"/>
  <c r="E173" i="2"/>
  <c r="H17" i="19"/>
  <c r="H18" i="19" s="1"/>
  <c r="H19" i="19" s="1"/>
  <c r="H20" i="19" s="1"/>
  <c r="E19" i="19"/>
  <c r="E20" i="19" s="1"/>
  <c r="C33" i="15"/>
  <c r="F28" i="1"/>
  <c r="H98" i="15"/>
  <c r="H88" i="15"/>
  <c r="H140" i="15" s="1"/>
  <c r="H154" i="15" s="1"/>
  <c r="E52" i="4"/>
  <c r="W38" i="18"/>
  <c r="F77" i="12"/>
  <c r="F86" i="12" s="1"/>
  <c r="G77" i="12"/>
  <c r="G86" i="12" s="1"/>
  <c r="G43" i="19"/>
  <c r="E41" i="2"/>
  <c r="W31" i="18"/>
  <c r="P31" i="18" s="1"/>
  <c r="W30" i="18"/>
  <c r="O30" i="18" s="1"/>
  <c r="W28" i="18"/>
  <c r="I28" i="18" s="1"/>
  <c r="G70" i="19" s="1"/>
  <c r="G71" i="19" s="1"/>
  <c r="H47" i="11"/>
  <c r="W26" i="18"/>
  <c r="I26" i="18" s="1"/>
  <c r="G66" i="19" s="1"/>
  <c r="G67" i="19" s="1"/>
  <c r="L22" i="18"/>
  <c r="J58" i="19" s="1"/>
  <c r="J59" i="19" s="1"/>
  <c r="I85" i="19"/>
  <c r="H85" i="19"/>
  <c r="H133" i="15"/>
  <c r="I95" i="15"/>
  <c r="I98" i="15" s="1"/>
  <c r="M97" i="15"/>
  <c r="H114" i="1"/>
  <c r="F86" i="14"/>
  <c r="F138" i="14" s="1"/>
  <c r="F152" i="14" s="1"/>
  <c r="F133" i="14"/>
  <c r="H115" i="14"/>
  <c r="I113" i="14"/>
  <c r="I115" i="14" s="1"/>
  <c r="I99" i="14"/>
  <c r="I107" i="14" s="1"/>
  <c r="I97" i="14"/>
  <c r="H97" i="14"/>
  <c r="I24" i="18"/>
  <c r="G62" i="19" s="1"/>
  <c r="G63" i="19" s="1"/>
  <c r="N24" i="18"/>
  <c r="L62" i="19" s="1"/>
  <c r="L63" i="19" s="1"/>
  <c r="R24" i="18"/>
  <c r="P62" i="19" s="1"/>
  <c r="P63" i="19" s="1"/>
  <c r="K24" i="18"/>
  <c r="I62" i="19" s="1"/>
  <c r="I63" i="19" s="1"/>
  <c r="V29" i="18"/>
  <c r="G23" i="19"/>
  <c r="H79" i="16"/>
  <c r="J24" i="18"/>
  <c r="H62" i="19" s="1"/>
  <c r="H63" i="19" s="1"/>
  <c r="V24" i="18"/>
  <c r="M24" i="18"/>
  <c r="K62" i="19" s="1"/>
  <c r="K63" i="19" s="1"/>
  <c r="Q24" i="18"/>
  <c r="O62" i="19" s="1"/>
  <c r="O63" i="19" s="1"/>
  <c r="L24" i="18"/>
  <c r="J62" i="19" s="1"/>
  <c r="J63" i="19" s="1"/>
  <c r="H24" i="18"/>
  <c r="F62" i="19" s="1"/>
  <c r="F63" i="19" s="1"/>
  <c r="E77" i="4"/>
  <c r="H26" i="4"/>
  <c r="H16" i="4"/>
  <c r="H85" i="4" s="1"/>
  <c r="H143" i="4"/>
  <c r="H114" i="16"/>
  <c r="H74" i="16"/>
  <c r="H69" i="16"/>
  <c r="H41" i="16"/>
  <c r="H34" i="14"/>
  <c r="G34" i="14"/>
  <c r="I34" i="14"/>
  <c r="O24" i="18"/>
  <c r="M62" i="19" s="1"/>
  <c r="M63" i="19" s="1"/>
  <c r="P24" i="18"/>
  <c r="N62" i="19" s="1"/>
  <c r="N63" i="19" s="1"/>
  <c r="J85" i="19"/>
  <c r="H27" i="16"/>
  <c r="H26" i="16" s="1"/>
  <c r="G26" i="16"/>
  <c r="W52" i="18" s="1"/>
  <c r="N52" i="18" s="1"/>
  <c r="H41" i="14"/>
  <c r="H43" i="14" s="1"/>
  <c r="R28" i="15"/>
  <c r="R29" i="15" s="1"/>
  <c r="U162" i="15" s="1"/>
  <c r="U163" i="15"/>
  <c r="O28" i="15"/>
  <c r="O29" i="15" s="1"/>
  <c r="L162" i="15" s="1"/>
  <c r="M175" i="15"/>
  <c r="L163" i="15"/>
  <c r="L174" i="15"/>
  <c r="N176" i="15"/>
  <c r="B164" i="15"/>
  <c r="B194" i="15" s="1"/>
  <c r="B163" i="15"/>
  <c r="W28" i="15"/>
  <c r="W29" i="15" s="1"/>
  <c r="AJ162" i="15" s="1"/>
  <c r="AJ163" i="15"/>
  <c r="AK163" i="15" s="1"/>
  <c r="AL163" i="15" s="1"/>
  <c r="S28" i="15"/>
  <c r="S29" i="15" s="1"/>
  <c r="X162" i="15" s="1"/>
  <c r="X163" i="15"/>
  <c r="L28" i="15"/>
  <c r="L29" i="15" s="1"/>
  <c r="C162" i="15" s="1"/>
  <c r="E167" i="15"/>
  <c r="E197" i="15" s="1"/>
  <c r="D166" i="15"/>
  <c r="D196" i="15" s="1"/>
  <c r="C163" i="15"/>
  <c r="C165" i="15"/>
  <c r="C195" i="15" s="1"/>
  <c r="T28" i="15"/>
  <c r="T29" i="15" s="1"/>
  <c r="AA162" i="15" s="1"/>
  <c r="AA163" i="15"/>
  <c r="Q28" i="15"/>
  <c r="Q29" i="15" s="1"/>
  <c r="R162" i="15" s="1"/>
  <c r="R163" i="15"/>
  <c r="N28" i="15"/>
  <c r="N29" i="15" s="1"/>
  <c r="I162" i="15" s="1"/>
  <c r="K173" i="15"/>
  <c r="J172" i="15"/>
  <c r="I171" i="15"/>
  <c r="I163" i="15"/>
  <c r="M28" i="15"/>
  <c r="M29" i="15" s="1"/>
  <c r="F162" i="15" s="1"/>
  <c r="F163" i="15"/>
  <c r="F168" i="15"/>
  <c r="F198" i="15" s="1"/>
  <c r="H170" i="15"/>
  <c r="G169" i="15"/>
  <c r="G199" i="15" s="1"/>
  <c r="V28" i="15"/>
  <c r="V29" i="15" s="1"/>
  <c r="AG162" i="15" s="1"/>
  <c r="AG163" i="15"/>
  <c r="AH163" i="15" s="1"/>
  <c r="AI163" i="15" s="1"/>
  <c r="U28" i="15"/>
  <c r="U29" i="15" s="1"/>
  <c r="AD162" i="15" s="1"/>
  <c r="AD163" i="15"/>
  <c r="AE163" i="15" s="1"/>
  <c r="AF163" i="15" s="1"/>
  <c r="P28" i="15"/>
  <c r="P29" i="15" s="1"/>
  <c r="O162" i="15" s="1"/>
  <c r="O163" i="15"/>
  <c r="G63" i="15"/>
  <c r="G66" i="15" s="1"/>
  <c r="D33" i="15"/>
  <c r="K29" i="15"/>
  <c r="B162" i="15" s="1"/>
  <c r="I43" i="15"/>
  <c r="E33" i="15"/>
  <c r="I125" i="15"/>
  <c r="J117" i="15"/>
  <c r="K113" i="15"/>
  <c r="K115" i="15" s="1"/>
  <c r="J81" i="15"/>
  <c r="K77" i="15"/>
  <c r="K79" i="15" s="1"/>
  <c r="I89" i="15"/>
  <c r="C69" i="2"/>
  <c r="E83" i="2"/>
  <c r="E18" i="2"/>
  <c r="D8" i="8" s="1"/>
  <c r="B13" i="8"/>
  <c r="B20" i="8" s="1"/>
  <c r="B27" i="8" s="1"/>
  <c r="B30" i="8" s="1"/>
  <c r="H74" i="1"/>
  <c r="P28" i="14"/>
  <c r="P29" i="14" s="1"/>
  <c r="O162" i="14" s="1"/>
  <c r="O180" i="14" s="1"/>
  <c r="O163" i="14"/>
  <c r="Y163" i="14"/>
  <c r="S163" i="14"/>
  <c r="AB163" i="14"/>
  <c r="AC163" i="14" s="1"/>
  <c r="M163" i="14"/>
  <c r="D163" i="14"/>
  <c r="V163" i="14"/>
  <c r="G163" i="14"/>
  <c r="J163" i="14"/>
  <c r="O28" i="14"/>
  <c r="O29" i="14" s="1"/>
  <c r="L162" i="14" s="1"/>
  <c r="M175" i="14"/>
  <c r="N176" i="14"/>
  <c r="L174" i="14"/>
  <c r="N28" i="14"/>
  <c r="N29" i="14" s="1"/>
  <c r="I162" i="14" s="1"/>
  <c r="K173" i="14"/>
  <c r="J172" i="14"/>
  <c r="I171" i="14"/>
  <c r="H170" i="14"/>
  <c r="F168" i="14"/>
  <c r="G169" i="14"/>
  <c r="L28" i="14"/>
  <c r="L29" i="14" s="1"/>
  <c r="C162" i="14" s="1"/>
  <c r="E167" i="14"/>
  <c r="E197" i="14" s="1"/>
  <c r="D166" i="14"/>
  <c r="D196" i="14" s="1"/>
  <c r="C165" i="14"/>
  <c r="C195" i="14" s="1"/>
  <c r="Q28" i="14"/>
  <c r="Q29" i="14" s="1"/>
  <c r="R162" i="14" s="1"/>
  <c r="T28" i="14"/>
  <c r="T29" i="14" s="1"/>
  <c r="AA162" i="14" s="1"/>
  <c r="S28" i="14"/>
  <c r="S29" i="14" s="1"/>
  <c r="X162" i="14" s="1"/>
  <c r="W28" i="14"/>
  <c r="W29" i="14" s="1"/>
  <c r="AJ162" i="14" s="1"/>
  <c r="V28" i="14"/>
  <c r="V29" i="14" s="1"/>
  <c r="AG162" i="14" s="1"/>
  <c r="R28" i="14"/>
  <c r="R29" i="14" s="1"/>
  <c r="U162" i="14" s="1"/>
  <c r="M28" i="14"/>
  <c r="M29" i="14" s="1"/>
  <c r="F162" i="14" s="1"/>
  <c r="U28" i="14"/>
  <c r="U29" i="14" s="1"/>
  <c r="AD162" i="14" s="1"/>
  <c r="I40" i="14"/>
  <c r="I43" i="14" s="1"/>
  <c r="J95" i="14"/>
  <c r="H106" i="14"/>
  <c r="G179" i="14"/>
  <c r="G81" i="14"/>
  <c r="G133" i="14" s="1"/>
  <c r="J116" i="14"/>
  <c r="H77" i="14"/>
  <c r="K28" i="14"/>
  <c r="K29" i="14" s="1"/>
  <c r="H79" i="1"/>
  <c r="R22" i="18"/>
  <c r="P58" i="19" s="1"/>
  <c r="P59" i="19" s="1"/>
  <c r="Q22" i="18"/>
  <c r="O58" i="19" s="1"/>
  <c r="O59" i="19" s="1"/>
  <c r="F2" i="22"/>
  <c r="F17" i="22" s="1"/>
  <c r="J17" i="18"/>
  <c r="H7" i="19"/>
  <c r="H224" i="4"/>
  <c r="H210" i="4"/>
  <c r="H231" i="4"/>
  <c r="H31" i="4"/>
  <c r="H186" i="4"/>
  <c r="H41" i="4"/>
  <c r="H69" i="4"/>
  <c r="E65" i="2"/>
  <c r="K99" i="1"/>
  <c r="K38" i="1"/>
  <c r="H105" i="4"/>
  <c r="H136" i="4"/>
  <c r="E81" i="4"/>
  <c r="H181" i="4"/>
  <c r="H217" i="4"/>
  <c r="H150" i="4"/>
  <c r="H48" i="4"/>
  <c r="E162" i="4"/>
  <c r="H191" i="4"/>
  <c r="H62" i="4"/>
  <c r="F43" i="21"/>
  <c r="H90" i="4"/>
  <c r="E196" i="4"/>
  <c r="J38" i="8" s="1"/>
  <c r="E69" i="4"/>
  <c r="J17" i="8" s="1"/>
  <c r="H171" i="4"/>
  <c r="H100" i="4"/>
  <c r="H122" i="4"/>
  <c r="H95" i="4"/>
  <c r="E163" i="2"/>
  <c r="H110" i="4"/>
  <c r="H203" i="4"/>
  <c r="H55" i="4"/>
  <c r="E231" i="4"/>
  <c r="J43" i="8" s="1"/>
  <c r="F3" i="14"/>
  <c r="F5" i="14" s="1"/>
  <c r="G3" i="14" s="1"/>
  <c r="G5" i="14" s="1"/>
  <c r="G6" i="14" s="1"/>
  <c r="V22" i="18"/>
  <c r="P49" i="18"/>
  <c r="H69" i="1"/>
  <c r="H95" i="1"/>
  <c r="J87" i="19"/>
  <c r="N87" i="19"/>
  <c r="P108" i="19"/>
  <c r="L108" i="19"/>
  <c r="O22" i="18"/>
  <c r="M58" i="19" s="1"/>
  <c r="M59" i="19" s="1"/>
  <c r="H15" i="16"/>
  <c r="S17" i="19"/>
  <c r="S18" i="19" s="1"/>
  <c r="S19" i="19" s="1"/>
  <c r="S20" i="19" s="1"/>
  <c r="I22" i="18"/>
  <c r="G58" i="19" s="1"/>
  <c r="G59" i="19" s="1"/>
  <c r="K22" i="18"/>
  <c r="I58" i="19" s="1"/>
  <c r="I59" i="19" s="1"/>
  <c r="F85" i="19"/>
  <c r="J22" i="18"/>
  <c r="H58" i="19" s="1"/>
  <c r="H59" i="19" s="1"/>
  <c r="H89" i="16"/>
  <c r="K47" i="12" s="1"/>
  <c r="H22" i="18"/>
  <c r="F58" i="19" s="1"/>
  <c r="F59" i="19" s="1"/>
  <c r="E85" i="19"/>
  <c r="G48" i="16"/>
  <c r="H50" i="16"/>
  <c r="H48" i="16" s="1"/>
  <c r="K29" i="18"/>
  <c r="I72" i="19" s="1"/>
  <c r="I73" i="19" s="1"/>
  <c r="H109" i="16"/>
  <c r="H15" i="1"/>
  <c r="K50" i="1"/>
  <c r="K104" i="1"/>
  <c r="K41" i="1"/>
  <c r="T16" i="19"/>
  <c r="T17" i="19" s="1"/>
  <c r="T18" i="19" s="1"/>
  <c r="T19" i="19" s="1"/>
  <c r="T20" i="19" s="1"/>
  <c r="K89" i="1"/>
  <c r="K74" i="1"/>
  <c r="K36" i="18"/>
  <c r="I9" i="19" s="1"/>
  <c r="N36" i="18"/>
  <c r="L9" i="19" s="1"/>
  <c r="G36" i="18"/>
  <c r="E9" i="19" s="1"/>
  <c r="P36" i="18"/>
  <c r="N9" i="19" s="1"/>
  <c r="J36" i="18"/>
  <c r="H9" i="19" s="1"/>
  <c r="H36" i="18"/>
  <c r="F9" i="19" s="1"/>
  <c r="L36" i="18"/>
  <c r="J9" i="19" s="1"/>
  <c r="M36" i="18"/>
  <c r="K9" i="19" s="1"/>
  <c r="M35" i="18"/>
  <c r="K8" i="19" s="1"/>
  <c r="R35" i="18"/>
  <c r="P8" i="19" s="1"/>
  <c r="O35" i="18"/>
  <c r="M8" i="19" s="1"/>
  <c r="M10" i="19" s="1"/>
  <c r="M14" i="19" s="1"/>
  <c r="U16" i="19"/>
  <c r="P35" i="18"/>
  <c r="N8" i="19" s="1"/>
  <c r="N35" i="18"/>
  <c r="L8" i="19" s="1"/>
  <c r="K35" i="18"/>
  <c r="I8" i="19" s="1"/>
  <c r="J35" i="18"/>
  <c r="H8" i="19" s="1"/>
  <c r="H41" i="1"/>
  <c r="I29" i="18"/>
  <c r="G72" i="19" s="1"/>
  <c r="G73" i="19" s="1"/>
  <c r="J29" i="18"/>
  <c r="H72" i="19" s="1"/>
  <c r="H73" i="19" s="1"/>
  <c r="N86" i="19"/>
  <c r="P29" i="18"/>
  <c r="N72" i="19" s="1"/>
  <c r="N73" i="19" s="1"/>
  <c r="E193" i="2"/>
  <c r="E181" i="2"/>
  <c r="K109" i="1"/>
  <c r="K79" i="1"/>
  <c r="K95" i="1"/>
  <c r="E12" i="2"/>
  <c r="K63" i="1"/>
  <c r="K69" i="1"/>
  <c r="K87" i="1"/>
  <c r="K38" i="11"/>
  <c r="K15" i="1"/>
  <c r="K61" i="1"/>
  <c r="H36" i="4"/>
  <c r="H196" i="4"/>
  <c r="H176" i="4"/>
  <c r="H115" i="4"/>
  <c r="H166" i="4"/>
  <c r="M29" i="18"/>
  <c r="K72" i="19" s="1"/>
  <c r="K73" i="19" s="1"/>
  <c r="E86" i="19"/>
  <c r="E41" i="4"/>
  <c r="J13" i="8" s="1"/>
  <c r="G29" i="18"/>
  <c r="E72" i="19" s="1"/>
  <c r="H104" i="1"/>
  <c r="H29" i="18"/>
  <c r="F72" i="19" s="1"/>
  <c r="F73" i="19" s="1"/>
  <c r="R29" i="18"/>
  <c r="P72" i="19" s="1"/>
  <c r="P73" i="19" s="1"/>
  <c r="J86" i="19"/>
  <c r="D75" i="4"/>
  <c r="D156" i="4" s="1"/>
  <c r="D237" i="4" s="1"/>
  <c r="N29" i="18"/>
  <c r="L72" i="19" s="1"/>
  <c r="L73" i="19" s="1"/>
  <c r="L29" i="18"/>
  <c r="J72" i="19" s="1"/>
  <c r="J73" i="19" s="1"/>
  <c r="K87" i="19"/>
  <c r="O86" i="19"/>
  <c r="T86" i="19"/>
  <c r="I87" i="19"/>
  <c r="P87" i="19"/>
  <c r="E108" i="19"/>
  <c r="M87" i="19"/>
  <c r="M108" i="19"/>
  <c r="I108" i="19"/>
  <c r="K108" i="19"/>
  <c r="K86" i="19"/>
  <c r="E56" i="14"/>
  <c r="J108" i="19"/>
  <c r="E87" i="19"/>
  <c r="H108" i="19"/>
  <c r="F108" i="19"/>
  <c r="L86" i="19"/>
  <c r="H86" i="19"/>
  <c r="N108" i="19"/>
  <c r="G87" i="19"/>
  <c r="E49" i="14"/>
  <c r="M86" i="19"/>
  <c r="O87" i="19"/>
  <c r="F87" i="19"/>
  <c r="G108" i="19"/>
  <c r="H87" i="19"/>
  <c r="T87" i="19"/>
  <c r="G35" i="18"/>
  <c r="P85" i="19"/>
  <c r="Q49" i="18"/>
  <c r="M22" i="18"/>
  <c r="K58" i="19" s="1"/>
  <c r="K59" i="19" s="1"/>
  <c r="N22" i="18"/>
  <c r="L58" i="19" s="1"/>
  <c r="L59" i="19" s="1"/>
  <c r="L85" i="19"/>
  <c r="G22" i="18"/>
  <c r="E58" i="19" s="1"/>
  <c r="L35" i="18"/>
  <c r="J8" i="19" s="1"/>
  <c r="P86" i="19"/>
  <c r="G86" i="19"/>
  <c r="F86" i="19"/>
  <c r="G85" i="19"/>
  <c r="O85" i="19"/>
  <c r="H35" i="18"/>
  <c r="F8" i="19" s="1"/>
  <c r="K85" i="19"/>
  <c r="P22" i="18"/>
  <c r="N58" i="19" s="1"/>
  <c r="N59" i="19" s="1"/>
  <c r="I35" i="18"/>
  <c r="G8" i="19" s="1"/>
  <c r="O49" i="18"/>
  <c r="M49" i="18"/>
  <c r="L49" i="18"/>
  <c r="H49" i="18"/>
  <c r="I49" i="18"/>
  <c r="R49" i="18"/>
  <c r="G49" i="18"/>
  <c r="J49" i="18"/>
  <c r="K49" i="18"/>
  <c r="E161" i="2"/>
  <c r="E158" i="2"/>
  <c r="D22" i="8" s="1"/>
  <c r="E151" i="2"/>
  <c r="E148" i="2"/>
  <c r="D21" i="8" s="1"/>
  <c r="E118" i="2"/>
  <c r="D18" i="8" s="1"/>
  <c r="E121" i="2"/>
  <c r="H89" i="1"/>
  <c r="H109" i="1"/>
  <c r="H99" i="1"/>
  <c r="E56" i="15"/>
  <c r="E49" i="15"/>
  <c r="G59" i="15"/>
  <c r="G43" i="15"/>
  <c r="F43" i="12"/>
  <c r="F131" i="16"/>
  <c r="E81" i="12" s="1"/>
  <c r="D76" i="4"/>
  <c r="D157" i="4" s="1"/>
  <c r="D238" i="4" s="1"/>
  <c r="D158" i="4"/>
  <c r="D239" i="4" s="1"/>
  <c r="H44" i="12" s="1"/>
  <c r="Q36" i="18"/>
  <c r="O9" i="19" s="1"/>
  <c r="O10" i="19" s="1"/>
  <c r="O11" i="19" s="1"/>
  <c r="I36" i="18"/>
  <c r="G9" i="19" s="1"/>
  <c r="G38" i="16"/>
  <c r="E65" i="12"/>
  <c r="R36" i="18"/>
  <c r="P9" i="19" s="1"/>
  <c r="H26" i="14"/>
  <c r="G59" i="14"/>
  <c r="F7" i="14" s="1"/>
  <c r="F9" i="14" s="1"/>
  <c r="I26" i="14"/>
  <c r="G43" i="14"/>
  <c r="G26" i="14"/>
  <c r="G47" i="15"/>
  <c r="F3" i="15" s="1"/>
  <c r="G30" i="15"/>
  <c r="I30" i="15"/>
  <c r="E40" i="17"/>
  <c r="E61" i="17"/>
  <c r="E83" i="17" s="1"/>
  <c r="H28" i="16" s="1"/>
  <c r="G14" i="17"/>
  <c r="G44" i="17" s="1"/>
  <c r="C85" i="17"/>
  <c r="D83" i="17"/>
  <c r="G28" i="1" s="1"/>
  <c r="E84" i="17"/>
  <c r="Q109" i="19"/>
  <c r="F28" i="16"/>
  <c r="Q107" i="19"/>
  <c r="E11" i="17"/>
  <c r="K40" i="11" s="1"/>
  <c r="E50" i="17"/>
  <c r="H47" i="1"/>
  <c r="Q105" i="19"/>
  <c r="R19" i="19"/>
  <c r="R20" i="19" s="1"/>
  <c r="H40" i="11"/>
  <c r="H40" i="12"/>
  <c r="H64" i="17"/>
  <c r="H44" i="17"/>
  <c r="H34" i="17"/>
  <c r="H54" i="17"/>
  <c r="H74" i="17"/>
  <c r="H24" i="17"/>
  <c r="H38" i="1" l="1"/>
  <c r="I103" i="19"/>
  <c r="F103" i="19"/>
  <c r="L103" i="19"/>
  <c r="K103" i="19"/>
  <c r="E103" i="19"/>
  <c r="G103" i="19"/>
  <c r="J103" i="19"/>
  <c r="D221" i="2"/>
  <c r="D223" i="2"/>
  <c r="D224" i="2" s="1"/>
  <c r="M103" i="19"/>
  <c r="N103" i="19"/>
  <c r="H103" i="19"/>
  <c r="P103" i="19"/>
  <c r="E13" i="22"/>
  <c r="E15" i="22"/>
  <c r="E16" i="22"/>
  <c r="K24" i="22" s="1"/>
  <c r="E8" i="22"/>
  <c r="F89" i="19"/>
  <c r="N89" i="19"/>
  <c r="G89" i="19"/>
  <c r="J89" i="19"/>
  <c r="K89" i="19"/>
  <c r="O89" i="19"/>
  <c r="M89" i="19"/>
  <c r="L89" i="19"/>
  <c r="P89" i="19"/>
  <c r="H89" i="19"/>
  <c r="I89" i="19"/>
  <c r="T89" i="19"/>
  <c r="Q114" i="19"/>
  <c r="Q88" i="19"/>
  <c r="D90" i="19"/>
  <c r="E90" i="19" s="1"/>
  <c r="G45" i="2"/>
  <c r="F20" i="22"/>
  <c r="F2" i="14"/>
  <c r="F54" i="11" s="1"/>
  <c r="F5" i="15"/>
  <c r="F7" i="15"/>
  <c r="R48" i="18"/>
  <c r="J48" i="18"/>
  <c r="M48" i="18"/>
  <c r="H48" i="18"/>
  <c r="N48" i="18"/>
  <c r="I48" i="18"/>
  <c r="K48" i="18"/>
  <c r="P48" i="18"/>
  <c r="W18" i="18"/>
  <c r="V18" i="18" s="1"/>
  <c r="Q48" i="18"/>
  <c r="L48" i="18"/>
  <c r="O48" i="18"/>
  <c r="E61" i="2"/>
  <c r="E216" i="2"/>
  <c r="E219" i="2"/>
  <c r="E67" i="2"/>
  <c r="E137" i="2" s="1"/>
  <c r="E207" i="2" s="1"/>
  <c r="F127" i="16"/>
  <c r="E78" i="12" s="1"/>
  <c r="G55" i="2"/>
  <c r="H41" i="11"/>
  <c r="C29" i="8"/>
  <c r="W37" i="18"/>
  <c r="J37" i="18" s="1"/>
  <c r="H22" i="22"/>
  <c r="I31" i="8"/>
  <c r="I44" i="8" s="1"/>
  <c r="I46" i="8" s="1"/>
  <c r="E9" i="22"/>
  <c r="G145" i="2"/>
  <c r="E68" i="2"/>
  <c r="E138" i="2" s="1"/>
  <c r="E208" i="2" s="1"/>
  <c r="K44" i="11" s="1"/>
  <c r="L30" i="18"/>
  <c r="G33" i="15"/>
  <c r="J18" i="8"/>
  <c r="E75" i="4"/>
  <c r="E156" i="4" s="1"/>
  <c r="E237" i="4" s="1"/>
  <c r="D44" i="19"/>
  <c r="D46" i="19" s="1"/>
  <c r="H41" i="12"/>
  <c r="I23" i="22"/>
  <c r="C139" i="2"/>
  <c r="F44" i="11"/>
  <c r="E135" i="2"/>
  <c r="E205" i="2" s="1"/>
  <c r="E217" i="2" s="1"/>
  <c r="E14" i="22"/>
  <c r="F3" i="22"/>
  <c r="E12" i="22"/>
  <c r="E7" i="22"/>
  <c r="E11" i="22"/>
  <c r="H21" i="22" s="1"/>
  <c r="D139" i="2"/>
  <c r="D206" i="2"/>
  <c r="G195" i="2"/>
  <c r="G165" i="2"/>
  <c r="G175" i="2"/>
  <c r="G115" i="2"/>
  <c r="G125" i="2"/>
  <c r="G95" i="2"/>
  <c r="G155" i="2"/>
  <c r="G85" i="2"/>
  <c r="G105" i="2"/>
  <c r="E66" i="2"/>
  <c r="E136" i="2" s="1"/>
  <c r="H30" i="18"/>
  <c r="V30" i="18"/>
  <c r="M25" i="18"/>
  <c r="K64" i="19" s="1"/>
  <c r="K65" i="19" s="1"/>
  <c r="K25" i="18"/>
  <c r="I64" i="19" s="1"/>
  <c r="I65" i="19" s="1"/>
  <c r="P30" i="18"/>
  <c r="H25" i="18"/>
  <c r="F64" i="19" s="1"/>
  <c r="F65" i="19" s="1"/>
  <c r="U26" i="18"/>
  <c r="G25" i="18"/>
  <c r="E64" i="19" s="1"/>
  <c r="E65" i="19" s="1"/>
  <c r="V25" i="18"/>
  <c r="N25" i="18"/>
  <c r="L64" i="19" s="1"/>
  <c r="L65" i="19" s="1"/>
  <c r="I25" i="18"/>
  <c r="G64" i="19" s="1"/>
  <c r="G65" i="19" s="1"/>
  <c r="R25" i="18"/>
  <c r="P64" i="19" s="1"/>
  <c r="P65" i="19" s="1"/>
  <c r="J25" i="18"/>
  <c r="H64" i="19" s="1"/>
  <c r="H65" i="19" s="1"/>
  <c r="Q25" i="18"/>
  <c r="O64" i="19" s="1"/>
  <c r="O65" i="19" s="1"/>
  <c r="L25" i="18"/>
  <c r="J64" i="19" s="1"/>
  <c r="J65" i="19" s="1"/>
  <c r="O25" i="18"/>
  <c r="M64" i="19" s="1"/>
  <c r="M65" i="19" s="1"/>
  <c r="G30" i="18"/>
  <c r="R30" i="18"/>
  <c r="F33" i="16"/>
  <c r="F29" i="16" s="1"/>
  <c r="F36" i="16"/>
  <c r="H200" i="15"/>
  <c r="Q68" i="19"/>
  <c r="E69" i="19"/>
  <c r="C56" i="15"/>
  <c r="E59" i="15"/>
  <c r="C56" i="14"/>
  <c r="E59" i="14"/>
  <c r="K48" i="11"/>
  <c r="P28" i="18"/>
  <c r="N70" i="19" s="1"/>
  <c r="N71" i="19" s="1"/>
  <c r="R28" i="18"/>
  <c r="P70" i="19" s="1"/>
  <c r="P71" i="19" s="1"/>
  <c r="J28" i="18"/>
  <c r="H70" i="19" s="1"/>
  <c r="H71" i="19" s="1"/>
  <c r="V28" i="18"/>
  <c r="K28" i="18"/>
  <c r="I70" i="19" s="1"/>
  <c r="I71" i="19" s="1"/>
  <c r="K47" i="11"/>
  <c r="O28" i="18"/>
  <c r="M70" i="19" s="1"/>
  <c r="M71" i="19" s="1"/>
  <c r="I25" i="15"/>
  <c r="G28" i="18"/>
  <c r="E70" i="19" s="1"/>
  <c r="E71" i="19" s="1"/>
  <c r="E158" i="4"/>
  <c r="E239" i="4" s="1"/>
  <c r="K44" i="12" s="1"/>
  <c r="M28" i="18"/>
  <c r="K70" i="19" s="1"/>
  <c r="K71" i="19" s="1"/>
  <c r="L28" i="18"/>
  <c r="J70" i="19" s="1"/>
  <c r="J71" i="19" s="1"/>
  <c r="Q28" i="18"/>
  <c r="O70" i="19" s="1"/>
  <c r="O71" i="19" s="1"/>
  <c r="K31" i="18"/>
  <c r="G31" i="18"/>
  <c r="I31" i="18"/>
  <c r="R31" i="18"/>
  <c r="O31" i="18"/>
  <c r="J31" i="18"/>
  <c r="L31" i="18"/>
  <c r="N31" i="18"/>
  <c r="V31" i="18"/>
  <c r="M31" i="18"/>
  <c r="J95" i="15"/>
  <c r="J98" i="15" s="1"/>
  <c r="L52" i="18"/>
  <c r="G52" i="18"/>
  <c r="P52" i="18"/>
  <c r="R52" i="18"/>
  <c r="O52" i="18"/>
  <c r="H52" i="18"/>
  <c r="J52" i="18"/>
  <c r="I52" i="18"/>
  <c r="M52" i="18"/>
  <c r="Q52" i="18"/>
  <c r="K52" i="18"/>
  <c r="I179" i="15"/>
  <c r="I131" i="15"/>
  <c r="L38" i="18"/>
  <c r="J25" i="19" s="1"/>
  <c r="O38" i="18"/>
  <c r="M25" i="19" s="1"/>
  <c r="J38" i="18"/>
  <c r="H25" i="19" s="1"/>
  <c r="R38" i="18"/>
  <c r="P25" i="19" s="1"/>
  <c r="H38" i="18"/>
  <c r="F25" i="19" s="1"/>
  <c r="I38" i="18"/>
  <c r="G25" i="19" s="1"/>
  <c r="K38" i="18"/>
  <c r="I25" i="19" s="1"/>
  <c r="P38" i="18"/>
  <c r="N25" i="19" s="1"/>
  <c r="G38" i="18"/>
  <c r="N38" i="18"/>
  <c r="L25" i="19" s="1"/>
  <c r="Q38" i="18"/>
  <c r="O25" i="19" s="1"/>
  <c r="M38" i="18"/>
  <c r="K25" i="19" s="1"/>
  <c r="I99" i="15"/>
  <c r="I133" i="15" s="1"/>
  <c r="F42" i="12"/>
  <c r="F132" i="16" s="1"/>
  <c r="F133" i="16" s="1"/>
  <c r="Q26" i="18"/>
  <c r="O66" i="19" s="1"/>
  <c r="O67" i="19" s="1"/>
  <c r="K26" i="18"/>
  <c r="I66" i="19" s="1"/>
  <c r="I67" i="19" s="1"/>
  <c r="L26" i="18"/>
  <c r="J66" i="19" s="1"/>
  <c r="J67" i="19" s="1"/>
  <c r="V26" i="18"/>
  <c r="R26" i="18"/>
  <c r="P66" i="19" s="1"/>
  <c r="P67" i="19" s="1"/>
  <c r="O26" i="18"/>
  <c r="M66" i="19" s="1"/>
  <c r="M67" i="19" s="1"/>
  <c r="H26" i="18"/>
  <c r="F66" i="19" s="1"/>
  <c r="F67" i="19" s="1"/>
  <c r="G26" i="18"/>
  <c r="E66" i="19" s="1"/>
  <c r="E67" i="19" s="1"/>
  <c r="J26" i="18"/>
  <c r="H66" i="19" s="1"/>
  <c r="H67" i="19" s="1"/>
  <c r="I117" i="14"/>
  <c r="I125" i="14" s="1"/>
  <c r="Q31" i="18"/>
  <c r="H31" i="18"/>
  <c r="P26" i="18"/>
  <c r="N66" i="19" s="1"/>
  <c r="N67" i="19" s="1"/>
  <c r="N26" i="18"/>
  <c r="L66" i="19" s="1"/>
  <c r="L67" i="19" s="1"/>
  <c r="M26" i="18"/>
  <c r="K66" i="19" s="1"/>
  <c r="K67" i="19" s="1"/>
  <c r="F198" i="14"/>
  <c r="K30" i="18"/>
  <c r="M30" i="18"/>
  <c r="I30" i="18"/>
  <c r="J30" i="18"/>
  <c r="Q30" i="18"/>
  <c r="N30" i="18"/>
  <c r="H28" i="18"/>
  <c r="F70" i="19" s="1"/>
  <c r="F71" i="19" s="1"/>
  <c r="N28" i="18"/>
  <c r="L70" i="19" s="1"/>
  <c r="L71" i="19" s="1"/>
  <c r="N97" i="15"/>
  <c r="O97" i="15" s="1"/>
  <c r="J113" i="14"/>
  <c r="J115" i="14" s="1"/>
  <c r="J99" i="14"/>
  <c r="J108" i="14" s="1"/>
  <c r="J97" i="14"/>
  <c r="S24" i="18"/>
  <c r="F10" i="14"/>
  <c r="C13" i="8"/>
  <c r="C20" i="8" s="1"/>
  <c r="C27" i="8" s="1"/>
  <c r="C30" i="8" s="1"/>
  <c r="Q62" i="19"/>
  <c r="H59" i="1"/>
  <c r="K46" i="11" s="1"/>
  <c r="G59" i="1"/>
  <c r="H46" i="11" s="1"/>
  <c r="F59" i="1"/>
  <c r="G59" i="16"/>
  <c r="H46" i="12" s="1"/>
  <c r="H59" i="16"/>
  <c r="K46" i="12" s="1"/>
  <c r="F59" i="16"/>
  <c r="F36" i="1"/>
  <c r="I180" i="15"/>
  <c r="J162" i="15"/>
  <c r="AG180" i="15"/>
  <c r="AH162" i="15"/>
  <c r="B180" i="15"/>
  <c r="C161" i="15"/>
  <c r="D161" i="15" s="1"/>
  <c r="P163" i="15"/>
  <c r="S163" i="15"/>
  <c r="F180" i="15"/>
  <c r="G162" i="15"/>
  <c r="U180" i="15"/>
  <c r="V162" i="15"/>
  <c r="G163" i="15"/>
  <c r="Y163" i="15"/>
  <c r="Z163" i="15" s="1"/>
  <c r="M163" i="15"/>
  <c r="C180" i="15"/>
  <c r="D162" i="15"/>
  <c r="P162" i="15"/>
  <c r="O180" i="15"/>
  <c r="AB163" i="15"/>
  <c r="AC163" i="15" s="1"/>
  <c r="AA180" i="15"/>
  <c r="AB162" i="15"/>
  <c r="S162" i="15"/>
  <c r="R180" i="15"/>
  <c r="J163" i="15"/>
  <c r="K163" i="15" s="1"/>
  <c r="L180" i="15"/>
  <c r="M162" i="15"/>
  <c r="AD180" i="15"/>
  <c r="AE162" i="15"/>
  <c r="V163" i="15"/>
  <c r="X180" i="15"/>
  <c r="Y162" i="15"/>
  <c r="AJ180" i="15"/>
  <c r="AK162" i="15"/>
  <c r="D163" i="15"/>
  <c r="G25" i="15"/>
  <c r="I33" i="15"/>
  <c r="H25" i="15"/>
  <c r="J126" i="15"/>
  <c r="K81" i="15"/>
  <c r="L77" i="15"/>
  <c r="L79" i="15" s="1"/>
  <c r="J90" i="15"/>
  <c r="K117" i="15"/>
  <c r="L113" i="15"/>
  <c r="L115" i="15" s="1"/>
  <c r="C180" i="14"/>
  <c r="D162" i="14"/>
  <c r="S162" i="14"/>
  <c r="R180" i="14"/>
  <c r="AE162" i="14"/>
  <c r="AD180" i="14"/>
  <c r="P162" i="14"/>
  <c r="W163" i="14"/>
  <c r="T163" i="14"/>
  <c r="G162" i="14"/>
  <c r="F180" i="14"/>
  <c r="L180" i="14"/>
  <c r="M162" i="14"/>
  <c r="AB162" i="14"/>
  <c r="AA180" i="14"/>
  <c r="V162" i="14"/>
  <c r="U180" i="14"/>
  <c r="K163" i="14"/>
  <c r="E163" i="14"/>
  <c r="Z163" i="14"/>
  <c r="B164" i="14"/>
  <c r="B194" i="14" s="1"/>
  <c r="B163" i="14"/>
  <c r="AH162" i="14"/>
  <c r="AG180" i="14"/>
  <c r="AK162" i="14"/>
  <c r="AJ180" i="14"/>
  <c r="J162" i="14"/>
  <c r="I180" i="14"/>
  <c r="H163" i="14"/>
  <c r="N163" i="14"/>
  <c r="P163" i="14"/>
  <c r="Y162" i="14"/>
  <c r="X180" i="14"/>
  <c r="AL176" i="14"/>
  <c r="B162" i="14"/>
  <c r="B180" i="14" s="1"/>
  <c r="K95" i="14"/>
  <c r="G87" i="14"/>
  <c r="H78" i="14"/>
  <c r="H179" i="14"/>
  <c r="H81" i="14"/>
  <c r="H133" i="14" s="1"/>
  <c r="K116" i="14"/>
  <c r="F6" i="14"/>
  <c r="H53" i="19"/>
  <c r="H43" i="19"/>
  <c r="H23" i="19"/>
  <c r="I7" i="19"/>
  <c r="G2" i="22"/>
  <c r="G17" i="22" s="1"/>
  <c r="K17" i="18"/>
  <c r="K10" i="19"/>
  <c r="K12" i="19" s="1"/>
  <c r="L10" i="19"/>
  <c r="L14" i="19" s="1"/>
  <c r="N10" i="19"/>
  <c r="N12" i="19" s="1"/>
  <c r="H30" i="1"/>
  <c r="J10" i="19"/>
  <c r="J11" i="19" s="1"/>
  <c r="U17" i="19"/>
  <c r="U18" i="19" s="1"/>
  <c r="H10" i="19"/>
  <c r="H11" i="19" s="1"/>
  <c r="I10" i="19"/>
  <c r="I14" i="19" s="1"/>
  <c r="F10" i="19"/>
  <c r="F14" i="19" s="1"/>
  <c r="H47" i="16"/>
  <c r="K48" i="12" s="1"/>
  <c r="G47" i="16"/>
  <c r="H48" i="12" s="1"/>
  <c r="P10" i="19"/>
  <c r="P14" i="19" s="1"/>
  <c r="F33" i="1"/>
  <c r="F29" i="1" s="1"/>
  <c r="G10" i="19"/>
  <c r="G14" i="19" s="1"/>
  <c r="K40" i="12"/>
  <c r="S35" i="18"/>
  <c r="E8" i="19"/>
  <c r="E10" i="19" s="1"/>
  <c r="E76" i="4"/>
  <c r="E157" i="4" s="1"/>
  <c r="E238" i="4" s="1"/>
  <c r="S29" i="18"/>
  <c r="Q87" i="19"/>
  <c r="U27" i="18"/>
  <c r="Q108" i="19"/>
  <c r="T14" i="19"/>
  <c r="T30" i="19" s="1"/>
  <c r="G86" i="11"/>
  <c r="G77" i="11" s="1"/>
  <c r="F21" i="21"/>
  <c r="F38" i="21" s="1"/>
  <c r="H15" i="2"/>
  <c r="E72" i="2"/>
  <c r="H35" i="2"/>
  <c r="E142" i="2"/>
  <c r="H25" i="2"/>
  <c r="Q86" i="19"/>
  <c r="S36" i="18"/>
  <c r="S49" i="18"/>
  <c r="Q85" i="19"/>
  <c r="Q9" i="19"/>
  <c r="O14" i="19"/>
  <c r="S22" i="18"/>
  <c r="F43" i="11"/>
  <c r="E82" i="11" s="1"/>
  <c r="D22" i="21" s="1"/>
  <c r="F127" i="1"/>
  <c r="F131" i="1"/>
  <c r="E81" i="11" s="1"/>
  <c r="D69" i="2"/>
  <c r="M11" i="19"/>
  <c r="O12" i="19"/>
  <c r="O13" i="19" s="1"/>
  <c r="G44" i="12"/>
  <c r="G48" i="12"/>
  <c r="G47" i="12"/>
  <c r="H43" i="12"/>
  <c r="J54" i="12" s="1"/>
  <c r="G127" i="16"/>
  <c r="G131" i="16"/>
  <c r="F81" i="12" s="1"/>
  <c r="E82" i="12"/>
  <c r="D39" i="21" s="1"/>
  <c r="H38" i="16"/>
  <c r="G30" i="16"/>
  <c r="W41" i="18" s="1"/>
  <c r="M12" i="19"/>
  <c r="H3" i="14"/>
  <c r="G34" i="17"/>
  <c r="G24" i="17"/>
  <c r="G64" i="17"/>
  <c r="G54" i="17"/>
  <c r="G74" i="17"/>
  <c r="G7" i="14"/>
  <c r="E32" i="19"/>
  <c r="E33" i="19" s="1"/>
  <c r="H32" i="19"/>
  <c r="H33" i="19" s="1"/>
  <c r="E85" i="17"/>
  <c r="H33" i="16" s="1"/>
  <c r="H28" i="1"/>
  <c r="G28" i="16"/>
  <c r="D85" i="17"/>
  <c r="G33" i="16" s="1"/>
  <c r="Q72" i="19"/>
  <c r="E73" i="19"/>
  <c r="E59" i="19"/>
  <c r="Q58" i="19"/>
  <c r="J23" i="22" l="1"/>
  <c r="Q103" i="19"/>
  <c r="G20" i="22"/>
  <c r="E221" i="2"/>
  <c r="E223" i="2"/>
  <c r="E224" i="2" s="1"/>
  <c r="I22" i="22"/>
  <c r="V11" i="18"/>
  <c r="J90" i="19"/>
  <c r="T90" i="19"/>
  <c r="G90" i="19"/>
  <c r="H90" i="19"/>
  <c r="O90" i="19"/>
  <c r="I90" i="19"/>
  <c r="N90" i="19"/>
  <c r="F90" i="19"/>
  <c r="M90" i="19"/>
  <c r="L90" i="19"/>
  <c r="K90" i="19"/>
  <c r="P90" i="19"/>
  <c r="D91" i="19"/>
  <c r="E91" i="19" s="1"/>
  <c r="Q89" i="19"/>
  <c r="F6" i="15"/>
  <c r="F9" i="15"/>
  <c r="F2" i="15" s="1"/>
  <c r="F54" i="12" s="1"/>
  <c r="S48" i="18"/>
  <c r="J131" i="15"/>
  <c r="D209" i="2"/>
  <c r="D218" i="2"/>
  <c r="D220" i="2" s="1"/>
  <c r="M37" i="18"/>
  <c r="K24" i="19" s="1"/>
  <c r="K26" i="19" s="1"/>
  <c r="K27" i="19" s="1"/>
  <c r="H37" i="18"/>
  <c r="H42" i="18" s="1"/>
  <c r="Q37" i="18"/>
  <c r="Q42" i="18" s="1"/>
  <c r="I37" i="18"/>
  <c r="G24" i="19" s="1"/>
  <c r="G26" i="19" s="1"/>
  <c r="P37" i="18"/>
  <c r="N24" i="19" s="1"/>
  <c r="N26" i="19" s="1"/>
  <c r="N27" i="19" s="1"/>
  <c r="N37" i="18"/>
  <c r="N42" i="18" s="1"/>
  <c r="O37" i="18"/>
  <c r="M24" i="19" s="1"/>
  <c r="M26" i="19" s="1"/>
  <c r="M28" i="19" s="1"/>
  <c r="L37" i="18"/>
  <c r="L42" i="18" s="1"/>
  <c r="G37" i="18"/>
  <c r="G42" i="18" s="1"/>
  <c r="K37" i="18"/>
  <c r="K42" i="18" s="1"/>
  <c r="R37" i="18"/>
  <c r="R42" i="18" s="1"/>
  <c r="K41" i="11"/>
  <c r="D29" i="8"/>
  <c r="J31" i="8"/>
  <c r="J44" i="8" s="1"/>
  <c r="J46" i="8" s="1"/>
  <c r="E69" i="2"/>
  <c r="K41" i="12"/>
  <c r="D13" i="8"/>
  <c r="D20" i="8" s="1"/>
  <c r="D27" i="8" s="1"/>
  <c r="D30" i="8" s="1"/>
  <c r="E139" i="2"/>
  <c r="F11" i="22"/>
  <c r="F14" i="22"/>
  <c r="F7" i="22"/>
  <c r="F13" i="22"/>
  <c r="F9" i="22"/>
  <c r="F10" i="22"/>
  <c r="G3" i="22"/>
  <c r="F12" i="22"/>
  <c r="F16" i="22"/>
  <c r="L24" i="22" s="1"/>
  <c r="F8" i="22"/>
  <c r="F15" i="22"/>
  <c r="E206" i="2"/>
  <c r="S25" i="18"/>
  <c r="Q64" i="19"/>
  <c r="J117" i="14"/>
  <c r="J126" i="14" s="1"/>
  <c r="H41" i="18"/>
  <c r="I41" i="18"/>
  <c r="J41" i="18"/>
  <c r="K41" i="18"/>
  <c r="G41" i="18"/>
  <c r="M41" i="18"/>
  <c r="N41" i="18"/>
  <c r="O41" i="18"/>
  <c r="P41" i="18"/>
  <c r="L41" i="18"/>
  <c r="Q41" i="18"/>
  <c r="R41" i="18"/>
  <c r="H127" i="16"/>
  <c r="G78" i="12" s="1"/>
  <c r="S31" i="18"/>
  <c r="K95" i="15"/>
  <c r="K98" i="15" s="1"/>
  <c r="J179" i="15"/>
  <c r="J99" i="15"/>
  <c r="J133" i="15" s="1"/>
  <c r="S52" i="18"/>
  <c r="J42" i="18"/>
  <c r="I107" i="15"/>
  <c r="I201" i="15" s="1"/>
  <c r="E25" i="19"/>
  <c r="Q25" i="19" s="1"/>
  <c r="S38" i="18"/>
  <c r="F82" i="12"/>
  <c r="E39" i="21" s="1"/>
  <c r="S26" i="18"/>
  <c r="Q70" i="19"/>
  <c r="Q66" i="19"/>
  <c r="S30" i="18"/>
  <c r="S28" i="18"/>
  <c r="W23" i="18"/>
  <c r="J39" i="18"/>
  <c r="F46" i="11"/>
  <c r="P97" i="15"/>
  <c r="G3" i="15"/>
  <c r="G5" i="15" s="1"/>
  <c r="G199" i="14"/>
  <c r="G139" i="14"/>
  <c r="G153" i="14" s="1"/>
  <c r="H79" i="14"/>
  <c r="H131" i="14" s="1"/>
  <c r="H132" i="14"/>
  <c r="K113" i="14"/>
  <c r="K115" i="14" s="1"/>
  <c r="K99" i="14"/>
  <c r="K109" i="14" s="1"/>
  <c r="K97" i="14"/>
  <c r="K24" i="11"/>
  <c r="K23" i="11" s="1"/>
  <c r="K33" i="11" s="1"/>
  <c r="B181" i="14"/>
  <c r="C182" i="14"/>
  <c r="K24" i="12"/>
  <c r="AG171" i="14"/>
  <c r="AI173" i="15"/>
  <c r="AL176" i="15"/>
  <c r="Q162" i="15"/>
  <c r="Q180" i="15" s="1"/>
  <c r="P180" i="15"/>
  <c r="H163" i="15"/>
  <c r="E161" i="15"/>
  <c r="D180" i="15"/>
  <c r="D183" i="15" s="1"/>
  <c r="E162" i="15"/>
  <c r="E180" i="15" s="1"/>
  <c r="W162" i="15"/>
  <c r="W180" i="15" s="1"/>
  <c r="V180" i="15"/>
  <c r="Q163" i="15"/>
  <c r="W163" i="15"/>
  <c r="AH172" i="15" s="1"/>
  <c r="T162" i="15"/>
  <c r="S180" i="15"/>
  <c r="AF162" i="15"/>
  <c r="AE180" i="15"/>
  <c r="AB180" i="15"/>
  <c r="AC162" i="15"/>
  <c r="AC180" i="15" s="1"/>
  <c r="H162" i="15"/>
  <c r="H180" i="15" s="1"/>
  <c r="G180" i="15"/>
  <c r="C182" i="15"/>
  <c r="B181" i="15"/>
  <c r="E163" i="15"/>
  <c r="N163" i="15"/>
  <c r="AI162" i="15"/>
  <c r="AI180" i="15" s="1"/>
  <c r="AH180" i="15"/>
  <c r="AK180" i="15"/>
  <c r="AL162" i="15"/>
  <c r="M180" i="15"/>
  <c r="N162" i="15"/>
  <c r="AJ174" i="15"/>
  <c r="AK175" i="15"/>
  <c r="T163" i="15"/>
  <c r="K162" i="15"/>
  <c r="K180" i="15" s="1"/>
  <c r="J180" i="15"/>
  <c r="Y180" i="15"/>
  <c r="Z162" i="15"/>
  <c r="F46" i="12"/>
  <c r="K91" i="15"/>
  <c r="M113" i="15"/>
  <c r="M115" i="15" s="1"/>
  <c r="L117" i="15"/>
  <c r="K127" i="15"/>
  <c r="L81" i="15"/>
  <c r="M77" i="15"/>
  <c r="M79" i="15" s="1"/>
  <c r="AD168" i="14"/>
  <c r="O165" i="14"/>
  <c r="AJ174" i="14"/>
  <c r="Q163" i="14"/>
  <c r="AA165" i="14" s="1"/>
  <c r="AL162" i="14"/>
  <c r="AK180" i="14"/>
  <c r="P166" i="14"/>
  <c r="N164" i="14"/>
  <c r="Q162" i="14"/>
  <c r="Q180" i="14" s="1"/>
  <c r="P180" i="14"/>
  <c r="N162" i="14"/>
  <c r="M180" i="14"/>
  <c r="AI162" i="14"/>
  <c r="AI180" i="14" s="1"/>
  <c r="AH180" i="14"/>
  <c r="H162" i="14"/>
  <c r="H180" i="14" s="1"/>
  <c r="G180" i="14"/>
  <c r="AF162" i="14"/>
  <c r="AE180" i="14"/>
  <c r="W162" i="14"/>
  <c r="W180" i="14" s="1"/>
  <c r="V180" i="14"/>
  <c r="AE169" i="14"/>
  <c r="AC167" i="14"/>
  <c r="T162" i="14"/>
  <c r="S180" i="14"/>
  <c r="Z162" i="14"/>
  <c r="Y180" i="14"/>
  <c r="D180" i="14"/>
  <c r="E162" i="14"/>
  <c r="E180" i="14" s="1"/>
  <c r="K162" i="14"/>
  <c r="K180" i="14" s="1"/>
  <c r="J180" i="14"/>
  <c r="AK175" i="14"/>
  <c r="AI173" i="14"/>
  <c r="AC162" i="14"/>
  <c r="AC180" i="14" s="1"/>
  <c r="AB180" i="14"/>
  <c r="AH172" i="14"/>
  <c r="AF170" i="14"/>
  <c r="C161" i="14"/>
  <c r="L95" i="14"/>
  <c r="H88" i="14"/>
  <c r="I77" i="14"/>
  <c r="I79" i="14" s="1"/>
  <c r="I131" i="14" s="1"/>
  <c r="L116" i="14"/>
  <c r="N14" i="19"/>
  <c r="N11" i="19"/>
  <c r="N13" i="19" s="1"/>
  <c r="L12" i="19"/>
  <c r="K11" i="19"/>
  <c r="K13" i="19" s="1"/>
  <c r="K14" i="19"/>
  <c r="H2" i="22"/>
  <c r="H17" i="22" s="1"/>
  <c r="L17" i="18"/>
  <c r="J7" i="19"/>
  <c r="L11" i="19"/>
  <c r="I53" i="19"/>
  <c r="I23" i="19"/>
  <c r="I43" i="19"/>
  <c r="H30" i="16"/>
  <c r="H29" i="16" s="1"/>
  <c r="H36" i="16"/>
  <c r="J14" i="19"/>
  <c r="G36" i="1"/>
  <c r="H36" i="1"/>
  <c r="I11" i="19"/>
  <c r="J12" i="19"/>
  <c r="J13" i="19" s="1"/>
  <c r="I12" i="19"/>
  <c r="H12" i="19"/>
  <c r="H13" i="19" s="1"/>
  <c r="U19" i="19"/>
  <c r="U20" i="19" s="1"/>
  <c r="H14" i="19"/>
  <c r="G36" i="16"/>
  <c r="F11" i="19"/>
  <c r="P11" i="19"/>
  <c r="F12" i="19"/>
  <c r="P12" i="19"/>
  <c r="H34" i="19"/>
  <c r="H35" i="19" s="1"/>
  <c r="H36" i="19" s="1"/>
  <c r="F45" i="12" s="1"/>
  <c r="G33" i="1"/>
  <c r="G29" i="1" s="1"/>
  <c r="H33" i="1"/>
  <c r="H29" i="1" s="1"/>
  <c r="G12" i="19"/>
  <c r="G11" i="19"/>
  <c r="Q8" i="19"/>
  <c r="K43" i="12"/>
  <c r="H131" i="16"/>
  <c r="G81" i="12" s="1"/>
  <c r="U28" i="18"/>
  <c r="H155" i="2"/>
  <c r="H85" i="2"/>
  <c r="H185" i="2"/>
  <c r="H195" i="2"/>
  <c r="H45" i="2"/>
  <c r="H175" i="2"/>
  <c r="H115" i="2"/>
  <c r="H125" i="2"/>
  <c r="H55" i="2"/>
  <c r="H105" i="2"/>
  <c r="H95" i="2"/>
  <c r="H165" i="2"/>
  <c r="H145" i="2"/>
  <c r="H75" i="2"/>
  <c r="M13" i="19"/>
  <c r="G54" i="11"/>
  <c r="F42" i="11"/>
  <c r="F132" i="1" s="1"/>
  <c r="F133" i="1" s="1"/>
  <c r="F136" i="1" s="1"/>
  <c r="G47" i="11"/>
  <c r="G48" i="11"/>
  <c r="G44" i="11"/>
  <c r="E78" i="11"/>
  <c r="F78" i="12"/>
  <c r="J48" i="12"/>
  <c r="J44" i="12"/>
  <c r="J46" i="12"/>
  <c r="J47" i="12"/>
  <c r="H42" i="12"/>
  <c r="G132" i="16" s="1"/>
  <c r="G133" i="16" s="1"/>
  <c r="L43" i="18"/>
  <c r="G43" i="18"/>
  <c r="O43" i="18"/>
  <c r="H43" i="18"/>
  <c r="I43" i="18"/>
  <c r="K43" i="18"/>
  <c r="R43" i="18"/>
  <c r="J43" i="18"/>
  <c r="Q43" i="18"/>
  <c r="N43" i="18"/>
  <c r="P43" i="18"/>
  <c r="M43" i="18"/>
  <c r="H5" i="14"/>
  <c r="H6" i="14" s="1"/>
  <c r="G29" i="16"/>
  <c r="G9" i="14"/>
  <c r="G2" i="14" s="1"/>
  <c r="H54" i="11" s="1"/>
  <c r="T32" i="19"/>
  <c r="U32" i="19"/>
  <c r="S32" i="19"/>
  <c r="R32" i="19"/>
  <c r="E11" i="19"/>
  <c r="E12" i="19"/>
  <c r="Q10" i="19"/>
  <c r="E14" i="19"/>
  <c r="V8" i="18" l="1"/>
  <c r="V10" i="18"/>
  <c r="Q90" i="19"/>
  <c r="D92" i="19"/>
  <c r="E92" i="19" s="1"/>
  <c r="E83" i="19" s="1"/>
  <c r="E80" i="19" s="1"/>
  <c r="G7" i="15"/>
  <c r="F10" i="15"/>
  <c r="G6" i="15"/>
  <c r="P42" i="18"/>
  <c r="F24" i="19"/>
  <c r="F26" i="19" s="1"/>
  <c r="F28" i="19" s="1"/>
  <c r="E209" i="2"/>
  <c r="E218" i="2"/>
  <c r="E220" i="2" s="1"/>
  <c r="I39" i="18"/>
  <c r="I42" i="18"/>
  <c r="O42" i="18"/>
  <c r="Q39" i="18"/>
  <c r="M42" i="18"/>
  <c r="L24" i="19"/>
  <c r="L26" i="19" s="1"/>
  <c r="L30" i="19" s="1"/>
  <c r="O40" i="18" s="1"/>
  <c r="N39" i="18"/>
  <c r="I24" i="19"/>
  <c r="I26" i="19" s="1"/>
  <c r="I28" i="19" s="1"/>
  <c r="G39" i="18"/>
  <c r="L39" i="18"/>
  <c r="R39" i="18"/>
  <c r="M192" i="14"/>
  <c r="K131" i="15"/>
  <c r="J189" i="14"/>
  <c r="E35" i="11"/>
  <c r="C36" i="11" s="1"/>
  <c r="G46" i="11"/>
  <c r="J22" i="22"/>
  <c r="I21" i="22"/>
  <c r="K23" i="22"/>
  <c r="G16" i="22"/>
  <c r="M24" i="22" s="1"/>
  <c r="G14" i="22"/>
  <c r="G10" i="22"/>
  <c r="G12" i="22"/>
  <c r="G15" i="22"/>
  <c r="G9" i="22"/>
  <c r="G13" i="22"/>
  <c r="G11" i="22"/>
  <c r="G7" i="22"/>
  <c r="G8" i="22"/>
  <c r="H3" i="22"/>
  <c r="H20" i="22"/>
  <c r="L95" i="15"/>
  <c r="L179" i="15" s="1"/>
  <c r="K179" i="15"/>
  <c r="J108" i="15"/>
  <c r="J202" i="15" s="1"/>
  <c r="K99" i="15"/>
  <c r="K133" i="15" s="1"/>
  <c r="H3" i="15"/>
  <c r="H5" i="15" s="1"/>
  <c r="I141" i="15"/>
  <c r="I155" i="15" s="1"/>
  <c r="M39" i="18"/>
  <c r="J24" i="19"/>
  <c r="J26" i="19" s="1"/>
  <c r="J27" i="19" s="1"/>
  <c r="P39" i="18"/>
  <c r="E24" i="19"/>
  <c r="E26" i="19" s="1"/>
  <c r="P24" i="19"/>
  <c r="P26" i="19" s="1"/>
  <c r="H24" i="19"/>
  <c r="H26" i="19" s="1"/>
  <c r="H27" i="19" s="1"/>
  <c r="H39" i="18"/>
  <c r="K39" i="18"/>
  <c r="O39" i="18"/>
  <c r="S37" i="18"/>
  <c r="O24" i="19"/>
  <c r="O26" i="19" s="1"/>
  <c r="O30" i="19" s="1"/>
  <c r="R40" i="18" s="1"/>
  <c r="Q97" i="15"/>
  <c r="Z164" i="15"/>
  <c r="H200" i="14"/>
  <c r="H140" i="14"/>
  <c r="H154" i="14" s="1"/>
  <c r="L113" i="14"/>
  <c r="L115" i="14" s="1"/>
  <c r="K117" i="14"/>
  <c r="L99" i="14"/>
  <c r="L110" i="14" s="1"/>
  <c r="L97" i="14"/>
  <c r="K43" i="11"/>
  <c r="K42" i="12"/>
  <c r="H132" i="16" s="1"/>
  <c r="H133" i="16" s="1"/>
  <c r="K23" i="12"/>
  <c r="K35" i="12" s="1"/>
  <c r="W14" i="18"/>
  <c r="K35" i="11"/>
  <c r="G46" i="12"/>
  <c r="E83" i="12"/>
  <c r="G45" i="12"/>
  <c r="H7" i="14"/>
  <c r="H9" i="14" s="1"/>
  <c r="H2" i="14" s="1"/>
  <c r="K54" i="11" s="1"/>
  <c r="AG171" i="15"/>
  <c r="X174" i="15"/>
  <c r="O165" i="15"/>
  <c r="H187" i="15"/>
  <c r="F161" i="15"/>
  <c r="G161" i="15" s="1"/>
  <c r="H161" i="15" s="1"/>
  <c r="I161" i="15" s="1"/>
  <c r="J161" i="15" s="1"/>
  <c r="K161" i="15" s="1"/>
  <c r="L161" i="15" s="1"/>
  <c r="M161" i="15" s="1"/>
  <c r="N161" i="15" s="1"/>
  <c r="O161" i="15" s="1"/>
  <c r="P161" i="15" s="1"/>
  <c r="Q161" i="15" s="1"/>
  <c r="R161" i="15" s="1"/>
  <c r="S161" i="15" s="1"/>
  <c r="T161" i="15" s="1"/>
  <c r="U161" i="15" s="1"/>
  <c r="V161" i="15" s="1"/>
  <c r="W161" i="15" s="1"/>
  <c r="X161" i="15" s="1"/>
  <c r="Y161" i="15" s="1"/>
  <c r="Z161" i="15" s="1"/>
  <c r="AA161" i="15" s="1"/>
  <c r="AB161" i="15" s="1"/>
  <c r="AC161" i="15" s="1"/>
  <c r="AD161" i="15" s="1"/>
  <c r="AE161" i="15" s="1"/>
  <c r="AF161" i="15" s="1"/>
  <c r="AG161" i="15" s="1"/>
  <c r="AH161" i="15" s="1"/>
  <c r="AI161" i="15" s="1"/>
  <c r="AJ161" i="15" s="1"/>
  <c r="AK161" i="15" s="1"/>
  <c r="AL161" i="15" s="1"/>
  <c r="S169" i="15"/>
  <c r="E184" i="15"/>
  <c r="G186" i="15"/>
  <c r="AB166" i="15"/>
  <c r="Z176" i="15"/>
  <c r="R168" i="15"/>
  <c r="L191" i="15"/>
  <c r="AA165" i="15"/>
  <c r="T170" i="15"/>
  <c r="I188" i="15"/>
  <c r="AE169" i="15"/>
  <c r="AC167" i="15"/>
  <c r="K190" i="15"/>
  <c r="Y175" i="15"/>
  <c r="W173" i="15"/>
  <c r="M192" i="15"/>
  <c r="V172" i="15"/>
  <c r="F185" i="15"/>
  <c r="U171" i="15"/>
  <c r="P166" i="15"/>
  <c r="N164" i="15"/>
  <c r="Q167" i="15"/>
  <c r="AD168" i="15"/>
  <c r="J189" i="15"/>
  <c r="AF170" i="15"/>
  <c r="P23" i="18"/>
  <c r="N60" i="19" s="1"/>
  <c r="N61" i="19" s="1"/>
  <c r="K23" i="18"/>
  <c r="I60" i="19" s="1"/>
  <c r="I61" i="19" s="1"/>
  <c r="M23" i="18"/>
  <c r="K60" i="19" s="1"/>
  <c r="K61" i="19" s="1"/>
  <c r="I23" i="18"/>
  <c r="G60" i="19" s="1"/>
  <c r="G61" i="19" s="1"/>
  <c r="V23" i="18"/>
  <c r="Q23" i="18"/>
  <c r="O60" i="19" s="1"/>
  <c r="O61" i="19" s="1"/>
  <c r="H23" i="18"/>
  <c r="F60" i="19" s="1"/>
  <c r="F61" i="19" s="1"/>
  <c r="G23" i="18"/>
  <c r="O23" i="18"/>
  <c r="M60" i="19" s="1"/>
  <c r="M61" i="19" s="1"/>
  <c r="R23" i="18"/>
  <c r="P60" i="19" s="1"/>
  <c r="P61" i="19" s="1"/>
  <c r="J23" i="18"/>
  <c r="H60" i="19" s="1"/>
  <c r="H61" i="19" s="1"/>
  <c r="L23" i="18"/>
  <c r="J60" i="19" s="1"/>
  <c r="J61" i="19" s="1"/>
  <c r="N23" i="18"/>
  <c r="L60" i="19" s="1"/>
  <c r="L61" i="19" s="1"/>
  <c r="M81" i="15"/>
  <c r="M93" i="15" s="1"/>
  <c r="N77" i="15"/>
  <c r="L128" i="15"/>
  <c r="L92" i="15"/>
  <c r="M117" i="15"/>
  <c r="N113" i="15"/>
  <c r="H187" i="14"/>
  <c r="S169" i="14"/>
  <c r="Z164" i="14"/>
  <c r="T170" i="14"/>
  <c r="F185" i="14"/>
  <c r="V172" i="14"/>
  <c r="Q167" i="14"/>
  <c r="I188" i="14"/>
  <c r="G186" i="14"/>
  <c r="W173" i="14"/>
  <c r="K190" i="14"/>
  <c r="Y175" i="14"/>
  <c r="L191" i="14"/>
  <c r="D183" i="14"/>
  <c r="U171" i="14"/>
  <c r="E184" i="14"/>
  <c r="M95" i="14"/>
  <c r="AB166" i="14"/>
  <c r="Z176" i="14"/>
  <c r="R168" i="14"/>
  <c r="X174" i="14"/>
  <c r="D161" i="14"/>
  <c r="E161" i="14" s="1"/>
  <c r="F161" i="14" s="1"/>
  <c r="G161" i="14" s="1"/>
  <c r="H161" i="14" s="1"/>
  <c r="I161" i="14" s="1"/>
  <c r="J161" i="14" s="1"/>
  <c r="K161" i="14" s="1"/>
  <c r="L161" i="14" s="1"/>
  <c r="M161" i="14" s="1"/>
  <c r="J77" i="14"/>
  <c r="J79" i="14" s="1"/>
  <c r="J131" i="14" s="1"/>
  <c r="I179" i="14"/>
  <c r="I81" i="14"/>
  <c r="I133" i="14" s="1"/>
  <c r="M116" i="14"/>
  <c r="I13" i="19"/>
  <c r="L13" i="19"/>
  <c r="J53" i="19"/>
  <c r="J43" i="19"/>
  <c r="J23" i="19"/>
  <c r="I2" i="22"/>
  <c r="I17" i="22" s="1"/>
  <c r="M17" i="18"/>
  <c r="K7" i="19"/>
  <c r="P13" i="19"/>
  <c r="F13" i="19"/>
  <c r="U33" i="19"/>
  <c r="U34" i="19" s="1"/>
  <c r="U35" i="19" s="1"/>
  <c r="S33" i="19"/>
  <c r="S34" i="19" s="1"/>
  <c r="S35" i="19" s="1"/>
  <c r="S36" i="19" s="1"/>
  <c r="E34" i="19"/>
  <c r="Q14" i="19"/>
  <c r="G13" i="19"/>
  <c r="Q12" i="19"/>
  <c r="R33" i="19"/>
  <c r="R34" i="19" s="1"/>
  <c r="R35" i="19" s="1"/>
  <c r="R36" i="19" s="1"/>
  <c r="T33" i="19"/>
  <c r="T34" i="19" s="1"/>
  <c r="T35" i="19" s="1"/>
  <c r="T36" i="19" s="1"/>
  <c r="S41" i="18"/>
  <c r="L44" i="12"/>
  <c r="L46" i="12"/>
  <c r="L47" i="12"/>
  <c r="L48" i="12"/>
  <c r="G82" i="12"/>
  <c r="F39" i="21" s="1"/>
  <c r="U29" i="18"/>
  <c r="G127" i="1"/>
  <c r="H43" i="11"/>
  <c r="G131" i="1"/>
  <c r="F81" i="11" s="1"/>
  <c r="S43" i="18"/>
  <c r="G10" i="14"/>
  <c r="F49" i="12"/>
  <c r="N28" i="19"/>
  <c r="N29" i="19" s="1"/>
  <c r="P34" i="18" s="1"/>
  <c r="N30" i="19"/>
  <c r="Q40" i="18" s="1"/>
  <c r="M27" i="19"/>
  <c r="M29" i="19" s="1"/>
  <c r="O34" i="18" s="1"/>
  <c r="M30" i="19"/>
  <c r="P40" i="18" s="1"/>
  <c r="K28" i="19"/>
  <c r="K29" i="19" s="1"/>
  <c r="M34" i="18" s="1"/>
  <c r="K30" i="19"/>
  <c r="N40" i="18" s="1"/>
  <c r="Q11" i="19"/>
  <c r="E13" i="19"/>
  <c r="G28" i="19"/>
  <c r="G27" i="19"/>
  <c r="G30" i="19"/>
  <c r="J40" i="18" s="1"/>
  <c r="G8" i="18" l="1"/>
  <c r="E44" i="19" s="1"/>
  <c r="Q8" i="18"/>
  <c r="O44" i="19" s="1"/>
  <c r="O45" i="19" s="1"/>
  <c r="I8" i="18"/>
  <c r="G44" i="19" s="1"/>
  <c r="G45" i="19" s="1"/>
  <c r="K8" i="18"/>
  <c r="I44" i="19" s="1"/>
  <c r="I45" i="19" s="1"/>
  <c r="M8" i="18"/>
  <c r="K44" i="19" s="1"/>
  <c r="K45" i="19" s="1"/>
  <c r="L8" i="18"/>
  <c r="J44" i="19" s="1"/>
  <c r="J45" i="19" s="1"/>
  <c r="P8" i="18"/>
  <c r="N44" i="19" s="1"/>
  <c r="N45" i="19" s="1"/>
  <c r="J8" i="18"/>
  <c r="H44" i="19" s="1"/>
  <c r="H45" i="19" s="1"/>
  <c r="H8" i="18"/>
  <c r="R8" i="18"/>
  <c r="P44" i="19" s="1"/>
  <c r="P45" i="19" s="1"/>
  <c r="N8" i="18"/>
  <c r="L44" i="19" s="1"/>
  <c r="L45" i="19" s="1"/>
  <c r="O8" i="18"/>
  <c r="M44" i="19" s="1"/>
  <c r="M45" i="19" s="1"/>
  <c r="G10" i="18"/>
  <c r="I10" i="18"/>
  <c r="K10" i="18"/>
  <c r="J10" i="18"/>
  <c r="P10" i="18"/>
  <c r="O10" i="18"/>
  <c r="M10" i="18"/>
  <c r="H10" i="18"/>
  <c r="R10" i="18"/>
  <c r="Q10" i="18"/>
  <c r="L10" i="18"/>
  <c r="N10" i="18"/>
  <c r="E74" i="19"/>
  <c r="E115" i="19"/>
  <c r="L27" i="19"/>
  <c r="F27" i="19"/>
  <c r="F29" i="19" s="1"/>
  <c r="H34" i="18" s="1"/>
  <c r="F30" i="19"/>
  <c r="I40" i="18" s="1"/>
  <c r="G9" i="15"/>
  <c r="G2" i="15" s="1"/>
  <c r="H54" i="12" s="1"/>
  <c r="G82" i="11"/>
  <c r="F22" i="21" s="1"/>
  <c r="L54" i="11"/>
  <c r="H6" i="15"/>
  <c r="S42" i="18"/>
  <c r="I30" i="19"/>
  <c r="L40" i="18" s="1"/>
  <c r="I27" i="19"/>
  <c r="I29" i="19" s="1"/>
  <c r="K34" i="18" s="1"/>
  <c r="L28" i="19"/>
  <c r="E45" i="19"/>
  <c r="L131" i="15"/>
  <c r="M95" i="15"/>
  <c r="L99" i="15"/>
  <c r="L133" i="15" s="1"/>
  <c r="C133" i="11"/>
  <c r="L98" i="15"/>
  <c r="U36" i="19"/>
  <c r="K45" i="12" s="1"/>
  <c r="K22" i="22"/>
  <c r="H16" i="22"/>
  <c r="N24" i="22" s="1"/>
  <c r="H10" i="22"/>
  <c r="H8" i="22"/>
  <c r="H11" i="22"/>
  <c r="H13" i="22"/>
  <c r="H9" i="22"/>
  <c r="H12" i="22"/>
  <c r="H14" i="22"/>
  <c r="I3" i="22"/>
  <c r="H7" i="22"/>
  <c r="H15" i="22"/>
  <c r="J21" i="22"/>
  <c r="I20" i="22"/>
  <c r="L23" i="22"/>
  <c r="F82" i="11"/>
  <c r="E22" i="21" s="1"/>
  <c r="J47" i="11"/>
  <c r="K109" i="15"/>
  <c r="K203" i="15" s="1"/>
  <c r="J28" i="19"/>
  <c r="J29" i="19" s="1"/>
  <c r="L34" i="18" s="1"/>
  <c r="J142" i="15"/>
  <c r="J156" i="15" s="1"/>
  <c r="J30" i="19"/>
  <c r="M40" i="18" s="1"/>
  <c r="H131" i="1"/>
  <c r="G81" i="11" s="1"/>
  <c r="K45" i="11"/>
  <c r="E35" i="19"/>
  <c r="E36" i="19" s="1"/>
  <c r="H45" i="11"/>
  <c r="F83" i="11" s="1"/>
  <c r="G49" i="12"/>
  <c r="D44" i="21" s="1"/>
  <c r="L117" i="14"/>
  <c r="L128" i="14" s="1"/>
  <c r="H28" i="19"/>
  <c r="H29" i="19" s="1"/>
  <c r="J34" i="18" s="1"/>
  <c r="H30" i="19"/>
  <c r="K40" i="18" s="1"/>
  <c r="M131" i="15"/>
  <c r="M98" i="15"/>
  <c r="H127" i="1"/>
  <c r="G78" i="11" s="1"/>
  <c r="S39" i="18"/>
  <c r="O27" i="19"/>
  <c r="Q24" i="19"/>
  <c r="O28" i="19"/>
  <c r="R97" i="15"/>
  <c r="N78" i="15"/>
  <c r="M179" i="15"/>
  <c r="N114" i="15"/>
  <c r="O113" i="15" s="1"/>
  <c r="O115" i="15" s="1"/>
  <c r="K127" i="14"/>
  <c r="M113" i="14"/>
  <c r="M115" i="14" s="1"/>
  <c r="M99" i="14"/>
  <c r="M111" i="14" s="1"/>
  <c r="M97" i="14"/>
  <c r="K33" i="12"/>
  <c r="N14" i="18"/>
  <c r="S14" i="18" s="1"/>
  <c r="H10" i="14"/>
  <c r="L54" i="12"/>
  <c r="E60" i="19"/>
  <c r="S23" i="18"/>
  <c r="N95" i="14"/>
  <c r="N117" i="15"/>
  <c r="N130" i="15" s="1"/>
  <c r="M99" i="15"/>
  <c r="M133" i="15" s="1"/>
  <c r="N95" i="15"/>
  <c r="M129" i="15"/>
  <c r="N81" i="15"/>
  <c r="N161" i="14"/>
  <c r="O161" i="14" s="1"/>
  <c r="P161" i="14" s="1"/>
  <c r="Q161" i="14" s="1"/>
  <c r="R161" i="14" s="1"/>
  <c r="S161" i="14" s="1"/>
  <c r="T161" i="14" s="1"/>
  <c r="U161" i="14" s="1"/>
  <c r="V161" i="14" s="1"/>
  <c r="W161" i="14" s="1"/>
  <c r="X161" i="14" s="1"/>
  <c r="Y161" i="14" s="1"/>
  <c r="I89" i="14"/>
  <c r="J81" i="14"/>
  <c r="J133" i="14" s="1"/>
  <c r="J179" i="14"/>
  <c r="K77" i="14"/>
  <c r="K79" i="14" s="1"/>
  <c r="K131" i="14" s="1"/>
  <c r="N116" i="14"/>
  <c r="J2" i="22"/>
  <c r="J17" i="22" s="1"/>
  <c r="N17" i="18"/>
  <c r="L7" i="19"/>
  <c r="K53" i="19"/>
  <c r="K43" i="19"/>
  <c r="K23" i="19"/>
  <c r="Q13" i="19"/>
  <c r="I45" i="12"/>
  <c r="H45" i="12"/>
  <c r="U30" i="18"/>
  <c r="J46" i="11"/>
  <c r="J54" i="11"/>
  <c r="J48" i="11"/>
  <c r="J44" i="11"/>
  <c r="H42" i="11"/>
  <c r="G132" i="1" s="1"/>
  <c r="G133" i="1" s="1"/>
  <c r="G136" i="1" s="1"/>
  <c r="L48" i="11"/>
  <c r="L47" i="11"/>
  <c r="L46" i="11"/>
  <c r="L44" i="11"/>
  <c r="K42" i="11"/>
  <c r="H132" i="1" s="1"/>
  <c r="F78" i="11"/>
  <c r="G29" i="19"/>
  <c r="I34" i="18" s="1"/>
  <c r="P28" i="19"/>
  <c r="P27" i="19"/>
  <c r="P30" i="19"/>
  <c r="E30" i="19"/>
  <c r="E28" i="19"/>
  <c r="E27" i="19"/>
  <c r="Q26" i="19"/>
  <c r="C4" i="22" l="1"/>
  <c r="C5" i="22" s="1"/>
  <c r="C18" i="22" s="1"/>
  <c r="C25" i="22" s="1"/>
  <c r="G12" i="18" s="1"/>
  <c r="G15" i="18" s="1"/>
  <c r="E46" i="19"/>
  <c r="E47" i="19" s="1"/>
  <c r="E49" i="19" s="1"/>
  <c r="S10" i="18"/>
  <c r="E4" i="22"/>
  <c r="E5" i="22" s="1"/>
  <c r="E18" i="22" s="1"/>
  <c r="G46" i="19"/>
  <c r="M46" i="19"/>
  <c r="K4" i="22"/>
  <c r="K46" i="19"/>
  <c r="I4" i="22"/>
  <c r="I5" i="22" s="1"/>
  <c r="I18" i="22" s="1"/>
  <c r="D4" i="22"/>
  <c r="D5" i="22" s="1"/>
  <c r="D18" i="22" s="1"/>
  <c r="F46" i="19"/>
  <c r="P46" i="19"/>
  <c r="N4" i="22"/>
  <c r="F44" i="19"/>
  <c r="S8" i="18"/>
  <c r="H46" i="19"/>
  <c r="F4" i="22"/>
  <c r="F5" i="22" s="1"/>
  <c r="F18" i="22" s="1"/>
  <c r="H4" i="22"/>
  <c r="H5" i="22" s="1"/>
  <c r="H18" i="22" s="1"/>
  <c r="J46" i="19"/>
  <c r="I46" i="19"/>
  <c r="G4" i="22"/>
  <c r="G5" i="22" s="1"/>
  <c r="G18" i="22" s="1"/>
  <c r="L4" i="22"/>
  <c r="N46" i="19"/>
  <c r="M4" i="22"/>
  <c r="O46" i="19"/>
  <c r="L46" i="19"/>
  <c r="J4" i="22"/>
  <c r="G10" i="15"/>
  <c r="L29" i="19"/>
  <c r="N34" i="18" s="1"/>
  <c r="L110" i="15"/>
  <c r="L204" i="15" s="1"/>
  <c r="H7" i="15"/>
  <c r="E54" i="19"/>
  <c r="N79" i="15"/>
  <c r="E35" i="12"/>
  <c r="C36" i="12" s="1"/>
  <c r="G83" i="12"/>
  <c r="L45" i="12"/>
  <c r="K49" i="12"/>
  <c r="L49" i="12" s="1"/>
  <c r="F44" i="21" s="1"/>
  <c r="J45" i="11"/>
  <c r="K143" i="15"/>
  <c r="K157" i="15" s="1"/>
  <c r="L22" i="22"/>
  <c r="J20" i="22"/>
  <c r="K21" i="22"/>
  <c r="I12" i="22"/>
  <c r="I10" i="22"/>
  <c r="I13" i="22"/>
  <c r="I11" i="22"/>
  <c r="I14" i="22"/>
  <c r="J3" i="22"/>
  <c r="I16" i="22"/>
  <c r="I15" i="22"/>
  <c r="I7" i="22"/>
  <c r="I9" i="22"/>
  <c r="I8" i="22"/>
  <c r="M23" i="22"/>
  <c r="H133" i="1"/>
  <c r="H136" i="1" s="1"/>
  <c r="L45" i="11"/>
  <c r="H49" i="11"/>
  <c r="J49" i="11" s="1"/>
  <c r="E29" i="21" s="1"/>
  <c r="K49" i="11"/>
  <c r="L49" i="11" s="1"/>
  <c r="F29" i="21" s="1"/>
  <c r="G83" i="11"/>
  <c r="F45" i="11"/>
  <c r="G45" i="11" s="1"/>
  <c r="N96" i="15"/>
  <c r="N98" i="15" s="1"/>
  <c r="N131" i="15"/>
  <c r="N82" i="15"/>
  <c r="N94" i="15"/>
  <c r="O29" i="19"/>
  <c r="Q34" i="18" s="1"/>
  <c r="M117" i="14"/>
  <c r="M129" i="14" s="1"/>
  <c r="N113" i="14"/>
  <c r="N117" i="14" s="1"/>
  <c r="L144" i="15"/>
  <c r="L158" i="15" s="1"/>
  <c r="N115" i="15"/>
  <c r="F22" i="16" s="1"/>
  <c r="S97" i="15"/>
  <c r="I201" i="14"/>
  <c r="I141" i="14"/>
  <c r="I155" i="14" s="1"/>
  <c r="N96" i="14"/>
  <c r="O95" i="14" s="1"/>
  <c r="P95" i="14" s="1"/>
  <c r="J45" i="12"/>
  <c r="N179" i="15"/>
  <c r="E61" i="19"/>
  <c r="Q60" i="19"/>
  <c r="N99" i="14"/>
  <c r="N99" i="15"/>
  <c r="N133" i="15" s="1"/>
  <c r="M111" i="15"/>
  <c r="N118" i="15"/>
  <c r="O117" i="15"/>
  <c r="P113" i="15"/>
  <c r="P115" i="15" s="1"/>
  <c r="O77" i="15"/>
  <c r="O79" i="15" s="1"/>
  <c r="Z161" i="14"/>
  <c r="AA161" i="14" s="1"/>
  <c r="AB161" i="14" s="1"/>
  <c r="AC161" i="14" s="1"/>
  <c r="AD161" i="14" s="1"/>
  <c r="AE161" i="14" s="1"/>
  <c r="AF161" i="14" s="1"/>
  <c r="AG161" i="14" s="1"/>
  <c r="AH161" i="14" s="1"/>
  <c r="AI161" i="14" s="1"/>
  <c r="AJ161" i="14" s="1"/>
  <c r="AK161" i="14" s="1"/>
  <c r="J90" i="14"/>
  <c r="K81" i="14"/>
  <c r="K133" i="14" s="1"/>
  <c r="K179" i="14"/>
  <c r="L77" i="14"/>
  <c r="L79" i="14" s="1"/>
  <c r="L131" i="14" s="1"/>
  <c r="O116" i="14"/>
  <c r="L23" i="19"/>
  <c r="L53" i="19"/>
  <c r="L43" i="19"/>
  <c r="K2" i="22"/>
  <c r="K17" i="22" s="1"/>
  <c r="M7" i="19"/>
  <c r="O17" i="18"/>
  <c r="F83" i="12"/>
  <c r="H49" i="12"/>
  <c r="U31" i="18"/>
  <c r="P29" i="19"/>
  <c r="R34" i="18" s="1"/>
  <c r="Q27" i="19"/>
  <c r="E29" i="19"/>
  <c r="Q28" i="19"/>
  <c r="Q30" i="19"/>
  <c r="H40" i="18"/>
  <c r="G54" i="19" l="1"/>
  <c r="G55" i="19" s="1"/>
  <c r="G47" i="19"/>
  <c r="G49" i="19" s="1"/>
  <c r="M54" i="19"/>
  <c r="M55" i="19" s="1"/>
  <c r="M47" i="19"/>
  <c r="M49" i="19" s="1"/>
  <c r="K54" i="19"/>
  <c r="K55" i="19" s="1"/>
  <c r="K47" i="19"/>
  <c r="K49" i="19" s="1"/>
  <c r="F54" i="19"/>
  <c r="H18" i="18" s="1"/>
  <c r="F47" i="19"/>
  <c r="P54" i="19"/>
  <c r="P55" i="19" s="1"/>
  <c r="P47" i="19"/>
  <c r="P49" i="19" s="1"/>
  <c r="F45" i="19"/>
  <c r="Q44" i="19"/>
  <c r="H54" i="19"/>
  <c r="H47" i="19"/>
  <c r="H49" i="19" s="1"/>
  <c r="J54" i="19"/>
  <c r="J47" i="19"/>
  <c r="J49" i="19" s="1"/>
  <c r="I54" i="19"/>
  <c r="I47" i="19"/>
  <c r="I49" i="19" s="1"/>
  <c r="Q46" i="19"/>
  <c r="N54" i="19"/>
  <c r="N47" i="19"/>
  <c r="N49" i="19" s="1"/>
  <c r="O54" i="19"/>
  <c r="O47" i="19"/>
  <c r="O49" i="19" s="1"/>
  <c r="L54" i="19"/>
  <c r="L47" i="19"/>
  <c r="L49" i="19" s="1"/>
  <c r="H9" i="15"/>
  <c r="H2" i="15" s="1"/>
  <c r="K54" i="12" s="1"/>
  <c r="E55" i="19"/>
  <c r="G18" i="18"/>
  <c r="N180" i="15"/>
  <c r="N181" i="15" s="1"/>
  <c r="C134" i="12"/>
  <c r="N23" i="22"/>
  <c r="J16" i="22"/>
  <c r="J14" i="22"/>
  <c r="J11" i="22"/>
  <c r="J9" i="22"/>
  <c r="J12" i="22"/>
  <c r="J7" i="22"/>
  <c r="J10" i="22"/>
  <c r="J15" i="22"/>
  <c r="J13" i="22"/>
  <c r="J8" i="22"/>
  <c r="K3" i="22"/>
  <c r="K20" i="22"/>
  <c r="L21" i="22"/>
  <c r="J5" i="22"/>
  <c r="J18" i="22" s="1"/>
  <c r="M22" i="22"/>
  <c r="F49" i="11"/>
  <c r="G49" i="11" s="1"/>
  <c r="D29" i="21" s="1"/>
  <c r="E83" i="11"/>
  <c r="J49" i="12"/>
  <c r="E44" i="21" s="1"/>
  <c r="N114" i="14"/>
  <c r="O113" i="14" s="1"/>
  <c r="O115" i="14" s="1"/>
  <c r="N132" i="15"/>
  <c r="M205" i="15"/>
  <c r="M145" i="15"/>
  <c r="M159" i="15" s="1"/>
  <c r="N97" i="14"/>
  <c r="T97" i="15"/>
  <c r="U97" i="15" s="1"/>
  <c r="N118" i="14"/>
  <c r="J202" i="14"/>
  <c r="J142" i="14"/>
  <c r="J156" i="14" s="1"/>
  <c r="P99" i="14"/>
  <c r="P97" i="14"/>
  <c r="O99" i="14"/>
  <c r="O101" i="14" s="1"/>
  <c r="O97" i="14"/>
  <c r="G6" i="22"/>
  <c r="H19" i="22" s="1"/>
  <c r="H25" i="22" s="1"/>
  <c r="L12" i="18" s="1"/>
  <c r="L15" i="18" s="1"/>
  <c r="I6" i="22"/>
  <c r="J19" i="22" s="1"/>
  <c r="H6" i="22"/>
  <c r="I19" i="22" s="1"/>
  <c r="I25" i="22" s="1"/>
  <c r="M12" i="18" s="1"/>
  <c r="M15" i="18" s="1"/>
  <c r="E6" i="22"/>
  <c r="F19" i="22" s="1"/>
  <c r="F25" i="22" s="1"/>
  <c r="J12" i="18" s="1"/>
  <c r="J15" i="18" s="1"/>
  <c r="F6" i="22"/>
  <c r="G19" i="22" s="1"/>
  <c r="G25" i="22" s="1"/>
  <c r="K12" i="18" s="1"/>
  <c r="K15" i="18" s="1"/>
  <c r="C6" i="22"/>
  <c r="D19" i="22" s="1"/>
  <c r="D25" i="22" s="1"/>
  <c r="H12" i="18" s="1"/>
  <c r="H15" i="18" s="1"/>
  <c r="D6" i="22"/>
  <c r="E19" i="22" s="1"/>
  <c r="E25" i="22" s="1"/>
  <c r="I12" i="18" s="1"/>
  <c r="I15" i="18" s="1"/>
  <c r="N112" i="14"/>
  <c r="N100" i="14"/>
  <c r="O119" i="15"/>
  <c r="P117" i="15"/>
  <c r="Q113" i="15"/>
  <c r="Q115" i="15" s="1"/>
  <c r="N112" i="15"/>
  <c r="N206" i="15" s="1"/>
  <c r="N100" i="15"/>
  <c r="N194" i="15" s="1"/>
  <c r="O95" i="15"/>
  <c r="O81" i="15"/>
  <c r="P77" i="15"/>
  <c r="P79" i="15" s="1"/>
  <c r="AL161" i="14"/>
  <c r="N130" i="14"/>
  <c r="K91" i="14"/>
  <c r="L81" i="14"/>
  <c r="L133" i="14" s="1"/>
  <c r="L179" i="14"/>
  <c r="M77" i="14"/>
  <c r="M79" i="14" s="1"/>
  <c r="M131" i="14" s="1"/>
  <c r="P116" i="14"/>
  <c r="Q95" i="14"/>
  <c r="N7" i="19"/>
  <c r="P17" i="18"/>
  <c r="L2" i="22"/>
  <c r="L17" i="22" s="1"/>
  <c r="M53" i="19"/>
  <c r="M23" i="19"/>
  <c r="M43" i="19"/>
  <c r="U32" i="18"/>
  <c r="Q29" i="19"/>
  <c r="G34" i="18"/>
  <c r="S40" i="18"/>
  <c r="Q54" i="19" l="1"/>
  <c r="F49" i="19"/>
  <c r="Q49" i="19" s="1"/>
  <c r="F55" i="19"/>
  <c r="I18" i="18"/>
  <c r="J18" i="18"/>
  <c r="H55" i="19"/>
  <c r="M18" i="18"/>
  <c r="J55" i="19"/>
  <c r="K18" i="18"/>
  <c r="I55" i="19"/>
  <c r="L18" i="18"/>
  <c r="Q18" i="18"/>
  <c r="N55" i="19"/>
  <c r="P18" i="18"/>
  <c r="R18" i="18"/>
  <c r="O55" i="19"/>
  <c r="O18" i="18"/>
  <c r="L55" i="19"/>
  <c r="N18" i="18"/>
  <c r="H10" i="15"/>
  <c r="S186" i="15"/>
  <c r="M21" i="22"/>
  <c r="N22" i="22"/>
  <c r="J6" i="22"/>
  <c r="K19" i="22" s="1"/>
  <c r="J25" i="22"/>
  <c r="N12" i="18" s="1"/>
  <c r="N15" i="18" s="1"/>
  <c r="K7" i="22"/>
  <c r="K12" i="22"/>
  <c r="L3" i="22"/>
  <c r="K8" i="22"/>
  <c r="K11" i="22"/>
  <c r="K16" i="22"/>
  <c r="K14" i="22"/>
  <c r="K15" i="22"/>
  <c r="K5" i="22"/>
  <c r="K9" i="22"/>
  <c r="K10" i="22"/>
  <c r="K13" i="22"/>
  <c r="L20" i="22"/>
  <c r="O182" i="15"/>
  <c r="R185" i="15"/>
  <c r="Q184" i="15"/>
  <c r="P183" i="15"/>
  <c r="N193" i="15"/>
  <c r="F62" i="12" s="1"/>
  <c r="O131" i="15"/>
  <c r="O98" i="15"/>
  <c r="N115" i="14"/>
  <c r="P113" i="14"/>
  <c r="P115" i="14" s="1"/>
  <c r="O117" i="14"/>
  <c r="O119" i="14" s="1"/>
  <c r="N134" i="15"/>
  <c r="N148" i="15" s="1"/>
  <c r="N146" i="15"/>
  <c r="N160" i="15" s="1"/>
  <c r="F50" i="12"/>
  <c r="G50" i="12" s="1"/>
  <c r="P102" i="14"/>
  <c r="O83" i="15"/>
  <c r="V97" i="15"/>
  <c r="O179" i="15"/>
  <c r="K203" i="14"/>
  <c r="K143" i="14"/>
  <c r="K157" i="14" s="1"/>
  <c r="Q99" i="14"/>
  <c r="Q103" i="14" s="1"/>
  <c r="Q97" i="14"/>
  <c r="Q117" i="15"/>
  <c r="R113" i="15"/>
  <c r="R115" i="15" s="1"/>
  <c r="P120" i="15"/>
  <c r="P81" i="15"/>
  <c r="Q77" i="15"/>
  <c r="Q79" i="15" s="1"/>
  <c r="O99" i="15"/>
  <c r="O133" i="15" s="1"/>
  <c r="P95" i="15"/>
  <c r="L92" i="14"/>
  <c r="M81" i="14"/>
  <c r="M179" i="14"/>
  <c r="N77" i="14"/>
  <c r="Q116" i="14"/>
  <c r="R95" i="14"/>
  <c r="O7" i="19"/>
  <c r="M2" i="22"/>
  <c r="M17" i="22" s="1"/>
  <c r="Q17" i="18"/>
  <c r="N53" i="19"/>
  <c r="N43" i="19"/>
  <c r="N23" i="19"/>
  <c r="U33" i="18"/>
  <c r="S34" i="18"/>
  <c r="S18" i="18" l="1"/>
  <c r="P117" i="14"/>
  <c r="M20" i="22"/>
  <c r="N21" i="22"/>
  <c r="L9" i="22"/>
  <c r="L12" i="22"/>
  <c r="M3" i="22"/>
  <c r="L15" i="22"/>
  <c r="L8" i="22"/>
  <c r="L10" i="22"/>
  <c r="L16" i="22"/>
  <c r="L5" i="22"/>
  <c r="L13" i="22"/>
  <c r="L11" i="22"/>
  <c r="L14" i="22"/>
  <c r="L7" i="22"/>
  <c r="K18" i="22"/>
  <c r="K25" i="22" s="1"/>
  <c r="O12" i="18" s="1"/>
  <c r="O15" i="18" s="1"/>
  <c r="K6" i="22"/>
  <c r="L19" i="22" s="1"/>
  <c r="F51" i="12"/>
  <c r="P131" i="15"/>
  <c r="P98" i="15"/>
  <c r="Q113" i="14"/>
  <c r="Q115" i="14" s="1"/>
  <c r="F21" i="16"/>
  <c r="F20" i="16"/>
  <c r="F23" i="16" s="1"/>
  <c r="W97" i="15"/>
  <c r="P179" i="15"/>
  <c r="M93" i="14"/>
  <c r="M133" i="14"/>
  <c r="L204" i="14"/>
  <c r="L144" i="14"/>
  <c r="L158" i="14" s="1"/>
  <c r="R99" i="14"/>
  <c r="R104" i="14" s="1"/>
  <c r="R97" i="14"/>
  <c r="P84" i="15"/>
  <c r="P99" i="15"/>
  <c r="P133" i="15" s="1"/>
  <c r="Q95" i="15"/>
  <c r="R117" i="15"/>
  <c r="S113" i="15"/>
  <c r="S115" i="15" s="1"/>
  <c r="Q121" i="15"/>
  <c r="O101" i="15"/>
  <c r="O135" i="15" s="1"/>
  <c r="O149" i="15" s="1"/>
  <c r="R77" i="15"/>
  <c r="R79" i="15" s="1"/>
  <c r="Q81" i="15"/>
  <c r="P120" i="14"/>
  <c r="N78" i="14"/>
  <c r="N132" i="14" s="1"/>
  <c r="N81" i="14"/>
  <c r="N133" i="14" s="1"/>
  <c r="N179" i="14"/>
  <c r="R116" i="14"/>
  <c r="S95" i="14"/>
  <c r="R17" i="18"/>
  <c r="P7" i="19"/>
  <c r="N2" i="22"/>
  <c r="N17" i="22" s="1"/>
  <c r="O23" i="19"/>
  <c r="O43" i="19"/>
  <c r="O53" i="19"/>
  <c r="U34" i="18"/>
  <c r="B40" i="18"/>
  <c r="R113" i="14" l="1"/>
  <c r="R115" i="14" s="1"/>
  <c r="F122" i="16"/>
  <c r="N20" i="22"/>
  <c r="M7" i="22"/>
  <c r="M13" i="22"/>
  <c r="M9" i="22"/>
  <c r="M11" i="22"/>
  <c r="M12" i="22"/>
  <c r="M8" i="22"/>
  <c r="M14" i="22"/>
  <c r="M15" i="22"/>
  <c r="M10" i="22"/>
  <c r="N3" i="22"/>
  <c r="M16" i="22"/>
  <c r="M5" i="22"/>
  <c r="L6" i="22"/>
  <c r="M19" i="22" s="1"/>
  <c r="L18" i="22"/>
  <c r="L25" i="22" s="1"/>
  <c r="P12" i="18" s="1"/>
  <c r="P15" i="18" s="1"/>
  <c r="G51" i="12"/>
  <c r="F53" i="12"/>
  <c r="F59" i="12" s="1"/>
  <c r="F60" i="12" s="1"/>
  <c r="E89" i="12"/>
  <c r="E93" i="12"/>
  <c r="Q117" i="14"/>
  <c r="Q121" i="14" s="1"/>
  <c r="Q131" i="15"/>
  <c r="Q98" i="15"/>
  <c r="O195" i="15"/>
  <c r="X97" i="15"/>
  <c r="Q179" i="15"/>
  <c r="M205" i="14"/>
  <c r="M145" i="14"/>
  <c r="M159" i="14" s="1"/>
  <c r="N79" i="14"/>
  <c r="N131" i="14" s="1"/>
  <c r="F22" i="1" s="1"/>
  <c r="W50" i="18" s="1"/>
  <c r="S99" i="14"/>
  <c r="S105" i="14" s="1"/>
  <c r="S97" i="14"/>
  <c r="R81" i="15"/>
  <c r="S77" i="15"/>
  <c r="S79" i="15" s="1"/>
  <c r="P102" i="15"/>
  <c r="S117" i="15"/>
  <c r="T113" i="15"/>
  <c r="R122" i="15"/>
  <c r="Q85" i="15"/>
  <c r="R95" i="15"/>
  <c r="Q99" i="15"/>
  <c r="Q133" i="15" s="1"/>
  <c r="N94" i="14"/>
  <c r="N206" i="14" s="1"/>
  <c r="N82" i="14"/>
  <c r="N180" i="14"/>
  <c r="N193" i="14" s="1"/>
  <c r="O77" i="14"/>
  <c r="S116" i="14"/>
  <c r="T95" i="14"/>
  <c r="P43" i="19"/>
  <c r="P53" i="19"/>
  <c r="P23" i="19"/>
  <c r="B41" i="18"/>
  <c r="U40" i="18"/>
  <c r="F123" i="16" l="1"/>
  <c r="F125" i="16" s="1"/>
  <c r="S113" i="14"/>
  <c r="S115" i="14" s="1"/>
  <c r="R117" i="14"/>
  <c r="G53" i="12"/>
  <c r="M18" i="22"/>
  <c r="M25" i="22" s="1"/>
  <c r="Q12" i="18" s="1"/>
  <c r="Q15" i="18" s="1"/>
  <c r="M6" i="22"/>
  <c r="N19" i="22" s="1"/>
  <c r="N8" i="22"/>
  <c r="N14" i="22"/>
  <c r="N9" i="22"/>
  <c r="N16" i="22"/>
  <c r="N7" i="22"/>
  <c r="N13" i="22"/>
  <c r="N12" i="22"/>
  <c r="N10" i="22"/>
  <c r="N11" i="22"/>
  <c r="N15" i="22"/>
  <c r="N5" i="22"/>
  <c r="R131" i="15"/>
  <c r="R98" i="15"/>
  <c r="P196" i="15"/>
  <c r="P136" i="15"/>
  <c r="P150" i="15" s="1"/>
  <c r="Y97" i="15"/>
  <c r="R179" i="15"/>
  <c r="T114" i="15"/>
  <c r="U113" i="15" s="1"/>
  <c r="U115" i="15" s="1"/>
  <c r="N194" i="14"/>
  <c r="N134" i="14"/>
  <c r="N148" i="14" s="1"/>
  <c r="F27" i="14"/>
  <c r="N146" i="14"/>
  <c r="F21" i="1" s="1"/>
  <c r="O179" i="14"/>
  <c r="O79" i="14"/>
  <c r="O131" i="14" s="1"/>
  <c r="G60" i="12"/>
  <c r="G59" i="12"/>
  <c r="F50" i="11"/>
  <c r="F62" i="11"/>
  <c r="T77" i="15"/>
  <c r="S81" i="15"/>
  <c r="T117" i="15"/>
  <c r="R86" i="15"/>
  <c r="S123" i="15"/>
  <c r="Q103" i="15"/>
  <c r="R99" i="15"/>
  <c r="R133" i="15" s="1"/>
  <c r="S95" i="15"/>
  <c r="O182" i="14"/>
  <c r="Q184" i="14"/>
  <c r="R185" i="14"/>
  <c r="S186" i="14"/>
  <c r="P183" i="14"/>
  <c r="N181" i="14"/>
  <c r="P77" i="14"/>
  <c r="O81" i="14"/>
  <c r="O133" i="14" s="1"/>
  <c r="R122" i="14"/>
  <c r="T99" i="14"/>
  <c r="T96" i="14"/>
  <c r="U95" i="14" s="1"/>
  <c r="T116" i="14"/>
  <c r="S117" i="14"/>
  <c r="T113" i="14"/>
  <c r="B42" i="18"/>
  <c r="U41" i="18"/>
  <c r="F124" i="16" l="1"/>
  <c r="D40" i="21" s="1"/>
  <c r="F128" i="16"/>
  <c r="E79" i="12" s="1"/>
  <c r="N18" i="22"/>
  <c r="N25" i="22" s="1"/>
  <c r="R12" i="18" s="1"/>
  <c r="N6" i="22"/>
  <c r="F129" i="16"/>
  <c r="E80" i="12" s="1"/>
  <c r="F51" i="11"/>
  <c r="W47" i="18" s="1"/>
  <c r="S131" i="15"/>
  <c r="S98" i="15"/>
  <c r="N160" i="14"/>
  <c r="T115" i="15"/>
  <c r="Q197" i="15"/>
  <c r="Q137" i="15"/>
  <c r="Q151" i="15" s="1"/>
  <c r="Z97" i="15"/>
  <c r="AA97" i="15" s="1"/>
  <c r="T78" i="15"/>
  <c r="T79" i="15" s="1"/>
  <c r="S179" i="15"/>
  <c r="T114" i="14"/>
  <c r="T115" i="14" s="1"/>
  <c r="U99" i="14"/>
  <c r="U107" i="14" s="1"/>
  <c r="U97" i="14"/>
  <c r="T97" i="14"/>
  <c r="P81" i="14"/>
  <c r="P133" i="14" s="1"/>
  <c r="P79" i="14"/>
  <c r="P131" i="14" s="1"/>
  <c r="G50" i="11"/>
  <c r="U117" i="15"/>
  <c r="V113" i="15"/>
  <c r="V115" i="15" s="1"/>
  <c r="S87" i="15"/>
  <c r="R104" i="15"/>
  <c r="T81" i="15"/>
  <c r="T124" i="15"/>
  <c r="T95" i="15"/>
  <c r="S99" i="15"/>
  <c r="S133" i="15" s="1"/>
  <c r="P179" i="14"/>
  <c r="Q77" i="14"/>
  <c r="S123" i="14"/>
  <c r="T106" i="14"/>
  <c r="O83" i="14"/>
  <c r="U116" i="14"/>
  <c r="T117" i="14"/>
  <c r="V95" i="14"/>
  <c r="U42" i="18"/>
  <c r="B43" i="18"/>
  <c r="F122" i="1" l="1"/>
  <c r="F20" i="1"/>
  <c r="F23" i="1" s="1"/>
  <c r="R15" i="18"/>
  <c r="S15" i="18" s="1"/>
  <c r="S12" i="18"/>
  <c r="G51" i="11"/>
  <c r="E89" i="11"/>
  <c r="E93" i="11"/>
  <c r="F53" i="11"/>
  <c r="F59" i="11" s="1"/>
  <c r="F60" i="11" s="1"/>
  <c r="G60" i="11" s="1"/>
  <c r="T179" i="15"/>
  <c r="T131" i="15"/>
  <c r="U113" i="14"/>
  <c r="U115" i="14" s="1"/>
  <c r="R198" i="15"/>
  <c r="R138" i="15"/>
  <c r="R152" i="15" s="1"/>
  <c r="AB97" i="15"/>
  <c r="O195" i="14"/>
  <c r="O135" i="14"/>
  <c r="O149" i="14" s="1"/>
  <c r="P84" i="14"/>
  <c r="V99" i="14"/>
  <c r="V108" i="14" s="1"/>
  <c r="V97" i="14"/>
  <c r="Q81" i="14"/>
  <c r="Q133" i="14" s="1"/>
  <c r="Q79" i="14"/>
  <c r="Q131" i="14" s="1"/>
  <c r="T96" i="15"/>
  <c r="T132" i="15" s="1"/>
  <c r="S105" i="15"/>
  <c r="T88" i="15"/>
  <c r="U77" i="15"/>
  <c r="U79" i="15" s="1"/>
  <c r="W113" i="15"/>
  <c r="W115" i="15" s="1"/>
  <c r="V117" i="15"/>
  <c r="T99" i="15"/>
  <c r="T133" i="15" s="1"/>
  <c r="U125" i="15"/>
  <c r="Q179" i="14"/>
  <c r="R77" i="14"/>
  <c r="T124" i="14"/>
  <c r="V116" i="14"/>
  <c r="W95" i="14"/>
  <c r="B44" i="18"/>
  <c r="U43" i="18"/>
  <c r="F123" i="1" l="1"/>
  <c r="R47" i="18"/>
  <c r="G47" i="18"/>
  <c r="M47" i="18"/>
  <c r="J47" i="18"/>
  <c r="P47" i="18"/>
  <c r="Q47" i="18"/>
  <c r="I47" i="18"/>
  <c r="N47" i="18"/>
  <c r="L47" i="18"/>
  <c r="H47" i="18"/>
  <c r="O47" i="18"/>
  <c r="K47" i="18"/>
  <c r="G59" i="11"/>
  <c r="G53" i="11"/>
  <c r="T98" i="15"/>
  <c r="U117" i="14"/>
  <c r="U125" i="14" s="1"/>
  <c r="V113" i="14"/>
  <c r="V115" i="14" s="1"/>
  <c r="S199" i="15"/>
  <c r="S139" i="15"/>
  <c r="S153" i="15" s="1"/>
  <c r="T180" i="15"/>
  <c r="AC97" i="15"/>
  <c r="P196" i="14"/>
  <c r="P136" i="14"/>
  <c r="P150" i="14" s="1"/>
  <c r="Q85" i="14"/>
  <c r="S77" i="14"/>
  <c r="S79" i="14" s="1"/>
  <c r="S131" i="14" s="1"/>
  <c r="R79" i="14"/>
  <c r="R131" i="14" s="1"/>
  <c r="W99" i="14"/>
  <c r="W109" i="14" s="1"/>
  <c r="W97" i="14"/>
  <c r="U81" i="15"/>
  <c r="V77" i="15"/>
  <c r="V79" i="15" s="1"/>
  <c r="U95" i="15"/>
  <c r="T106" i="15"/>
  <c r="W117" i="15"/>
  <c r="X113" i="15"/>
  <c r="X115" i="15" s="1"/>
  <c r="V126" i="15"/>
  <c r="R179" i="14"/>
  <c r="R81" i="14"/>
  <c r="W116" i="14"/>
  <c r="X95" i="14"/>
  <c r="U44" i="18"/>
  <c r="B45" i="18"/>
  <c r="F125" i="1" l="1"/>
  <c r="F124" i="1" s="1"/>
  <c r="D23" i="21" s="1"/>
  <c r="N91" i="19"/>
  <c r="H91" i="19"/>
  <c r="F91" i="19"/>
  <c r="G91" i="19"/>
  <c r="O91" i="19"/>
  <c r="J91" i="19"/>
  <c r="I91" i="19"/>
  <c r="T91" i="19"/>
  <c r="L91" i="19"/>
  <c r="K91" i="19"/>
  <c r="P91" i="19"/>
  <c r="M91" i="19"/>
  <c r="N92" i="19"/>
  <c r="J92" i="19"/>
  <c r="J83" i="19" s="1"/>
  <c r="G92" i="19"/>
  <c r="O92" i="19"/>
  <c r="K92" i="19"/>
  <c r="H92" i="19"/>
  <c r="T92" i="19"/>
  <c r="M92" i="19"/>
  <c r="I92" i="19"/>
  <c r="P92" i="19"/>
  <c r="L92" i="19"/>
  <c r="F92" i="19"/>
  <c r="S47" i="18"/>
  <c r="W113" i="14"/>
  <c r="W115" i="14" s="1"/>
  <c r="V117" i="14"/>
  <c r="V126" i="14" s="1"/>
  <c r="U131" i="15"/>
  <c r="U98" i="15"/>
  <c r="Y192" i="15"/>
  <c r="U188" i="15"/>
  <c r="W190" i="15"/>
  <c r="T187" i="15"/>
  <c r="H62" i="12" s="1"/>
  <c r="V189" i="15"/>
  <c r="T200" i="15"/>
  <c r="T140" i="15"/>
  <c r="T154" i="15" s="1"/>
  <c r="X191" i="15"/>
  <c r="AD97" i="15"/>
  <c r="U179" i="15"/>
  <c r="R86" i="14"/>
  <c r="R133" i="14"/>
  <c r="Q197" i="14"/>
  <c r="Q137" i="14"/>
  <c r="Q151" i="14" s="1"/>
  <c r="S179" i="14"/>
  <c r="S81" i="14"/>
  <c r="S133" i="14" s="1"/>
  <c r="T77" i="14"/>
  <c r="T179" i="14" s="1"/>
  <c r="X99" i="14"/>
  <c r="X110" i="14" s="1"/>
  <c r="X97" i="14"/>
  <c r="U89" i="15"/>
  <c r="U99" i="15"/>
  <c r="U133" i="15" s="1"/>
  <c r="V95" i="15"/>
  <c r="W77" i="15"/>
  <c r="W79" i="15" s="1"/>
  <c r="V81" i="15"/>
  <c r="W127" i="15"/>
  <c r="X117" i="15"/>
  <c r="Y113" i="15"/>
  <c r="Y115" i="15" s="1"/>
  <c r="X116" i="14"/>
  <c r="Y95" i="14"/>
  <c r="B46" i="18"/>
  <c r="U45" i="18"/>
  <c r="O83" i="19" l="1"/>
  <c r="P83" i="19"/>
  <c r="H83" i="19"/>
  <c r="I83" i="19"/>
  <c r="K83" i="19"/>
  <c r="L83" i="19"/>
  <c r="N83" i="19"/>
  <c r="F83" i="19"/>
  <c r="M83" i="19"/>
  <c r="T83" i="19"/>
  <c r="G83" i="19"/>
  <c r="T84" i="19"/>
  <c r="F128" i="1"/>
  <c r="F129" i="1" s="1"/>
  <c r="E80" i="11" s="1"/>
  <c r="Q92" i="19"/>
  <c r="O115" i="19"/>
  <c r="K115" i="19"/>
  <c r="H115" i="19"/>
  <c r="M115" i="19"/>
  <c r="P115" i="19"/>
  <c r="L115" i="19"/>
  <c r="N115" i="19"/>
  <c r="J115" i="19"/>
  <c r="G115" i="19"/>
  <c r="I115" i="19"/>
  <c r="F115" i="19"/>
  <c r="Q91" i="19"/>
  <c r="X113" i="14"/>
  <c r="X115" i="14" s="1"/>
  <c r="W117" i="14"/>
  <c r="V131" i="15"/>
  <c r="V98" i="15"/>
  <c r="AE97" i="15"/>
  <c r="V179" i="15"/>
  <c r="T81" i="14"/>
  <c r="T133" i="14" s="1"/>
  <c r="T78" i="14"/>
  <c r="T132" i="14" s="1"/>
  <c r="S87" i="14"/>
  <c r="S199" i="14" s="1"/>
  <c r="R198" i="14"/>
  <c r="R138" i="14"/>
  <c r="R152" i="14" s="1"/>
  <c r="Y99" i="14"/>
  <c r="Y111" i="14" s="1"/>
  <c r="Y97" i="14"/>
  <c r="W81" i="15"/>
  <c r="X77" i="15"/>
  <c r="X79" i="15" s="1"/>
  <c r="X128" i="15"/>
  <c r="V90" i="15"/>
  <c r="Z113" i="15"/>
  <c r="Y117" i="15"/>
  <c r="U107" i="15"/>
  <c r="W95" i="15"/>
  <c r="V99" i="15"/>
  <c r="V133" i="15" s="1"/>
  <c r="W127" i="14"/>
  <c r="Y116" i="14"/>
  <c r="X117" i="14"/>
  <c r="Y113" i="14"/>
  <c r="Y115" i="14" s="1"/>
  <c r="Z95" i="14"/>
  <c r="U46" i="18"/>
  <c r="B47" i="18"/>
  <c r="Q83" i="19" l="1"/>
  <c r="V32" i="18"/>
  <c r="T80" i="19"/>
  <c r="E79" i="11"/>
  <c r="Q115" i="19"/>
  <c r="W131" i="15"/>
  <c r="W98" i="15"/>
  <c r="T79" i="14"/>
  <c r="T131" i="14" s="1"/>
  <c r="S139" i="14"/>
  <c r="S153" i="14" s="1"/>
  <c r="T180" i="14"/>
  <c r="U77" i="14"/>
  <c r="U79" i="14" s="1"/>
  <c r="U131" i="14" s="1"/>
  <c r="T88" i="14"/>
  <c r="T200" i="14" s="1"/>
  <c r="H50" i="11" s="1"/>
  <c r="U201" i="15"/>
  <c r="U141" i="15"/>
  <c r="U155" i="15" s="1"/>
  <c r="AF97" i="15"/>
  <c r="AG97" i="15" s="1"/>
  <c r="W179" i="15"/>
  <c r="Z114" i="15"/>
  <c r="Y129" i="15"/>
  <c r="V108" i="15"/>
  <c r="Z117" i="15"/>
  <c r="Z130" i="15" s="1"/>
  <c r="X81" i="15"/>
  <c r="Y77" i="15"/>
  <c r="Y79" i="15" s="1"/>
  <c r="W99" i="15"/>
  <c r="W133" i="15" s="1"/>
  <c r="X95" i="15"/>
  <c r="W91" i="15"/>
  <c r="X128" i="14"/>
  <c r="Z99" i="14"/>
  <c r="Z96" i="14"/>
  <c r="AA95" i="14" s="1"/>
  <c r="Y117" i="14"/>
  <c r="Z116" i="14"/>
  <c r="Z113" i="14"/>
  <c r="B48" i="18"/>
  <c r="U47" i="18"/>
  <c r="V189" i="14" l="1"/>
  <c r="X131" i="15"/>
  <c r="X98" i="15"/>
  <c r="U188" i="14"/>
  <c r="T140" i="14"/>
  <c r="T154" i="14" s="1"/>
  <c r="V77" i="14"/>
  <c r="V79" i="14" s="1"/>
  <c r="V131" i="14" s="1"/>
  <c r="U179" i="14"/>
  <c r="U81" i="14"/>
  <c r="U133" i="14" s="1"/>
  <c r="T187" i="14"/>
  <c r="X191" i="14"/>
  <c r="W190" i="14"/>
  <c r="Y192" i="14"/>
  <c r="AA113" i="15"/>
  <c r="AA115" i="15" s="1"/>
  <c r="V202" i="15"/>
  <c r="V142" i="15"/>
  <c r="V156" i="15" s="1"/>
  <c r="Z115" i="15"/>
  <c r="AH97" i="15"/>
  <c r="X179" i="15"/>
  <c r="Z114" i="14"/>
  <c r="AA113" i="14" s="1"/>
  <c r="AA115" i="14" s="1"/>
  <c r="AA99" i="14"/>
  <c r="AA101" i="14" s="1"/>
  <c r="AA97" i="14"/>
  <c r="Z97" i="14"/>
  <c r="Z118" i="15"/>
  <c r="X99" i="15"/>
  <c r="X133" i="15" s="1"/>
  <c r="Y95" i="15"/>
  <c r="W109" i="15"/>
  <c r="Y81" i="15"/>
  <c r="Z77" i="15"/>
  <c r="X92" i="15"/>
  <c r="Z112" i="14"/>
  <c r="Z100" i="14"/>
  <c r="Y129" i="14"/>
  <c r="AA116" i="14"/>
  <c r="Z117" i="14"/>
  <c r="AB95" i="14"/>
  <c r="U48" i="18"/>
  <c r="B49" i="18"/>
  <c r="AA117" i="15" l="1"/>
  <c r="AA119" i="15" s="1"/>
  <c r="W77" i="14"/>
  <c r="W79" i="14" s="1"/>
  <c r="W131" i="14" s="1"/>
  <c r="Y131" i="15"/>
  <c r="Y98" i="15"/>
  <c r="V179" i="14"/>
  <c r="AB113" i="15"/>
  <c r="AB115" i="15" s="1"/>
  <c r="V81" i="14"/>
  <c r="V133" i="14" s="1"/>
  <c r="U89" i="14"/>
  <c r="U201" i="14" s="1"/>
  <c r="W203" i="15"/>
  <c r="W143" i="15"/>
  <c r="W157" i="15" s="1"/>
  <c r="AI97" i="15"/>
  <c r="Z78" i="15"/>
  <c r="Y179" i="15"/>
  <c r="Z115" i="14"/>
  <c r="AB99" i="14"/>
  <c r="AB102" i="14" s="1"/>
  <c r="AB97" i="14"/>
  <c r="X110" i="15"/>
  <c r="Z81" i="15"/>
  <c r="Z94" i="15" s="1"/>
  <c r="Y93" i="15"/>
  <c r="Z95" i="15"/>
  <c r="Y99" i="15"/>
  <c r="Y133" i="15" s="1"/>
  <c r="Z130" i="14"/>
  <c r="Z118" i="14"/>
  <c r="AB116" i="14"/>
  <c r="AA117" i="14"/>
  <c r="AB113" i="14"/>
  <c r="AB115" i="14" s="1"/>
  <c r="AC95" i="14"/>
  <c r="U49" i="18"/>
  <c r="B50" i="18"/>
  <c r="V90" i="14" l="1"/>
  <c r="V202" i="14" s="1"/>
  <c r="W179" i="14"/>
  <c r="X77" i="14"/>
  <c r="X79" i="14" s="1"/>
  <c r="X131" i="14" s="1"/>
  <c r="W81" i="14"/>
  <c r="W133" i="14" s="1"/>
  <c r="Z131" i="15"/>
  <c r="Z79" i="15"/>
  <c r="G22" i="16" s="1"/>
  <c r="AB117" i="15"/>
  <c r="AB120" i="15" s="1"/>
  <c r="AC113" i="15"/>
  <c r="AC115" i="15" s="1"/>
  <c r="U141" i="14"/>
  <c r="U155" i="14" s="1"/>
  <c r="AA77" i="15"/>
  <c r="AA79" i="15" s="1"/>
  <c r="X204" i="15"/>
  <c r="X144" i="15"/>
  <c r="X158" i="15" s="1"/>
  <c r="AJ97" i="15"/>
  <c r="Z179" i="15"/>
  <c r="AC99" i="14"/>
  <c r="AC103" i="14" s="1"/>
  <c r="AC97" i="14"/>
  <c r="Z96" i="15"/>
  <c r="Z132" i="15" s="1"/>
  <c r="Y111" i="15"/>
  <c r="Y145" i="15" s="1"/>
  <c r="Y159" i="15" s="1"/>
  <c r="Z82" i="15"/>
  <c r="Z99" i="15"/>
  <c r="Z133" i="15" s="1"/>
  <c r="AA119" i="14"/>
  <c r="AC116" i="14"/>
  <c r="AB117" i="14"/>
  <c r="AC113" i="14"/>
  <c r="AC115" i="14" s="1"/>
  <c r="AD95" i="14"/>
  <c r="U50" i="18"/>
  <c r="B51" i="18"/>
  <c r="W91" i="14" l="1"/>
  <c r="W203" i="14" s="1"/>
  <c r="V142" i="14"/>
  <c r="V156" i="14" s="1"/>
  <c r="Y77" i="14"/>
  <c r="Y79" i="14" s="1"/>
  <c r="Y131" i="14" s="1"/>
  <c r="X81" i="14"/>
  <c r="X133" i="14" s="1"/>
  <c r="X179" i="14"/>
  <c r="AD113" i="15"/>
  <c r="AD115" i="15" s="1"/>
  <c r="Z98" i="15"/>
  <c r="AC117" i="15"/>
  <c r="AC121" i="15" s="1"/>
  <c r="AB77" i="15"/>
  <c r="AB79" i="15" s="1"/>
  <c r="AA81" i="15"/>
  <c r="AA83" i="15" s="1"/>
  <c r="Y205" i="15"/>
  <c r="AK97" i="15"/>
  <c r="AD99" i="14"/>
  <c r="AD104" i="14" s="1"/>
  <c r="AD97" i="14"/>
  <c r="AA95" i="15"/>
  <c r="Z180" i="15"/>
  <c r="Z193" i="15" s="1"/>
  <c r="Z112" i="15"/>
  <c r="Z146" i="15" s="1"/>
  <c r="Z160" i="15" s="1"/>
  <c r="Z100" i="15"/>
  <c r="AB120" i="14"/>
  <c r="AD116" i="14"/>
  <c r="AC117" i="14"/>
  <c r="AD113" i="14"/>
  <c r="AD115" i="14" s="1"/>
  <c r="AE95" i="14"/>
  <c r="U51" i="18"/>
  <c r="B52" i="18"/>
  <c r="W143" i="14" l="1"/>
  <c r="W157" i="14" s="1"/>
  <c r="X92" i="14"/>
  <c r="X204" i="14" s="1"/>
  <c r="AE113" i="15"/>
  <c r="AE115" i="15" s="1"/>
  <c r="AD117" i="15"/>
  <c r="AD122" i="15" s="1"/>
  <c r="Z77" i="14"/>
  <c r="Z78" i="14" s="1"/>
  <c r="Y81" i="14"/>
  <c r="Y133" i="14" s="1"/>
  <c r="AC77" i="15"/>
  <c r="AC79" i="15" s="1"/>
  <c r="Y179" i="14"/>
  <c r="AB81" i="15"/>
  <c r="AB84" i="15" s="1"/>
  <c r="AA131" i="15"/>
  <c r="AA98" i="15"/>
  <c r="Z194" i="15"/>
  <c r="Z134" i="15"/>
  <c r="Z148" i="15" s="1"/>
  <c r="Z206" i="15"/>
  <c r="H50" i="12" s="1"/>
  <c r="G21" i="16"/>
  <c r="AL97" i="15"/>
  <c r="AA179" i="15"/>
  <c r="AE99" i="14"/>
  <c r="AE105" i="14" s="1"/>
  <c r="AE97" i="14"/>
  <c r="AB95" i="15"/>
  <c r="AA99" i="15"/>
  <c r="Z181" i="15"/>
  <c r="AB183" i="15"/>
  <c r="AD185" i="15"/>
  <c r="AC184" i="15"/>
  <c r="AE186" i="15"/>
  <c r="AA182" i="15"/>
  <c r="AC121" i="14"/>
  <c r="AE116" i="14"/>
  <c r="AD117" i="14"/>
  <c r="AE113" i="14"/>
  <c r="AE115" i="14" s="1"/>
  <c r="AF95" i="14"/>
  <c r="U52" i="18"/>
  <c r="B53" i="18"/>
  <c r="X144" i="14" l="1"/>
  <c r="X158" i="14" s="1"/>
  <c r="Y93" i="14"/>
  <c r="Y205" i="14" s="1"/>
  <c r="AF113" i="15"/>
  <c r="AF114" i="15" s="1"/>
  <c r="AE117" i="15"/>
  <c r="Z179" i="14"/>
  <c r="Z81" i="14"/>
  <c r="Z133" i="14" s="1"/>
  <c r="AD77" i="15"/>
  <c r="AD79" i="15" s="1"/>
  <c r="AC81" i="15"/>
  <c r="AC85" i="15" s="1"/>
  <c r="J50" i="12"/>
  <c r="H51" i="12"/>
  <c r="J51" i="12" s="1"/>
  <c r="AB131" i="15"/>
  <c r="AB98" i="15"/>
  <c r="G20" i="16"/>
  <c r="G23" i="16" s="1"/>
  <c r="AA101" i="15"/>
  <c r="AA133" i="15"/>
  <c r="AE123" i="15"/>
  <c r="AB179" i="15"/>
  <c r="AD122" i="14"/>
  <c r="Z180" i="14"/>
  <c r="AE186" i="14" s="1"/>
  <c r="Z132" i="14"/>
  <c r="Z79" i="14"/>
  <c r="Z131" i="14" s="1"/>
  <c r="G22" i="1" s="1"/>
  <c r="AC95" i="15"/>
  <c r="AB99" i="15"/>
  <c r="AF117" i="15"/>
  <c r="AA77" i="14"/>
  <c r="AF99" i="14"/>
  <c r="AF106" i="14" s="1"/>
  <c r="AF96" i="14"/>
  <c r="AG95" i="14" s="1"/>
  <c r="AF116" i="14"/>
  <c r="AE117" i="14"/>
  <c r="AF113" i="14"/>
  <c r="U53" i="18"/>
  <c r="B54" i="18"/>
  <c r="U54" i="18" s="1"/>
  <c r="H53" i="12" l="1"/>
  <c r="H59" i="12" s="1"/>
  <c r="H60" i="12" s="1"/>
  <c r="Y145" i="14"/>
  <c r="Y159" i="14" s="1"/>
  <c r="Z94" i="14"/>
  <c r="Z146" i="14" s="1"/>
  <c r="Z160" i="14" s="1"/>
  <c r="G20" i="1" s="1"/>
  <c r="G23" i="1" s="1"/>
  <c r="Z82" i="14"/>
  <c r="Z194" i="14" s="1"/>
  <c r="AD81" i="15"/>
  <c r="AD86" i="15" s="1"/>
  <c r="AE77" i="15"/>
  <c r="AE79" i="15" s="1"/>
  <c r="F93" i="12"/>
  <c r="G122" i="16"/>
  <c r="AC184" i="14"/>
  <c r="AA182" i="14"/>
  <c r="Z181" i="14"/>
  <c r="Z193" i="14"/>
  <c r="AC131" i="15"/>
  <c r="AC98" i="15"/>
  <c r="R50" i="18"/>
  <c r="L50" i="18"/>
  <c r="F89" i="12"/>
  <c r="AB183" i="14"/>
  <c r="AF115" i="15"/>
  <c r="AG113" i="15"/>
  <c r="AG115" i="15" s="1"/>
  <c r="AB102" i="15"/>
  <c r="AB133" i="15"/>
  <c r="AA195" i="15"/>
  <c r="AA135" i="15"/>
  <c r="AA149" i="15" s="1"/>
  <c r="AC179" i="15"/>
  <c r="AF124" i="15"/>
  <c r="AD95" i="15"/>
  <c r="AD98" i="15" s="1"/>
  <c r="AE123" i="14"/>
  <c r="AD185" i="14"/>
  <c r="AF114" i="14"/>
  <c r="AG113" i="14" s="1"/>
  <c r="AG115" i="14" s="1"/>
  <c r="AG99" i="14"/>
  <c r="AG107" i="14" s="1"/>
  <c r="AG97" i="14"/>
  <c r="AA81" i="14"/>
  <c r="AA79" i="14"/>
  <c r="AA131" i="14" s="1"/>
  <c r="AF97" i="14"/>
  <c r="AC99" i="15"/>
  <c r="AC133" i="15" s="1"/>
  <c r="H62" i="11"/>
  <c r="AB77" i="14"/>
  <c r="AA179" i="14"/>
  <c r="AG116" i="14"/>
  <c r="AF117" i="14"/>
  <c r="AH95" i="14"/>
  <c r="Z134" i="14" l="1"/>
  <c r="Z148" i="14" s="1"/>
  <c r="Z206" i="14"/>
  <c r="H51" i="11" s="1"/>
  <c r="G21" i="1"/>
  <c r="W46" i="18" s="1"/>
  <c r="R46" i="18" s="1"/>
  <c r="AF77" i="15"/>
  <c r="AF81" i="15" s="1"/>
  <c r="J53" i="12"/>
  <c r="AE81" i="15"/>
  <c r="AE87" i="15" s="1"/>
  <c r="G123" i="16"/>
  <c r="AG117" i="15"/>
  <c r="AG125" i="15" s="1"/>
  <c r="AH113" i="15"/>
  <c r="AH115" i="15" s="1"/>
  <c r="AD99" i="15"/>
  <c r="AD133" i="15" s="1"/>
  <c r="AD131" i="15"/>
  <c r="AC103" i="15"/>
  <c r="AC137" i="15" s="1"/>
  <c r="AC151" i="15" s="1"/>
  <c r="S50" i="18"/>
  <c r="J50" i="11"/>
  <c r="AB196" i="15"/>
  <c r="AB136" i="15"/>
  <c r="AB150" i="15" s="1"/>
  <c r="AD179" i="15"/>
  <c r="AE95" i="15"/>
  <c r="AE98" i="15" s="1"/>
  <c r="AA83" i="14"/>
  <c r="AA133" i="14"/>
  <c r="AF124" i="14"/>
  <c r="AF115" i="14"/>
  <c r="AH99" i="14"/>
  <c r="AH108" i="14" s="1"/>
  <c r="AH97" i="14"/>
  <c r="AB81" i="14"/>
  <c r="AB133" i="14" s="1"/>
  <c r="AB79" i="14"/>
  <c r="AB131" i="14" s="1"/>
  <c r="J60" i="12"/>
  <c r="J59" i="12"/>
  <c r="AC77" i="14"/>
  <c r="AB179" i="14"/>
  <c r="AH116" i="14"/>
  <c r="AG117" i="14"/>
  <c r="AH113" i="14"/>
  <c r="AH115" i="14" s="1"/>
  <c r="AI95" i="14"/>
  <c r="G122" i="1" l="1"/>
  <c r="G123" i="1" s="1"/>
  <c r="G125" i="1" s="1"/>
  <c r="G124" i="1" s="1"/>
  <c r="E23" i="21" s="1"/>
  <c r="H53" i="11"/>
  <c r="J51" i="11"/>
  <c r="F89" i="11"/>
  <c r="F93" i="11"/>
  <c r="L46" i="18"/>
  <c r="S46" i="18" s="1"/>
  <c r="AF78" i="15"/>
  <c r="AF79" i="15" s="1"/>
  <c r="AI113" i="15"/>
  <c r="AI115" i="15" s="1"/>
  <c r="AH117" i="15"/>
  <c r="AH126" i="15" s="1"/>
  <c r="G125" i="16"/>
  <c r="AD104" i="15"/>
  <c r="AD138" i="15" s="1"/>
  <c r="AD152" i="15" s="1"/>
  <c r="AC197" i="15"/>
  <c r="AF95" i="15"/>
  <c r="AF99" i="15" s="1"/>
  <c r="AF133" i="15" s="1"/>
  <c r="AE131" i="15"/>
  <c r="AE179" i="15"/>
  <c r="AE99" i="15"/>
  <c r="AB84" i="14"/>
  <c r="AB136" i="14" s="1"/>
  <c r="AB150" i="14" s="1"/>
  <c r="AG125" i="14"/>
  <c r="AA195" i="14"/>
  <c r="AA135" i="14"/>
  <c r="AA149" i="14" s="1"/>
  <c r="AD77" i="14"/>
  <c r="AD79" i="14" s="1"/>
  <c r="AD131" i="14" s="1"/>
  <c r="AC79" i="14"/>
  <c r="AC131" i="14" s="1"/>
  <c r="AI99" i="14"/>
  <c r="AI109" i="14" s="1"/>
  <c r="AI97" i="14"/>
  <c r="AG77" i="15"/>
  <c r="AG79" i="15" s="1"/>
  <c r="AF88" i="15"/>
  <c r="AC179" i="14"/>
  <c r="AC81" i="14"/>
  <c r="AI116" i="14"/>
  <c r="AH117" i="14"/>
  <c r="AI113" i="14"/>
  <c r="AI115" i="14" s="1"/>
  <c r="AJ95" i="14"/>
  <c r="H59" i="11" l="1"/>
  <c r="H60" i="11" s="1"/>
  <c r="J60" i="11" s="1"/>
  <c r="G128" i="1"/>
  <c r="F79" i="11" s="1"/>
  <c r="W45" i="18"/>
  <c r="J32" i="18"/>
  <c r="AJ113" i="15"/>
  <c r="AJ115" i="15" s="1"/>
  <c r="AI117" i="15"/>
  <c r="AI127" i="15" s="1"/>
  <c r="AF179" i="15"/>
  <c r="AF96" i="15"/>
  <c r="AF132" i="15" s="1"/>
  <c r="AD198" i="15"/>
  <c r="G128" i="16"/>
  <c r="G124" i="16"/>
  <c r="E40" i="21" s="1"/>
  <c r="N80" i="19"/>
  <c r="N74" i="19" s="1"/>
  <c r="L80" i="19"/>
  <c r="L74" i="19" s="1"/>
  <c r="O80" i="19"/>
  <c r="O74" i="19" s="1"/>
  <c r="P80" i="19"/>
  <c r="P74" i="19" s="1"/>
  <c r="F80" i="19"/>
  <c r="F74" i="19" s="1"/>
  <c r="K80" i="19"/>
  <c r="K74" i="19" s="1"/>
  <c r="I80" i="19"/>
  <c r="I74" i="19" s="1"/>
  <c r="M80" i="19"/>
  <c r="M74" i="19" s="1"/>
  <c r="J80" i="19"/>
  <c r="J74" i="19" s="1"/>
  <c r="G80" i="19"/>
  <c r="G74" i="19" s="1"/>
  <c r="H80" i="19"/>
  <c r="H74" i="19" s="1"/>
  <c r="G129" i="1"/>
  <c r="F80" i="11" s="1"/>
  <c r="AF131" i="15"/>
  <c r="J59" i="11"/>
  <c r="J53" i="11"/>
  <c r="AB196" i="14"/>
  <c r="AE105" i="15"/>
  <c r="AE133" i="15"/>
  <c r="AD179" i="14"/>
  <c r="AC85" i="14"/>
  <c r="AC133" i="14"/>
  <c r="AH126" i="14"/>
  <c r="AE77" i="14"/>
  <c r="AE79" i="14" s="1"/>
  <c r="AE131" i="14" s="1"/>
  <c r="AD81" i="14"/>
  <c r="AD133" i="14" s="1"/>
  <c r="AJ99" i="14"/>
  <c r="AJ110" i="14" s="1"/>
  <c r="AJ97" i="14"/>
  <c r="AF106" i="15"/>
  <c r="AK113" i="15"/>
  <c r="AK115" i="15" s="1"/>
  <c r="AJ117" i="15"/>
  <c r="AH77" i="15"/>
  <c r="AH79" i="15" s="1"/>
  <c r="AG81" i="15"/>
  <c r="AJ116" i="14"/>
  <c r="AI117" i="14"/>
  <c r="AJ113" i="14"/>
  <c r="AJ115" i="14" s="1"/>
  <c r="AK95" i="14"/>
  <c r="G84" i="19" l="1"/>
  <c r="G81" i="19" s="1"/>
  <c r="G75" i="19" s="1"/>
  <c r="F84" i="19"/>
  <c r="F81" i="19" s="1"/>
  <c r="F75" i="19" s="1"/>
  <c r="N84" i="19"/>
  <c r="N81" i="19" s="1"/>
  <c r="N75" i="19" s="1"/>
  <c r="K84" i="19"/>
  <c r="K81" i="19" s="1"/>
  <c r="K75" i="19" s="1"/>
  <c r="L84" i="19"/>
  <c r="L81" i="19" s="1"/>
  <c r="L75" i="19" s="1"/>
  <c r="E84" i="19"/>
  <c r="E81" i="19" s="1"/>
  <c r="E75" i="19" s="1"/>
  <c r="Q80" i="19"/>
  <c r="P84" i="19"/>
  <c r="P81" i="19" s="1"/>
  <c r="P75" i="19" s="1"/>
  <c r="H84" i="19"/>
  <c r="H81" i="19" s="1"/>
  <c r="H75" i="19" s="1"/>
  <c r="H76" i="19" s="1"/>
  <c r="H78" i="19" s="1"/>
  <c r="L33" i="18" s="1"/>
  <c r="O84" i="19"/>
  <c r="O81" i="19" s="1"/>
  <c r="O75" i="19" s="1"/>
  <c r="J84" i="19"/>
  <c r="J81" i="19" s="1"/>
  <c r="J75" i="19" s="1"/>
  <c r="I84" i="19"/>
  <c r="I81" i="19" s="1"/>
  <c r="I75" i="19" s="1"/>
  <c r="M84" i="19"/>
  <c r="M81" i="19" s="1"/>
  <c r="M75" i="19" s="1"/>
  <c r="O45" i="18"/>
  <c r="G45" i="18"/>
  <c r="N45" i="18"/>
  <c r="M45" i="18"/>
  <c r="L45" i="18"/>
  <c r="P45" i="18"/>
  <c r="H45" i="18"/>
  <c r="K45" i="18"/>
  <c r="R45" i="18"/>
  <c r="J45" i="18"/>
  <c r="Q45" i="18"/>
  <c r="I45" i="18"/>
  <c r="N32" i="18"/>
  <c r="I32" i="18"/>
  <c r="K32" i="18"/>
  <c r="P32" i="18"/>
  <c r="L32" i="18"/>
  <c r="O32" i="18"/>
  <c r="G32" i="18"/>
  <c r="R32" i="18"/>
  <c r="Q32" i="18"/>
  <c r="H32" i="18"/>
  <c r="M32" i="18"/>
  <c r="AG95" i="15"/>
  <c r="AH95" i="15" s="1"/>
  <c r="AF98" i="15"/>
  <c r="AF180" i="15"/>
  <c r="AJ191" i="15" s="1"/>
  <c r="F79" i="12"/>
  <c r="G129" i="16"/>
  <c r="F80" i="12" s="1"/>
  <c r="AG98" i="15"/>
  <c r="AG188" i="15"/>
  <c r="AF187" i="15"/>
  <c r="K62" i="12" s="1"/>
  <c r="AH189" i="15"/>
  <c r="AF200" i="15"/>
  <c r="AF140" i="15"/>
  <c r="AF154" i="15" s="1"/>
  <c r="AE199" i="15"/>
  <c r="AE139" i="15"/>
  <c r="AE153" i="15" s="1"/>
  <c r="AJ128" i="15"/>
  <c r="AE179" i="14"/>
  <c r="AI127" i="14"/>
  <c r="AD86" i="14"/>
  <c r="AF77" i="14"/>
  <c r="AF179" i="14" s="1"/>
  <c r="AC197" i="14"/>
  <c r="AC137" i="14"/>
  <c r="AC151" i="14" s="1"/>
  <c r="AE81" i="14"/>
  <c r="AK99" i="14"/>
  <c r="AK111" i="14" s="1"/>
  <c r="AK97" i="14"/>
  <c r="AH81" i="15"/>
  <c r="AH90" i="15" s="1"/>
  <c r="AI77" i="15"/>
  <c r="AI79" i="15" s="1"/>
  <c r="AK117" i="15"/>
  <c r="AL113" i="15"/>
  <c r="AG89" i="15"/>
  <c r="AK116" i="14"/>
  <c r="AJ117" i="14"/>
  <c r="AK113" i="14"/>
  <c r="AK115" i="14" s="1"/>
  <c r="AL95" i="14"/>
  <c r="K76" i="19" l="1"/>
  <c r="K78" i="19" s="1"/>
  <c r="O33" i="18" s="1"/>
  <c r="O55" i="18" s="1"/>
  <c r="O57" i="18" s="1"/>
  <c r="N76" i="19"/>
  <c r="N78" i="19" s="1"/>
  <c r="R33" i="18" s="1"/>
  <c r="R55" i="18" s="1"/>
  <c r="R57" i="18" s="1"/>
  <c r="G76" i="19"/>
  <c r="G78" i="19" s="1"/>
  <c r="K33" i="18" s="1"/>
  <c r="K55" i="18" s="1"/>
  <c r="K57" i="18" s="1"/>
  <c r="M76" i="19"/>
  <c r="M78" i="19" s="1"/>
  <c r="Q33" i="18" s="1"/>
  <c r="Q55" i="18" s="1"/>
  <c r="Q57" i="18" s="1"/>
  <c r="O76" i="19"/>
  <c r="O78" i="19" s="1"/>
  <c r="P76" i="19"/>
  <c r="P78" i="19" s="1"/>
  <c r="J76" i="19"/>
  <c r="J78" i="19" s="1"/>
  <c r="N33" i="18" s="1"/>
  <c r="N55" i="18" s="1"/>
  <c r="N57" i="18" s="1"/>
  <c r="L76" i="19"/>
  <c r="L78" i="19" s="1"/>
  <c r="P33" i="18" s="1"/>
  <c r="P55" i="18" s="1"/>
  <c r="P57" i="18" s="1"/>
  <c r="I76" i="19"/>
  <c r="I78" i="19" s="1"/>
  <c r="M33" i="18" s="1"/>
  <c r="M55" i="18" s="1"/>
  <c r="M57" i="18" s="1"/>
  <c r="Q81" i="19"/>
  <c r="Q84" i="19"/>
  <c r="H55" i="18"/>
  <c r="H57" i="18" s="1"/>
  <c r="G55" i="18"/>
  <c r="G57" i="18" s="1"/>
  <c r="G58" i="18" s="1"/>
  <c r="F76" i="19"/>
  <c r="F78" i="19" s="1"/>
  <c r="J33" i="18" s="1"/>
  <c r="J55" i="18" s="1"/>
  <c r="J57" i="18" s="1"/>
  <c r="AK192" i="15"/>
  <c r="AI190" i="15"/>
  <c r="S32" i="18"/>
  <c r="AG131" i="15"/>
  <c r="AG99" i="15"/>
  <c r="AG133" i="15" s="1"/>
  <c r="AG179" i="15"/>
  <c r="L55" i="18"/>
  <c r="L57" i="18" s="1"/>
  <c r="S45" i="18"/>
  <c r="AH131" i="15"/>
  <c r="AH98" i="15"/>
  <c r="AK129" i="15"/>
  <c r="AH179" i="15"/>
  <c r="AL114" i="15"/>
  <c r="AD198" i="14"/>
  <c r="AD138" i="14"/>
  <c r="AD152" i="14" s="1"/>
  <c r="AF81" i="14"/>
  <c r="AF78" i="14"/>
  <c r="AG77" i="14" s="1"/>
  <c r="AG79" i="14" s="1"/>
  <c r="AG131" i="14" s="1"/>
  <c r="AJ128" i="14"/>
  <c r="AE87" i="14"/>
  <c r="AE133" i="14"/>
  <c r="AL117" i="15"/>
  <c r="AL130" i="15" s="1"/>
  <c r="AH99" i="15"/>
  <c r="AI95" i="15"/>
  <c r="AJ77" i="15"/>
  <c r="AJ79" i="15" s="1"/>
  <c r="AI81" i="15"/>
  <c r="AI91" i="15" s="1"/>
  <c r="AL99" i="14"/>
  <c r="AL112" i="14" s="1"/>
  <c r="AL96" i="14"/>
  <c r="AL97" i="14" s="1"/>
  <c r="AL116" i="14"/>
  <c r="AK117" i="14"/>
  <c r="AL113" i="14"/>
  <c r="Q74" i="19" l="1"/>
  <c r="E76" i="19"/>
  <c r="E78" i="19" s="1"/>
  <c r="AG107" i="15"/>
  <c r="H58" i="18"/>
  <c r="I7" i="18" s="1"/>
  <c r="H7" i="18"/>
  <c r="AI131" i="15"/>
  <c r="AI98" i="15"/>
  <c r="AH108" i="15"/>
  <c r="AH133" i="15"/>
  <c r="AG201" i="15"/>
  <c r="AG141" i="15"/>
  <c r="AG155" i="15" s="1"/>
  <c r="AL115" i="15"/>
  <c r="AI179" i="15"/>
  <c r="AE199" i="14"/>
  <c r="AE139" i="14"/>
  <c r="AE153" i="14" s="1"/>
  <c r="AF79" i="14"/>
  <c r="AF131" i="14" s="1"/>
  <c r="AF132" i="14"/>
  <c r="AF88" i="14"/>
  <c r="AF133" i="14"/>
  <c r="AF180" i="14"/>
  <c r="AK129" i="14"/>
  <c r="AL114" i="14"/>
  <c r="AJ81" i="15"/>
  <c r="AJ92" i="15" s="1"/>
  <c r="AK77" i="15"/>
  <c r="AK79" i="15" s="1"/>
  <c r="AJ95" i="15"/>
  <c r="AI99" i="15"/>
  <c r="AL117" i="14"/>
  <c r="AG179" i="14"/>
  <c r="AG81" i="14"/>
  <c r="AH77" i="14"/>
  <c r="AH79" i="14" s="1"/>
  <c r="AH131" i="14" s="1"/>
  <c r="Q76" i="19" l="1"/>
  <c r="I33" i="18"/>
  <c r="Q78" i="19"/>
  <c r="AK192" i="14"/>
  <c r="AJ131" i="15"/>
  <c r="AJ98" i="15"/>
  <c r="AI109" i="15"/>
  <c r="AI133" i="15"/>
  <c r="AH202" i="15"/>
  <c r="AH142" i="15"/>
  <c r="AH156" i="15" s="1"/>
  <c r="AJ179" i="15"/>
  <c r="AL130" i="14"/>
  <c r="AH189" i="14"/>
  <c r="AG188" i="14"/>
  <c r="AI190" i="14"/>
  <c r="AJ191" i="14"/>
  <c r="AF187" i="14"/>
  <c r="K62" i="11" s="1"/>
  <c r="AG89" i="14"/>
  <c r="AG133" i="14"/>
  <c r="AF200" i="14"/>
  <c r="AF140" i="14"/>
  <c r="AF154" i="14" s="1"/>
  <c r="AL115" i="14"/>
  <c r="AK81" i="15"/>
  <c r="AK93" i="15" s="1"/>
  <c r="AL77" i="15"/>
  <c r="AJ99" i="15"/>
  <c r="AK95" i="15"/>
  <c r="AH81" i="14"/>
  <c r="AH179" i="14"/>
  <c r="AI77" i="14"/>
  <c r="AI79" i="14" s="1"/>
  <c r="AI131" i="14" s="1"/>
  <c r="S33" i="18" l="1"/>
  <c r="I55" i="18"/>
  <c r="AK131" i="15"/>
  <c r="AK98" i="15"/>
  <c r="AJ110" i="15"/>
  <c r="AJ133" i="15"/>
  <c r="AI203" i="15"/>
  <c r="AI143" i="15"/>
  <c r="AI157" i="15" s="1"/>
  <c r="AL78" i="15"/>
  <c r="AL79" i="15" s="1"/>
  <c r="AK179" i="15"/>
  <c r="AH90" i="14"/>
  <c r="AH133" i="14"/>
  <c r="AG201" i="14"/>
  <c r="AG141" i="14"/>
  <c r="AG155" i="14" s="1"/>
  <c r="AK99" i="15"/>
  <c r="AL95" i="15"/>
  <c r="AL81" i="15"/>
  <c r="AL94" i="15" s="1"/>
  <c r="AI81" i="14"/>
  <c r="AI179" i="14"/>
  <c r="AJ77" i="14"/>
  <c r="AJ79" i="14" s="1"/>
  <c r="AJ131" i="14" s="1"/>
  <c r="I57" i="18" l="1"/>
  <c r="I58" i="18" s="1"/>
  <c r="J7" i="18" s="1"/>
  <c r="S55" i="18"/>
  <c r="AL131" i="15"/>
  <c r="AL96" i="15"/>
  <c r="AL132" i="15" s="1"/>
  <c r="H22" i="16"/>
  <c r="AK111" i="15"/>
  <c r="AK145" i="15" s="1"/>
  <c r="AK133" i="15"/>
  <c r="AJ204" i="15"/>
  <c r="AJ144" i="15"/>
  <c r="AJ158" i="15" s="1"/>
  <c r="AL179" i="15"/>
  <c r="AI91" i="14"/>
  <c r="AI133" i="14"/>
  <c r="AH202" i="14"/>
  <c r="AH142" i="14"/>
  <c r="AH156" i="14" s="1"/>
  <c r="AL99" i="15"/>
  <c r="AL112" i="15" s="1"/>
  <c r="AL146" i="15" s="1"/>
  <c r="AJ81" i="14"/>
  <c r="AJ179" i="14"/>
  <c r="AK77" i="14"/>
  <c r="AK79" i="14" s="1"/>
  <c r="AK131" i="14" s="1"/>
  <c r="S57" i="18" l="1"/>
  <c r="AL160" i="15"/>
  <c r="J58" i="18"/>
  <c r="K7" i="18" s="1"/>
  <c r="AL98" i="15"/>
  <c r="H21" i="16"/>
  <c r="AL206" i="15"/>
  <c r="K50" i="12" s="1"/>
  <c r="AL133" i="15"/>
  <c r="AK205" i="15"/>
  <c r="AK159" i="15"/>
  <c r="AL180" i="15"/>
  <c r="AL193" i="15" s="1"/>
  <c r="AJ92" i="14"/>
  <c r="AJ133" i="14"/>
  <c r="AI203" i="14"/>
  <c r="AI143" i="14"/>
  <c r="AI157" i="14" s="1"/>
  <c r="AK81" i="14"/>
  <c r="AK179" i="14"/>
  <c r="AL77" i="14"/>
  <c r="K58" i="18" l="1"/>
  <c r="L58" i="18" s="1"/>
  <c r="L50" i="12"/>
  <c r="K51" i="12"/>
  <c r="H122" i="16" s="1"/>
  <c r="H123" i="16" s="1"/>
  <c r="H20" i="16"/>
  <c r="H23" i="16" s="1"/>
  <c r="AK93" i="14"/>
  <c r="AK133" i="14"/>
  <c r="AJ204" i="14"/>
  <c r="AJ144" i="14"/>
  <c r="AJ158" i="14" s="1"/>
  <c r="AL78" i="14"/>
  <c r="AL81" i="14"/>
  <c r="AL179" i="14"/>
  <c r="L7" i="18" l="1"/>
  <c r="M58" i="18"/>
  <c r="M7" i="18"/>
  <c r="H125" i="16"/>
  <c r="H128" i="16" s="1"/>
  <c r="L51" i="12"/>
  <c r="G89" i="12"/>
  <c r="K53" i="12"/>
  <c r="K59" i="12" s="1"/>
  <c r="K60" i="12" s="1"/>
  <c r="G93" i="12"/>
  <c r="AL94" i="14"/>
  <c r="AL133" i="14"/>
  <c r="AK205" i="14"/>
  <c r="AK145" i="14"/>
  <c r="AK159" i="14" s="1"/>
  <c r="AL180" i="14"/>
  <c r="AL132" i="14"/>
  <c r="AL79" i="14"/>
  <c r="AL131" i="14" s="1"/>
  <c r="H22" i="1" s="1"/>
  <c r="N58" i="18" l="1"/>
  <c r="N7" i="18"/>
  <c r="AL193" i="14"/>
  <c r="AL206" i="14"/>
  <c r="K50" i="11" s="1"/>
  <c r="L50" i="11" s="1"/>
  <c r="AL146" i="14"/>
  <c r="AL160" i="14" s="1"/>
  <c r="H124" i="16"/>
  <c r="F40" i="21" s="1"/>
  <c r="H21" i="1"/>
  <c r="L53" i="12"/>
  <c r="G79" i="12"/>
  <c r="H129" i="16"/>
  <c r="G80" i="12" s="1"/>
  <c r="L60" i="12"/>
  <c r="L59" i="12"/>
  <c r="O7" i="18" l="1"/>
  <c r="O58" i="18"/>
  <c r="K51" i="11"/>
  <c r="H20" i="1"/>
  <c r="H23" i="1" s="1"/>
  <c r="P58" i="18" l="1"/>
  <c r="P7" i="18"/>
  <c r="H122" i="1"/>
  <c r="L51" i="11"/>
  <c r="G89" i="11"/>
  <c r="K53" i="11"/>
  <c r="L53" i="11" s="1"/>
  <c r="G93" i="11"/>
  <c r="Q7" i="18" l="1"/>
  <c r="Q58" i="18"/>
  <c r="H123" i="1"/>
  <c r="H125" i="1" s="1"/>
  <c r="K59" i="11"/>
  <c r="R58" i="18" l="1"/>
  <c r="R7" i="18"/>
  <c r="H128" i="1"/>
  <c r="H124" i="1"/>
  <c r="F23" i="21" s="1"/>
  <c r="K60" i="11"/>
  <c r="L60" i="11" s="1"/>
  <c r="L59" i="11"/>
  <c r="G79" i="11" l="1"/>
  <c r="H129" i="1"/>
  <c r="G80" i="1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Henri Järvinen</author>
    <author>Ari Järvinen</author>
    <author>Företagstolken</author>
    <author>Yritystulkki</author>
    <author>Jadelcons</author>
  </authors>
  <commentList>
    <comment ref="J2" authorId="0" shapeId="0" xr:uid="{8516892C-6708-47F3-8EAD-4BFF584C1030}">
      <text>
        <r>
          <rPr>
            <b/>
            <sz val="10"/>
            <color indexed="81"/>
            <rFont val="Tahoma"/>
            <family val="2"/>
          </rPr>
          <t xml:space="preserve">Välkommen att använda Företagstolkens Ekonomiplan. Vi rekommenderar att göra den första beräkningen utan bidrag. Du har att fylla i tre sidor/tabeller:
1. VERKSAMHETSKOSTNADER (tabell K1)
</t>
        </r>
        <r>
          <rPr>
            <sz val="10"/>
            <color indexed="81"/>
            <rFont val="Tahoma"/>
            <family val="2"/>
          </rPr>
          <t>- fyll i gula cellerna 
- i affärsverksamhet finns många olika kostnader och därför många rader att fylla i
- programmet höjer priser automatiskt med 3 % (på höger, kan förändras) 
- närmare information finns på Företagstolkens web-sida, avsnitt "Ekonomiplaner" 
- förflytta dig från tabell till tabell via piltangent eller nere via tabellväljare</t>
        </r>
        <r>
          <rPr>
            <b/>
            <sz val="10"/>
            <color indexed="81"/>
            <rFont val="Tahoma"/>
            <family val="2"/>
          </rPr>
          <t xml:space="preserve">  
2. FÖRSÄLNINGSPROGNOS (tabell K2)
</t>
        </r>
        <r>
          <rPr>
            <sz val="10"/>
            <color indexed="81"/>
            <rFont val="Tahoma"/>
            <family val="2"/>
          </rPr>
          <t>Av försäljningen av produkter/tjänster och varor uppstår företagets omsättning, med vars täckning man betalar verksamhetskostnaderna.
- fyll i gula cellerna</t>
        </r>
        <r>
          <rPr>
            <b/>
            <sz val="10"/>
            <color indexed="81"/>
            <rFont val="Tahoma"/>
            <family val="2"/>
          </rPr>
          <t xml:space="preserve"> 
3. RESULTAT OCH FINANSIERING (tabell K3)
</t>
        </r>
        <r>
          <rPr>
            <sz val="10"/>
            <color indexed="81"/>
            <rFont val="Tahoma"/>
            <family val="2"/>
          </rPr>
          <t xml:space="preserve">I denna tabellen framgår affärsverksamhetens resultat i siffror. På nedre kanten av denna tabell finns prognossammandrag samt riskanalys. I riskanalys du kan konstatera försäljningens/kostnadernas betydelse till lånbetalningsförmåga. </t>
        </r>
        <r>
          <rPr>
            <b/>
            <sz val="10"/>
            <color indexed="81"/>
            <rFont val="Tahoma"/>
            <family val="2"/>
          </rPr>
          <t xml:space="preserve">      
4. KASSABUDGET (ej nödvändig)
</t>
        </r>
        <r>
          <rPr>
            <sz val="10"/>
            <color indexed="81"/>
            <rFont val="Tahoma"/>
            <family val="2"/>
          </rPr>
          <t xml:space="preserve">Programmet framför första årets kassabudget. Sällan är budgetförslaget noggrant och justering behövs.  </t>
        </r>
        <r>
          <rPr>
            <b/>
            <sz val="10"/>
            <color indexed="81"/>
            <rFont val="Tahoma"/>
            <family val="2"/>
          </rPr>
          <t xml:space="preserve">
TIPS FÖR IFYLLNADSARBETE!
- Fyll i bara gula cellerna.
- Observera även cellerna och anvisningar till höger.
- I utrymmet till höger kan du göra anteckningar och förutspå löne- och 
   prishöjningar.
- Förflytta dig från tabell till tabell via piltangent eller nere via 
  tabellväljarna.
- Kalkylera kostnaderna gärna för stora. Troligen det uppstår oväntade 
  kostnader. </t>
        </r>
      </text>
    </comment>
    <comment ref="C9" authorId="1" shapeId="0" xr:uid="{09DD4989-1D43-4E91-80C9-9487D9A716BF}">
      <text>
        <r>
          <rPr>
            <sz val="10"/>
            <color indexed="81"/>
            <rFont val="Tahoma"/>
            <family val="2"/>
          </rPr>
          <t>Förutsättning för utskrivning av kassabudget är företagets namn!</t>
        </r>
      </text>
    </comment>
    <comment ref="B11" authorId="2" shapeId="0" xr:uid="{064DABE8-29CE-40D2-AF5F-3FE0BC70454F}">
      <text>
        <r>
          <rPr>
            <sz val="10"/>
            <color indexed="81"/>
            <rFont val="Tahoma"/>
            <family val="2"/>
          </rPr>
          <t>Ifyllnadsdirektiv finns i Företagstolken på sidan "Ekonomiplaner". Punktnumret visar rätt information.</t>
        </r>
      </text>
    </comment>
    <comment ref="D11" authorId="2" shapeId="0" xr:uid="{06BFECEE-2C30-4B56-8714-185C2649A7CB}">
      <text>
        <r>
          <rPr>
            <b/>
            <sz val="10"/>
            <color indexed="81"/>
            <rFont val="Tahoma"/>
            <family val="2"/>
          </rPr>
          <t>Verksamhetskostnaderna kalkyleras med priser utan moms (moms 0 %)</t>
        </r>
        <r>
          <rPr>
            <sz val="10"/>
            <color indexed="81"/>
            <rFont val="Tahoma"/>
            <family val="2"/>
          </rPr>
          <t xml:space="preserve">
Endast social- och hälsovårdssektorn, försäkrings och finansieringstjänster samt företagen vars årsomsättning är mindre än 20 000 €/år kalkylerar med Moms-priser. </t>
        </r>
      </text>
    </comment>
    <comment ref="F12" authorId="2" shapeId="0" xr:uid="{B417A487-D3C5-433D-9F18-F54B40A39DA9}">
      <text>
        <r>
          <rPr>
            <sz val="10"/>
            <color indexed="81"/>
            <rFont val="Tahoma"/>
            <family val="2"/>
          </rPr>
          <t xml:space="preserve">Räkenskapsperioden slutar i år </t>
        </r>
      </text>
    </comment>
    <comment ref="G12" authorId="1" shapeId="0" xr:uid="{01FBA9C9-7CCA-4431-8118-D077B9F0A308}">
      <text>
        <r>
          <rPr>
            <sz val="10"/>
            <color indexed="81"/>
            <rFont val="Tahoma"/>
            <family val="2"/>
          </rPr>
          <t>Kontrollera årssiffran efter räkenskapsperiodens längd!</t>
        </r>
      </text>
    </comment>
    <comment ref="H12" authorId="1" shapeId="0" xr:uid="{5C33605F-7B93-4B58-8C07-395C9BADE7B3}">
      <text>
        <r>
          <rPr>
            <sz val="10"/>
            <color indexed="81"/>
            <rFont val="Tahoma"/>
            <family val="2"/>
          </rPr>
          <t>Kontrollera årssiffran efter räkenskapsperiodens längd!</t>
        </r>
      </text>
    </comment>
    <comment ref="F13" authorId="3" shapeId="0" xr:uid="{2EDD45D1-2C33-4FEB-B6C1-89CE592E5813}">
      <text>
        <r>
          <rPr>
            <sz val="10"/>
            <color indexed="81"/>
            <rFont val="Tahoma"/>
            <family val="2"/>
          </rPr>
          <t xml:space="preserve">Räkenskapsperiodens längd är vanligen 12 månader. Den första perioden kan vara mellan 6 - 18 månader. Om längden är inte 12 månader, kontrollera att kostnaderna motsvarar periodens längd. Programmet korrigerar automatiskt de följande åren! </t>
        </r>
      </text>
    </comment>
    <comment ref="F16" authorId="1" shapeId="0" xr:uid="{00000000-0006-0000-0100-000008000000}">
      <text>
        <r>
          <rPr>
            <sz val="10"/>
            <color indexed="81"/>
            <rFont val="Tahoma"/>
            <family val="2"/>
          </rPr>
          <t xml:space="preserve">Till enskild näringsidkare kan inte betalas lön, men lönen skall tas med för at få riktig åsikt om kostnaderna. </t>
        </r>
      </text>
    </comment>
    <comment ref="J16" authorId="1" shapeId="0" xr:uid="{084E65E2-D503-49DD-B58E-5E92ED0E7DBA}">
      <text>
        <r>
          <rPr>
            <sz val="10"/>
            <color indexed="81"/>
            <rFont val="Tahoma"/>
            <family val="2"/>
          </rPr>
          <t xml:space="preserve">Minns årlig kostnadshöjning. </t>
        </r>
      </text>
    </comment>
    <comment ref="F17" authorId="3" shapeId="0" xr:uid="{F63B486A-5FBC-4492-8E55-2888E4C4316B}">
      <text>
        <r>
          <rPr>
            <sz val="10"/>
            <color indexed="81"/>
            <rFont val="Tahoma"/>
            <family val="2"/>
          </rPr>
          <t>Naturaförmåner kan användas vid Ab samt vid Öb och Kb, om åt företagarna betalas penninglön. Enskild näringsidkare kan inte använda naturaförmåner.
Naturaförmåner finns mm.  
- Telefonförmån 
- Kostförmån, "lunchförmån". Pris som restaurangen debiterar, 
  skrivs i punkt 8. Övriga personalkostnader.
- Bilförmån (glöm inte bilens anskaffningskostnaderna och lägg 
  till bilens drivningskostnaderna i punkt 25)</t>
        </r>
      </text>
    </comment>
    <comment ref="F18" authorId="4" shapeId="0" xr:uid="{AA0743D9-1F9D-448A-B29A-151EC3321A81}">
      <text>
        <r>
          <rPr>
            <sz val="10"/>
            <color indexed="81"/>
            <rFont val="Tahoma"/>
            <family val="2"/>
          </rPr>
          <t>Nybörjande företag, 12 lönebetalningsmånader för första året. Därefter 12,5. Semesterlönen kalkyleras automatiskt.</t>
        </r>
      </text>
    </comment>
    <comment ref="D20" authorId="1" shapeId="0" xr:uid="{00000000-0006-0000-0100-00000D000000}">
      <text>
        <r>
          <rPr>
            <sz val="10"/>
            <color indexed="81"/>
            <rFont val="Tahoma"/>
            <family val="2"/>
          </rPr>
          <t>Programmet räknar ut kostnaderna så, att lånet avkortas i lika stora rater 2 gånger i året med 6 månaders mellanrum. Friåren är beaktade.</t>
        </r>
      </text>
    </comment>
    <comment ref="F20" authorId="1" shapeId="0" xr:uid="{00000000-0006-0000-0100-00000E000000}">
      <text>
        <r>
          <rPr>
            <sz val="10"/>
            <color indexed="81"/>
            <rFont val="Tahoma"/>
            <family val="2"/>
          </rPr>
          <t>Försök inte skriva! Siffrorna i celler blir färdiga automatiskt senare.</t>
        </r>
      </text>
    </comment>
    <comment ref="D25" authorId="1" shapeId="0" xr:uid="{55BDEAE9-B8D3-45B9-8753-3D751451567A}">
      <text>
        <r>
          <rPr>
            <sz val="10"/>
            <color indexed="81"/>
            <rFont val="Tahoma"/>
            <family val="2"/>
          </rPr>
          <t>Inköpspriser exklusive moms. Undantag social- och hälsovårdssektorn och företag med en omsättning under 20 000 euro. Deras fasta kostnader kalkyleras med Moms-priser.</t>
        </r>
      </text>
    </comment>
    <comment ref="F26" authorId="1" shapeId="0" xr:uid="{CD615253-0D31-45C9-B60C-7ABE6EA2BAD4}">
      <text>
        <r>
          <rPr>
            <sz val="10"/>
            <color indexed="81"/>
            <rFont val="Tahoma"/>
            <family val="2"/>
          </rPr>
          <t>Försök inte skriva! Siffrorna i celler blir färdiga automatiskt senare.</t>
        </r>
      </text>
    </comment>
    <comment ref="D28" authorId="1" shapeId="0" xr:uid="{1CD00BAB-8585-4115-B897-C964374C69C5}">
      <text>
        <r>
          <rPr>
            <sz val="10"/>
            <color indexed="81"/>
            <rFont val="Tahoma"/>
            <family val="2"/>
          </rPr>
          <t xml:space="preserve">Lönekostnaderna för arbetstagarna och ArPL-företagarnare skrivs i en separat "Lönekostnader"-tabell. 
</t>
        </r>
        <r>
          <rPr>
            <b/>
            <i/>
            <sz val="10"/>
            <color indexed="81"/>
            <rFont val="Tahoma"/>
            <family val="2"/>
          </rPr>
          <t>Lönetabellen hittas längst ner på sidan: Lönekostnader</t>
        </r>
      </text>
    </comment>
    <comment ref="F31" authorId="3" shapeId="0" xr:uid="{4423861A-1682-40B3-8693-1358A8A7DFE7}">
      <text>
        <r>
          <rPr>
            <b/>
            <sz val="10"/>
            <color indexed="81"/>
            <rFont val="Tahoma"/>
            <family val="2"/>
          </rPr>
          <t xml:space="preserve">FöPL-betalningarna i år 2026
- </t>
        </r>
        <r>
          <rPr>
            <sz val="10"/>
            <color indexed="81"/>
            <rFont val="Tahoma"/>
            <family val="2"/>
          </rPr>
          <t>nybörjande företagare 19,03 %, när du som företagare för första gången startar en FöPL-försäkrad verksamhet får du 22 % rabatt på FöPL-avgifterna under de fyra första åren.
- normal 24,4 %</t>
        </r>
      </text>
    </comment>
    <comment ref="F34" authorId="3" shapeId="0" xr:uid="{C68C6B7F-4F27-4AD8-B694-8B021CDAB1B1}">
      <text>
        <r>
          <rPr>
            <b/>
            <sz val="10"/>
            <color indexed="81"/>
            <rFont val="Tahoma"/>
            <family val="2"/>
          </rPr>
          <t xml:space="preserve">År 2026
</t>
        </r>
        <r>
          <rPr>
            <sz val="10"/>
            <color indexed="81"/>
            <rFont val="Tahoma"/>
            <family val="2"/>
          </rPr>
          <t>Arbetsgivarens andel i genomsnitt 17,10 % av bruttolönesumman.</t>
        </r>
      </text>
    </comment>
    <comment ref="F37" authorId="3" shapeId="0" xr:uid="{88D8F006-774F-4A01-B781-3CE801A70FC7}">
      <text>
        <r>
          <rPr>
            <sz val="10"/>
            <color indexed="81"/>
            <rFont val="Tahoma"/>
            <family val="2"/>
          </rPr>
          <t>för olycksbenägen bransch större</t>
        </r>
      </text>
    </comment>
    <comment ref="F38" authorId="3" shapeId="0" xr:uid="{AEFC0B75-2E73-4B92-BCCE-51277E4A98FC}">
      <text>
        <r>
          <rPr>
            <sz val="10"/>
            <color indexed="81"/>
            <rFont val="Tahoma"/>
            <family val="2"/>
          </rPr>
          <t>Programmet beräknar FöPL-företagarens frivillig olycksförsäkringsavgift 1,7 % av FöPL-arbetsinkomsten och sjukdomsförsäkringsavgiften av inkomst på raden 15 samt livförsäkringen enligt storleken av de långfristiga lånen.</t>
        </r>
      </text>
    </comment>
    <comment ref="J39" authorId="1" shapeId="0" xr:uid="{C120E182-E53A-42A9-A962-25D1246F9C97}">
      <text>
        <r>
          <rPr>
            <sz val="10"/>
            <color indexed="81"/>
            <rFont val="Tahoma"/>
            <family val="2"/>
          </rPr>
          <t xml:space="preserve">Minns årlig kostnadshöjning. </t>
        </r>
      </text>
    </comment>
    <comment ref="F40" authorId="1" shapeId="0" xr:uid="{00000000-0006-0000-0100-000019000000}">
      <text>
        <r>
          <rPr>
            <sz val="10"/>
            <color indexed="81"/>
            <rFont val="Tahoma"/>
            <family val="2"/>
          </rPr>
          <t xml:space="preserve">T.ex. företaget har tagit för sina arbetstagare livförsäkring, reseförsäkring etc. </t>
        </r>
      </text>
    </comment>
    <comment ref="F43" authorId="3" shapeId="0" xr:uid="{1683F767-717B-416B-819C-B485E883F7C0}">
      <text>
        <r>
          <rPr>
            <sz val="10"/>
            <color indexed="81"/>
            <rFont val="Tahoma"/>
            <family val="2"/>
          </rPr>
          <t xml:space="preserve">Företaget får betala åt hela personalen som skattefritt förmån t.ex. rekreations- och intresse-verksamhetsedlar max. 400 euro/person i år. </t>
        </r>
      </text>
    </comment>
    <comment ref="F46" authorId="1" shapeId="0" xr:uid="{892455B2-8B29-494C-82F7-0E4100EAB41C}">
      <text>
        <r>
          <rPr>
            <sz val="10"/>
            <color indexed="81"/>
            <rFont val="Tahoma"/>
            <family val="2"/>
          </rPr>
          <t xml:space="preserve">T.ex. företaget har tagit för sina arbetstagare livförsäkring, reseförsäkring etc. </t>
        </r>
      </text>
    </comment>
    <comment ref="F57" authorId="3" shapeId="0" xr:uid="{51051301-A59A-46FA-B958-3182EC0678A2}">
      <text>
        <r>
          <rPr>
            <sz val="10"/>
            <color indexed="81"/>
            <rFont val="Tahoma"/>
            <family val="2"/>
          </rPr>
          <t xml:space="preserve">Försäkringsavgift 0,3 % av värdet. Egendomen innehåller lokaliteter, maskiner, inventarier, kundens egendom i företagets lokalitet mm. </t>
        </r>
      </text>
    </comment>
    <comment ref="E59" authorId="2" shapeId="0" xr:uid="{6C20FB01-089A-4DAC-975E-CE1122B9206F}">
      <text>
        <r>
          <rPr>
            <sz val="10"/>
            <color indexed="81"/>
            <rFont val="Tahoma"/>
            <family val="2"/>
          </rPr>
          <t>Till finansieringsbolaget återställande apparatens restvärde i procenten från anskaffningspriset. Noggrann information om leasingfinansiering, se Företagstolken 3.10.</t>
        </r>
      </text>
    </comment>
    <comment ref="F59" authorId="3" shapeId="0" xr:uid="{D3CEF669-1D4B-4D13-A707-2A0C197701D9}">
      <text>
        <r>
          <rPr>
            <sz val="10"/>
            <color indexed="81"/>
            <rFont val="Tahoma"/>
            <family val="2"/>
          </rPr>
          <t xml:space="preserve">Leasingfinansiering till fast månadspris placeras i post 
- 11. Utgifter för bilar/arbetsmaskiner (affärsbruk)
- 13. Övriga maskin- och apparaturkostnader
- 25. Fordonskostnader (fordonen i privatbruk, naturaförmån) </t>
        </r>
      </text>
    </comment>
    <comment ref="F63" authorId="2" shapeId="0" xr:uid="{B81A0371-C7F2-41F4-9BDB-62B64DFBDEA9}">
      <text>
        <r>
          <rPr>
            <sz val="10"/>
            <color indexed="81"/>
            <rFont val="Tahoma"/>
            <family val="2"/>
          </rPr>
          <t>T. ex. bränsleåtgång 12 liter/100 km = 0,12 liter/km eller liter/timme
T.ex. åtgång av elbil 20 kWh/100 km = 0,2 kWh/km
T.ex. Åtgång av gasbil 6 kg/100 km = 0,06 kg/km</t>
        </r>
      </text>
    </comment>
    <comment ref="F72" authorId="2" shapeId="0" xr:uid="{6D9EB988-FCCE-4D0B-A4A1-5DE086696316}">
      <text>
        <r>
          <rPr>
            <sz val="10"/>
            <color indexed="81"/>
            <rFont val="Tahoma"/>
            <family val="2"/>
          </rPr>
          <t>Alla vanliga ADB-apparater ingår i detta kategori.</t>
        </r>
      </text>
    </comment>
    <comment ref="F75" authorId="4" shapeId="0" xr:uid="{F4C40459-BD0B-451A-9F6B-EE672F0DB9DD}">
      <text>
        <r>
          <rPr>
            <b/>
            <sz val="10"/>
            <color indexed="81"/>
            <rFont val="Tahoma"/>
            <family val="2"/>
          </rPr>
          <t xml:space="preserve">Hyror </t>
        </r>
        <r>
          <rPr>
            <sz val="10"/>
            <color indexed="81"/>
            <rFont val="Tahoma"/>
            <family val="2"/>
          </rPr>
          <t xml:space="preserve">för apparater och inventarier Moms 0 %.
</t>
        </r>
        <r>
          <rPr>
            <b/>
            <sz val="10"/>
            <color indexed="81"/>
            <rFont val="Tahoma"/>
            <family val="2"/>
          </rPr>
          <t>Leasingkostnader</t>
        </r>
        <r>
          <rPr>
            <sz val="10"/>
            <color indexed="81"/>
            <rFont val="Tahoma"/>
            <family val="2"/>
          </rPr>
          <t xml:space="preserve"> för maskiner och fordon som används i affärsverksamhet samt finansieras genom fast månadsleasing moms 0 %. 
Om leasingfinansieringens kapital, ränta och restvärde är kända, placera informationen i tabellen K3 Resultat "FINANSIERING" och anskaffningspriset för objektet som ska finansieras under "FINANSIERINGSHEBOV".</t>
        </r>
      </text>
    </comment>
    <comment ref="F77" authorId="2" shapeId="0" xr:uid="{9C3A427C-A334-4839-85BB-5257ECC94F1A}">
      <text>
        <r>
          <rPr>
            <sz val="10"/>
            <color indexed="81"/>
            <rFont val="Tahoma"/>
            <family val="2"/>
          </rPr>
          <t>Du kan som kostnad dra av anskaffningspriset på anläggningstillgångar som förslits på en gång i följande fall: 
- Om det är fråga om en så kallad liten anskaffning. Med små 
  anskaffningar avses enskilda avskrivningsbara anläggningstillgångar, 
  det vill säga anläggningstillgångar som förslits, såsom en mobiltelefon 
  eller ett verktyg som har ett anskaffningspris på högst 1200 euro. Denna 
  typ av små anskaffningar kan du dra av för sammanlagt 3600 euro per år. 
- Om anläggningstillgångarnas sannolika ekonomiska brukstid är högst 
  3 år (ingen övre gräns på priset).</t>
        </r>
      </text>
    </comment>
    <comment ref="F81" authorId="1" shapeId="0" xr:uid="{00000000-0006-0000-0100-00002A000000}">
      <text>
        <r>
          <rPr>
            <sz val="10"/>
            <color indexed="81"/>
            <rFont val="Tahoma"/>
            <family val="2"/>
          </rPr>
          <t>Företaget får betala för arbetstagaren en måltid/heldagtraktamente.</t>
        </r>
      </text>
    </comment>
    <comment ref="F85" authorId="2" shapeId="0" xr:uid="{24A854F3-DC07-4A2A-8156-AF01C1CFCE15}">
      <text>
        <r>
          <rPr>
            <b/>
            <sz val="10"/>
            <color indexed="81"/>
            <rFont val="Tahoma"/>
            <family val="2"/>
          </rPr>
          <t>2026</t>
        </r>
        <r>
          <rPr>
            <sz val="10"/>
            <color indexed="81"/>
            <rFont val="Tahoma"/>
            <family val="2"/>
          </rPr>
          <t xml:space="preserve">
Km-ersättning för användning av egen personbil 0,55 euro/km.</t>
        </r>
      </text>
    </comment>
    <comment ref="F87" authorId="2" shapeId="0" xr:uid="{ABCC5A36-5E06-4161-8FDA-6FF98AF74672}">
      <text>
        <r>
          <rPr>
            <b/>
            <sz val="10"/>
            <color indexed="81"/>
            <rFont val="Tahoma"/>
            <family val="2"/>
          </rPr>
          <t>I hemlandet 2025</t>
        </r>
        <r>
          <rPr>
            <sz val="10"/>
            <color indexed="81"/>
            <rFont val="Tahoma"/>
            <family val="2"/>
          </rPr>
          <t xml:space="preserve">
Heldagtraktamente 54 euro, deldagtraktamente 25 euro.</t>
        </r>
      </text>
    </comment>
    <comment ref="F88" authorId="1" shapeId="0" xr:uid="{00000000-0006-0000-0100-00002E000000}">
      <text>
        <r>
          <rPr>
            <sz val="10"/>
            <color indexed="81"/>
            <rFont val="Tahoma"/>
            <family val="2"/>
          </rPr>
          <t>50 % avdragbara i beskattning, dock inte i Moms-beskattning.</t>
        </r>
      </text>
    </comment>
    <comment ref="F112" authorId="4" shapeId="0" xr:uid="{0D93875F-34FA-468D-BF64-0E22232EE8FA}">
      <text>
        <r>
          <rPr>
            <sz val="10"/>
            <color indexed="81"/>
            <rFont val="Tahoma"/>
            <family val="2"/>
          </rPr>
          <t>Alla vanliga ADB-apparater ingår i detta kategori.</t>
        </r>
      </text>
    </comment>
    <comment ref="F118" authorId="3" shapeId="0" xr:uid="{04B0BE10-18F4-44BB-96E6-16AE9C839480}">
      <text>
        <r>
          <rPr>
            <sz val="10"/>
            <color indexed="81"/>
            <rFont val="Tahoma"/>
            <family val="2"/>
          </rPr>
          <t>Är inte representationskostnader.</t>
        </r>
      </text>
    </comment>
    <comment ref="F119" authorId="3" shapeId="0" xr:uid="{F1F8F564-F503-42CF-81F4-361B0D34E934}">
      <text>
        <r>
          <rPr>
            <sz val="10"/>
            <color indexed="81"/>
            <rFont val="Tahoma"/>
            <family val="2"/>
          </rPr>
          <t>Betyder anskaffnings- och brukskostnader av naturaförmånsbilar o.d. fordon, vilka inte är i affärsbruk. Sådana kostnader är inte avdragbara i Moms-beskattning</t>
        </r>
      </text>
    </comment>
    <comment ref="F122" authorId="1" shapeId="0" xr:uid="{00000000-0006-0000-0100-000036000000}">
      <text>
        <r>
          <rPr>
            <sz val="10"/>
            <color indexed="81"/>
            <rFont val="Tahoma"/>
            <family val="2"/>
          </rPr>
          <t>Försök inte skriva! Siffran i cellen blir färdig automatiskt senare.</t>
        </r>
      </text>
    </comment>
    <comment ref="F124" authorId="3" shapeId="0" xr:uid="{18123EFE-7F06-4141-9745-6D9B3AA9E927}">
      <text>
        <r>
          <rPr>
            <sz val="10"/>
            <color indexed="81"/>
            <rFont val="Tahoma"/>
            <family val="2"/>
          </rPr>
          <t>Berättar driftskapitalets behov per månad efter initialskedet.</t>
        </r>
      </text>
    </comment>
    <comment ref="F128" authorId="3" shapeId="0" xr:uid="{0602038B-DAC1-4EF7-B0F5-9DFC02E0ECD4}">
      <text>
        <r>
          <rPr>
            <sz val="10"/>
            <color indexed="81"/>
            <rFont val="Tahoma"/>
            <family val="2"/>
          </rPr>
          <t xml:space="preserve">Om siffran är negativ, täcker försäljnings-inkomster inte kostnaderna. </t>
        </r>
      </text>
    </comment>
    <comment ref="F129" authorId="2" shapeId="0" xr:uid="{9F4E0B21-CFA0-44FB-9999-41AA1304CDA7}">
      <text>
        <r>
          <rPr>
            <sz val="10"/>
            <color indexed="81"/>
            <rFont val="Tahoma"/>
            <family val="2"/>
          </rPr>
          <t>Detta procenttal berättar, hur mycket försäljningen kan förnedra sig (positivt tal) eller måste bestiga (negativt tal), so att alla kostnaderna är betäckta. Siffrorna i cellerna förflyttas från tabell K2 Försäljning!</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Jadelcons</author>
  </authors>
  <commentList>
    <comment ref="B47" authorId="0" shapeId="0" xr:uid="{00000000-0006-0000-0300-000001000000}">
      <text>
        <r>
          <rPr>
            <b/>
            <sz val="9"/>
            <color indexed="81"/>
            <rFont val="Tahoma"/>
            <family val="2"/>
          </rPr>
          <t>Jadelcons:</t>
        </r>
        <r>
          <rPr>
            <sz val="9"/>
            <color indexed="81"/>
            <rFont val="Tahoma"/>
            <family val="2"/>
          </rPr>
          <t xml:space="preserve">
Tarkoitetaan vanhaa kiinteistöä, jonka ostosta ei voida vähentää arvonlisäveroa.</t>
        </r>
      </text>
    </comment>
    <comment ref="B48" authorId="0" shapeId="0" xr:uid="{00000000-0006-0000-0300-000002000000}">
      <text>
        <r>
          <rPr>
            <b/>
            <sz val="9"/>
            <color indexed="81"/>
            <rFont val="Tahoma"/>
            <family val="2"/>
          </rPr>
          <t>Jadelcons:</t>
        </r>
        <r>
          <rPr>
            <sz val="9"/>
            <color indexed="81"/>
            <rFont val="Tahoma"/>
            <family val="2"/>
          </rPr>
          <t xml:space="preserve">
Tarkoitetaan vanhaa tai uutta kiinteistöä, jonka ostosta voidaan vähentää arvonlisävero.</t>
        </r>
      </text>
    </comment>
    <comment ref="E48" authorId="0" shapeId="0" xr:uid="{00000000-0006-0000-0300-000003000000}">
      <text>
        <r>
          <rPr>
            <b/>
            <sz val="9"/>
            <color indexed="81"/>
            <rFont val="Tahoma"/>
            <family val="2"/>
          </rPr>
          <t>Jadelcons:</t>
        </r>
        <r>
          <rPr>
            <sz val="9"/>
            <color indexed="81"/>
            <rFont val="Tahoma"/>
            <family val="2"/>
          </rPr>
          <t xml:space="preserve">
Alv 24 %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Jadelcons</author>
    <author>Ari Järvinen</author>
    <author>Yritystulkki</author>
  </authors>
  <commentList>
    <comment ref="C14" authorId="0" shapeId="0" xr:uid="{00000000-0006-0000-0600-000001000000}">
      <text>
        <r>
          <rPr>
            <sz val="9"/>
            <color indexed="81"/>
            <rFont val="Tahoma"/>
            <family val="2"/>
          </rPr>
          <t xml:space="preserve">
Vero lasketaan rahapalkan ja luontaisetujen yhteissummasta
</t>
        </r>
      </text>
    </comment>
    <comment ref="D14" authorId="1" shapeId="0" xr:uid="{00000000-0006-0000-0600-000002000000}">
      <text>
        <r>
          <rPr>
            <sz val="9"/>
            <color indexed="81"/>
            <rFont val="Tahoma"/>
            <family val="2"/>
          </rPr>
          <t xml:space="preserve">
2026 1,91%
2025
Sairausvakuutusmaksu 1,88 %.
Korjaa solun kaava.</t>
        </r>
      </text>
    </comment>
    <comment ref="R20" authorId="1" shapeId="0" xr:uid="{F082CEDA-3AE9-4833-B3E0-88A221978471}">
      <text>
        <r>
          <rPr>
            <b/>
            <sz val="9"/>
            <color indexed="81"/>
            <rFont val="Tahoma"/>
            <family val="2"/>
          </rPr>
          <t>Ari Järvinen:</t>
        </r>
        <r>
          <rPr>
            <sz val="9"/>
            <color indexed="81"/>
            <rFont val="Tahoma"/>
            <family val="2"/>
          </rPr>
          <t xml:space="preserve">
Tuloslaskelmaan lisätään vain sotumaksuosuus.</t>
        </r>
      </text>
    </comment>
    <comment ref="S20" authorId="1" shapeId="0" xr:uid="{F21AA343-20F4-4013-99A0-E0015CF9FCC2}">
      <text>
        <r>
          <rPr>
            <b/>
            <sz val="9"/>
            <color indexed="81"/>
            <rFont val="Tahoma"/>
            <family val="2"/>
          </rPr>
          <t>Ari Järvinen:</t>
        </r>
        <r>
          <rPr>
            <sz val="9"/>
            <color indexed="81"/>
            <rFont val="Tahoma"/>
            <family val="2"/>
          </rPr>
          <t xml:space="preserve">
Tuloslaskelmaan lisätään vain sotumaksuosuus.</t>
        </r>
      </text>
    </comment>
    <comment ref="T20" authorId="1" shapeId="0" xr:uid="{2B8E22E9-57CB-4870-B332-3DEC0DA95876}">
      <text>
        <r>
          <rPr>
            <b/>
            <sz val="9"/>
            <color indexed="81"/>
            <rFont val="Tahoma"/>
            <family val="2"/>
          </rPr>
          <t>Ari Järvinen:</t>
        </r>
        <r>
          <rPr>
            <sz val="9"/>
            <color indexed="81"/>
            <rFont val="Tahoma"/>
            <family val="2"/>
          </rPr>
          <t xml:space="preserve">
Tuloslaskelmaan lisätään vain sotumaksuosuus.</t>
        </r>
      </text>
    </comment>
    <comment ref="U20" authorId="1" shapeId="0" xr:uid="{7777B4DC-66E5-4B89-A9C5-0F97790BCBEA}">
      <text>
        <r>
          <rPr>
            <b/>
            <sz val="9"/>
            <color indexed="81"/>
            <rFont val="Tahoma"/>
            <family val="2"/>
          </rPr>
          <t>Ari Järvinen:</t>
        </r>
        <r>
          <rPr>
            <sz val="9"/>
            <color indexed="81"/>
            <rFont val="Tahoma"/>
            <family val="2"/>
          </rPr>
          <t xml:space="preserve">
Tuloslaskelmaan lisätään vain sotumaksuosuus.</t>
        </r>
      </text>
    </comment>
    <comment ref="C30" authorId="0" shapeId="0" xr:uid="{00000000-0006-0000-0600-000003000000}">
      <text>
        <r>
          <rPr>
            <sz val="9"/>
            <color indexed="81"/>
            <rFont val="Tahoma"/>
            <family val="2"/>
          </rPr>
          <t xml:space="preserve">
Vero lasketaan rahapalkan ja luontaisetujen yhteissummasta
</t>
        </r>
      </text>
    </comment>
    <comment ref="D30" authorId="1" shapeId="0" xr:uid="{6E218707-204B-4218-B41B-6A489AD00C1B}">
      <text>
        <r>
          <rPr>
            <sz val="9"/>
            <color indexed="81"/>
            <rFont val="Tahoma"/>
            <family val="2"/>
          </rPr>
          <t>2026
Sairausvakuutusmaksu 1,91%.
Korjaa solun kaava.</t>
        </r>
      </text>
    </comment>
    <comment ref="D35" authorId="1" shapeId="0" xr:uid="{00000000-0006-0000-0600-000005000000}">
      <text>
        <r>
          <rPr>
            <b/>
            <sz val="9"/>
            <color indexed="81"/>
            <rFont val="Tahoma"/>
            <family val="2"/>
          </rPr>
          <t xml:space="preserve">2026: 20,50 %
2025:  20,47%
2024: 19,95 % keskimääräiset sosiaalivakuutusmaksut yksitylsellä sektorilla. Palkanlaskijan opas.
</t>
        </r>
      </text>
    </comment>
    <comment ref="R36" authorId="1" shapeId="0" xr:uid="{6A1B7B82-AFCE-4B32-85EF-6AD740D5C044}">
      <text>
        <r>
          <rPr>
            <b/>
            <sz val="9"/>
            <color indexed="81"/>
            <rFont val="Tahoma"/>
            <family val="2"/>
          </rPr>
          <t>Ari Järvinen:</t>
        </r>
        <r>
          <rPr>
            <sz val="9"/>
            <color indexed="81"/>
            <rFont val="Tahoma"/>
            <family val="2"/>
          </rPr>
          <t xml:space="preserve">
Tuloslaskelmaan lisätään vain sotumaksuosuus.</t>
        </r>
      </text>
    </comment>
    <comment ref="S36" authorId="1" shapeId="0" xr:uid="{F8FCC3B1-9EBA-4218-8380-03FC342B3F3F}">
      <text>
        <r>
          <rPr>
            <b/>
            <sz val="9"/>
            <color indexed="81"/>
            <rFont val="Tahoma"/>
            <family val="2"/>
          </rPr>
          <t>Ari Järvinen:</t>
        </r>
        <r>
          <rPr>
            <sz val="9"/>
            <color indexed="81"/>
            <rFont val="Tahoma"/>
            <family val="2"/>
          </rPr>
          <t xml:space="preserve">
Tuloslaskelmaan lisätään vain sotumaksuosuus.</t>
        </r>
      </text>
    </comment>
    <comment ref="T36" authorId="1" shapeId="0" xr:uid="{CC600044-E30F-4E2B-BA68-43EA3E6011A9}">
      <text>
        <r>
          <rPr>
            <b/>
            <sz val="9"/>
            <color indexed="81"/>
            <rFont val="Tahoma"/>
            <family val="2"/>
          </rPr>
          <t>Ari Järvinen:</t>
        </r>
        <r>
          <rPr>
            <sz val="9"/>
            <color indexed="81"/>
            <rFont val="Tahoma"/>
            <family val="2"/>
          </rPr>
          <t xml:space="preserve">
Tuloslaskelmaan lisätään vain sotumaksuosuus.</t>
        </r>
      </text>
    </comment>
    <comment ref="U36" authorId="1" shapeId="0" xr:uid="{6BE768BE-7081-4417-88C9-77821AE5A288}">
      <text>
        <r>
          <rPr>
            <b/>
            <sz val="9"/>
            <color indexed="81"/>
            <rFont val="Tahoma"/>
            <family val="2"/>
          </rPr>
          <t>Ari Järvinen:</t>
        </r>
        <r>
          <rPr>
            <sz val="9"/>
            <color indexed="81"/>
            <rFont val="Tahoma"/>
            <family val="2"/>
          </rPr>
          <t xml:space="preserve">
Tuloslaskelmaan lisätään vain sotumaksuosuus.</t>
        </r>
      </text>
    </comment>
    <comment ref="D44" authorId="2" shapeId="0" xr:uid="{D78B3AA0-FB30-495D-9437-0557C431DE5A}">
      <text>
        <r>
          <rPr>
            <b/>
            <sz val="9"/>
            <color indexed="81"/>
            <rFont val="Tahoma"/>
            <family val="2"/>
          </rPr>
          <t>Yritystulkki:</t>
        </r>
        <r>
          <rPr>
            <sz val="9"/>
            <color indexed="81"/>
            <rFont val="Tahoma"/>
            <family val="2"/>
          </rPr>
          <t xml:space="preserve">
Laskennallisnen Alv siirtyy AT Myynnin alv-taulukosta.</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Ari Järvinen</author>
  </authors>
  <commentList>
    <comment ref="B21" authorId="0" shapeId="0" xr:uid="{0F3E5A18-A10E-423D-B653-A4DC5F6FF5EA}">
      <text>
        <r>
          <rPr>
            <b/>
            <sz val="9"/>
            <color indexed="81"/>
            <rFont val="Tahoma"/>
            <family val="2"/>
          </rPr>
          <t>Ari Järvinen:</t>
        </r>
        <r>
          <rPr>
            <sz val="9"/>
            <color indexed="81"/>
            <rFont val="Tahoma"/>
            <family val="2"/>
          </rPr>
          <t xml:space="preserve">
Toimialataulukon solu N4 kopiodaan tähän eli vuosi, johon viitataan.
</t>
        </r>
      </text>
    </comment>
    <comment ref="C21" authorId="0" shapeId="0" xr:uid="{80893346-1D5C-439D-9D2D-5E387CFA9288}">
      <text>
        <r>
          <rPr>
            <b/>
            <sz val="9"/>
            <color indexed="81"/>
            <rFont val="Tahoma"/>
            <family val="2"/>
          </rPr>
          <t>Ari Järvinen:</t>
        </r>
        <r>
          <rPr>
            <sz val="9"/>
            <color indexed="81"/>
            <rFont val="Tahoma"/>
            <family val="2"/>
          </rPr>
          <t xml:space="preserve">
Toimialataulukon solu G4 kopiodaan tähän eli vuosi, johon viitataan.
</t>
        </r>
      </text>
    </comment>
    <comment ref="B22" authorId="0" shapeId="0" xr:uid="{E4B92FE0-E82A-49DD-BFBA-097FE496F967}">
      <text>
        <r>
          <rPr>
            <b/>
            <sz val="9"/>
            <color indexed="81"/>
            <rFont val="Tahoma"/>
            <family val="2"/>
          </rPr>
          <t>Ari Järvinen:</t>
        </r>
        <r>
          <rPr>
            <sz val="9"/>
            <color indexed="81"/>
            <rFont val="Tahoma"/>
            <family val="2"/>
          </rPr>
          <t xml:space="preserve">
Hakufunktion tuloksen eli viiimeisen puolipisteen jälkeen vaihdetaan sarakkeeksi L eli Liikevaihto/hlö-sarake</t>
        </r>
      </text>
    </comment>
    <comment ref="C22" authorId="0" shapeId="0" xr:uid="{715F3222-0B29-42B7-9DD9-7FE7C218208B}">
      <text>
        <r>
          <rPr>
            <b/>
            <sz val="9"/>
            <color indexed="81"/>
            <rFont val="Tahoma"/>
            <family val="2"/>
          </rPr>
          <t>Ari Järvinen:</t>
        </r>
        <r>
          <rPr>
            <sz val="9"/>
            <color indexed="81"/>
            <rFont val="Tahoma"/>
            <family val="2"/>
          </rPr>
          <t xml:space="preserve">
Hakufunktion tuloksen eli viiimeisen puolipisteen jälkeen vaihdetaan sarakkeeksi E eli Liikevaihto/hlö-sarake</t>
        </r>
      </text>
    </comment>
    <comment ref="B23" authorId="0" shapeId="0" xr:uid="{F5F6B241-A706-41EC-A0E8-9837F9820BAF}">
      <text>
        <r>
          <rPr>
            <b/>
            <sz val="9"/>
            <color indexed="81"/>
            <rFont val="Tahoma"/>
            <family val="2"/>
          </rPr>
          <t>Ari Järvinen:</t>
        </r>
        <r>
          <rPr>
            <sz val="9"/>
            <color indexed="81"/>
            <rFont val="Tahoma"/>
            <family val="2"/>
          </rPr>
          <t xml:space="preserve">
Hakufunktion tuloksen eli viiimeisen puolipisteen jälkeen vaihdetaan sarakkeeksi O
 eli Käyttöpääoma/hlö-sarake</t>
        </r>
      </text>
    </comment>
    <comment ref="C23" authorId="0" shapeId="0" xr:uid="{E8316CDC-699F-4538-B958-95B52424CF36}">
      <text>
        <r>
          <rPr>
            <b/>
            <sz val="9"/>
            <color indexed="81"/>
            <rFont val="Tahoma"/>
            <family val="2"/>
          </rPr>
          <t>Ari Järvinen:</t>
        </r>
        <r>
          <rPr>
            <sz val="9"/>
            <color indexed="81"/>
            <rFont val="Tahoma"/>
            <family val="2"/>
          </rPr>
          <t xml:space="preserve">
Hakufunktion tuloksen eli viiimeisen puolipisteen jälkeen vaihdetaan sarakkeeksi H eli Käyttöpääoma/hlö-sarake</t>
        </r>
      </text>
    </comment>
    <comment ref="B38" authorId="0" shapeId="0" xr:uid="{175901C2-CCB1-4018-804A-FDF0894493CF}">
      <text>
        <r>
          <rPr>
            <b/>
            <sz val="9"/>
            <color indexed="81"/>
            <rFont val="Tahoma"/>
            <family val="2"/>
          </rPr>
          <t>Ari Järvinen:</t>
        </r>
        <r>
          <rPr>
            <sz val="9"/>
            <color indexed="81"/>
            <rFont val="Tahoma"/>
            <family val="2"/>
          </rPr>
          <t xml:space="preserve">
Toimialataulukon solu M
4 kopiodaan tähän eli vuosi, johon viitataan.
</t>
        </r>
      </text>
    </comment>
    <comment ref="C38" authorId="0" shapeId="0" xr:uid="{15F3AD2F-EA92-4408-878D-486CAD0C548B}">
      <text>
        <r>
          <rPr>
            <b/>
            <sz val="9"/>
            <color indexed="81"/>
            <rFont val="Tahoma"/>
            <family val="2"/>
          </rPr>
          <t>Ari Järvinen:</t>
        </r>
        <r>
          <rPr>
            <sz val="9"/>
            <color indexed="81"/>
            <rFont val="Tahoma"/>
            <family val="2"/>
          </rPr>
          <t xml:space="preserve">
Toimialataulukon solu G4 kopiodaan tähän eli vuosi, johon viitataan.
</t>
        </r>
      </text>
    </comment>
    <comment ref="B39" authorId="0" shapeId="0" xr:uid="{272EA197-B159-44DA-B8B0-00C67476C2AF}">
      <text>
        <r>
          <rPr>
            <b/>
            <sz val="9"/>
            <color indexed="81"/>
            <rFont val="Tahoma"/>
            <family val="2"/>
          </rPr>
          <t>Ari Järvinen:</t>
        </r>
        <r>
          <rPr>
            <sz val="9"/>
            <color indexed="81"/>
            <rFont val="Tahoma"/>
            <family val="2"/>
          </rPr>
          <t xml:space="preserve">
Hakufunktion tuloksen eli viiimeisen puolipisteen jälkeen vaihdetaan sarakkeeksi L eli Liikevaihto/hlö-sarake</t>
        </r>
      </text>
    </comment>
    <comment ref="C39" authorId="0" shapeId="0" xr:uid="{DB39DF69-372F-453D-9741-271BBD00C900}">
      <text>
        <r>
          <rPr>
            <b/>
            <sz val="9"/>
            <color indexed="81"/>
            <rFont val="Tahoma"/>
            <family val="2"/>
          </rPr>
          <t>Ari Järvinen:</t>
        </r>
        <r>
          <rPr>
            <sz val="9"/>
            <color indexed="81"/>
            <rFont val="Tahoma"/>
            <family val="2"/>
          </rPr>
          <t xml:space="preserve">
Hakufunktion tuloksen eli viiimeisen puolipisteen jälkeen vaihdetaan sarakkeeksi E eli Liikevaihto/hlö-sarake</t>
        </r>
      </text>
    </comment>
    <comment ref="B40" authorId="0" shapeId="0" xr:uid="{CD882DFF-E366-41FF-A785-7BEEE30D668F}">
      <text>
        <r>
          <rPr>
            <b/>
            <sz val="9"/>
            <color indexed="81"/>
            <rFont val="Tahoma"/>
            <family val="2"/>
          </rPr>
          <t>Ari Järvinen:</t>
        </r>
        <r>
          <rPr>
            <sz val="9"/>
            <color indexed="81"/>
            <rFont val="Tahoma"/>
            <family val="2"/>
          </rPr>
          <t xml:space="preserve">
Hakufunktion tuloksen eli viiimeisen puolipisteen jälkeen vaihdetaan sarakkeeksi O
 eli Käyttöpääoma/hlo</t>
        </r>
      </text>
    </comment>
    <comment ref="C40" authorId="0" shapeId="0" xr:uid="{EFB6A7BC-17A3-4E00-AB55-C218622644DE}">
      <text>
        <r>
          <rPr>
            <b/>
            <sz val="9"/>
            <color indexed="81"/>
            <rFont val="Tahoma"/>
            <family val="2"/>
          </rPr>
          <t>Ari Järvinen:</t>
        </r>
        <r>
          <rPr>
            <sz val="9"/>
            <color indexed="81"/>
            <rFont val="Tahoma"/>
            <family val="2"/>
          </rPr>
          <t xml:space="preserve">
Hakufunktion tuloksen eli viiimeisen puolipisteen jälkeen vaihdetaan sarakkeeksi F eli Käyttökate-sarake</t>
        </r>
      </text>
    </comment>
    <comment ref="B44" authorId="0" shapeId="0" xr:uid="{6DE1D12A-9705-4DE4-8CA3-9452C1503A90}">
      <text>
        <r>
          <rPr>
            <b/>
            <sz val="9"/>
            <color indexed="81"/>
            <rFont val="Tahoma"/>
            <family val="2"/>
          </rPr>
          <t>Ari Järvinen:</t>
        </r>
        <r>
          <rPr>
            <sz val="9"/>
            <color indexed="81"/>
            <rFont val="Tahoma"/>
            <family val="2"/>
          </rPr>
          <t xml:space="preserve">
Hakufunktion tuloksen eli viiimeisen puolipisteen jälkeen vaihdetaan sarakkeeksi L
 eli Käyttökate-sarake</t>
        </r>
      </text>
    </comment>
    <comment ref="C44" authorId="0" shapeId="0" xr:uid="{F50366FB-EB8A-4EB1-86B2-09BA8F3711A3}">
      <text>
        <r>
          <rPr>
            <b/>
            <sz val="9"/>
            <color indexed="81"/>
            <rFont val="Tahoma"/>
            <family val="2"/>
          </rPr>
          <t>Ari Järvinen:</t>
        </r>
        <r>
          <rPr>
            <sz val="9"/>
            <color indexed="81"/>
            <rFont val="Tahoma"/>
            <family val="2"/>
          </rPr>
          <t xml:space="preserve">
Hakufunktion tuloksen eli viiimeisen puolipisteen jälkeen vaihdetaan sarakkeeksi F eli Käyttökate-sarake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Henri Järvinen</author>
    <author>Ari Järvinen</author>
    <author>Företagstolken</author>
    <author>Yritystulkki</author>
    <author>Jadelcons</author>
  </authors>
  <commentList>
    <comment ref="K2" authorId="0" shapeId="0" xr:uid="{00000000-0006-0000-0200-000001000000}">
      <text>
        <r>
          <rPr>
            <b/>
            <sz val="10"/>
            <color indexed="81"/>
            <rFont val="Tahoma"/>
            <family val="2"/>
          </rPr>
          <t xml:space="preserve"> Ifyllnadsdirektiv
</t>
        </r>
        <r>
          <rPr>
            <sz val="10"/>
            <color indexed="81"/>
            <rFont val="Tahoma"/>
            <family val="2"/>
          </rPr>
          <t>- Fyll i gula cellerna.
- Priserna i Euro inkl. mervärdesskatt.
- Mervärdesskattprocent kan förändras.
- Kom ihåg att höja priserna årligen!
- Observera även cellerna till höger.
- Du kan förflytta dig från tabell till tabell via
  pilknappen eller nere via tabellväljarna.</t>
        </r>
      </text>
    </comment>
    <comment ref="O2" authorId="0" shapeId="0" xr:uid="{7F5AF2F1-ECBE-4695-81BB-9A23407873B8}">
      <text>
        <r>
          <rPr>
            <b/>
            <sz val="10"/>
            <color indexed="81"/>
            <rFont val="Tahoma"/>
            <family val="2"/>
          </rPr>
          <t xml:space="preserve">Bilaga för finansiär: 
</t>
        </r>
        <r>
          <rPr>
            <sz val="10"/>
            <color indexed="81"/>
            <rFont val="Tahoma"/>
            <family val="2"/>
          </rPr>
          <t>- Om produkter finns 1 - 5, mata ut sidan 1
- Om produkter finns 1 - 11, mata ut sidorna 1 - 2
- Om produkter finns 1 - 17, mata ut sidorna 1 - 3</t>
        </r>
      </text>
    </comment>
    <comment ref="B15" authorId="1" shapeId="0" xr:uid="{00000000-0006-0000-0200-000003000000}">
      <text>
        <r>
          <rPr>
            <sz val="10"/>
            <color indexed="81"/>
            <rFont val="Tahoma"/>
            <family val="2"/>
          </rPr>
          <t>Skriv här namnet av produkten eller produktgruppen.</t>
        </r>
      </text>
    </comment>
    <comment ref="C15" authorId="2" shapeId="0" xr:uid="{FD374A4D-24A4-47DA-85DE-1384065413D6}">
      <text>
        <r>
          <rPr>
            <sz val="10"/>
            <color indexed="81"/>
            <rFont val="Tahoma"/>
            <family val="2"/>
          </rPr>
          <t xml:space="preserve">Skriv här momsprocenten, som uppbärs om försäljning av produkter och tjänster. 
</t>
        </r>
        <r>
          <rPr>
            <b/>
            <sz val="10"/>
            <color indexed="81"/>
            <rFont val="Tahoma"/>
            <family val="2"/>
          </rPr>
          <t>Allmän skattesats 25,5 %:</t>
        </r>
        <r>
          <rPr>
            <sz val="10"/>
            <color indexed="81"/>
            <rFont val="Tahoma"/>
            <family val="2"/>
          </rPr>
          <t xml:space="preserve"> de flesta varor och tjänster
</t>
        </r>
        <r>
          <rPr>
            <b/>
            <sz val="10"/>
            <color indexed="81"/>
            <rFont val="Tahoma"/>
            <family val="2"/>
          </rPr>
          <t>Reducerad skattesats 13,5 %:</t>
        </r>
        <r>
          <rPr>
            <sz val="10"/>
            <color indexed="81"/>
            <rFont val="Tahoma"/>
            <family val="2"/>
          </rPr>
          <t xml:space="preserve">
• livsmedel
• foder
• restaurang- och måltidstjänster
• böcker, e-böcker och övriga e-tjänster som berättigar till att läsa eller lyssna på nätpublikationer under prenumerationsperioden
• läkemedel
• motionstjänster (personal trainer 25,5%)
• biografföreställningar
• inträde till kultur- och nöjesevenemang
• persontransport
• inkvartering och ersättningar för televisions- och radioverksamhet
</t>
        </r>
        <r>
          <rPr>
            <b/>
            <sz val="10"/>
            <color indexed="81"/>
            <rFont val="Tahoma"/>
            <family val="2"/>
          </rPr>
          <t>Reducerad skattesats 10 %:</t>
        </r>
        <r>
          <rPr>
            <sz val="10"/>
            <color indexed="81"/>
            <rFont val="Tahoma"/>
            <family val="2"/>
          </rPr>
          <t xml:space="preserve">
• tidningar och tidskrifter
</t>
        </r>
        <r>
          <rPr>
            <b/>
            <sz val="10"/>
            <color indexed="81"/>
            <rFont val="Tahoma"/>
            <family val="2"/>
          </rPr>
          <t>Verksamhet som inte omfattas av momsbeskattningen</t>
        </r>
        <r>
          <rPr>
            <sz val="10"/>
            <color indexed="81"/>
            <rFont val="Tahoma"/>
            <family val="2"/>
          </rPr>
          <t xml:space="preserve">
• försäljning och uthyrning av fastigheter och aktielägenheter
• hälso-, sjuk- och socialvård
• försäljning av utbildningstjänster såsom omnämnts i mervärdesskattelagen
finansiella tjänster och försäkringstjänster
• ersättningar för upphovsrätt och framträdanden enligt vad som omnämnts i mervärdesskattelagen
• allmänna posttjänster
• företagets omsättning under det innevarande kalenderåret och det föregående kalenderåret är högst 20 000 euro.
Läs mera om Företagstolken punkt 3.27
</t>
        </r>
      </text>
    </comment>
    <comment ref="G16" authorId="1" shapeId="0" xr:uid="{972B17E4-F32E-4104-B43E-ED82178F7A3B}">
      <text>
        <r>
          <rPr>
            <sz val="10"/>
            <color indexed="81"/>
            <rFont val="Tahoma"/>
            <family val="2"/>
          </rPr>
          <t xml:space="preserve">Minns årlig kostnadshöjning. </t>
        </r>
      </text>
    </comment>
    <comment ref="C19" authorId="3" shapeId="0" xr:uid="{2858BC93-92F2-4495-AB89-8A9FFE3378EA}">
      <text>
        <r>
          <rPr>
            <sz val="10"/>
            <color indexed="81"/>
            <rFont val="Tahoma"/>
            <family val="2"/>
          </rPr>
          <t>Inköpspris utan svinn. Lägga till frakt- och förpackningskostnader.</t>
        </r>
      </text>
    </comment>
    <comment ref="C20" authorId="2" shapeId="0" xr:uid="{37297701-34B1-4C41-96AD-9DB2F7216E11}">
      <text>
        <r>
          <rPr>
            <sz val="10"/>
            <color indexed="81"/>
            <rFont val="Tahoma"/>
            <family val="2"/>
          </rPr>
          <t>Svinn förorsakas av butiksstölder (1 - 4 %), produkten går sönder eller nedsmutsas mm.</t>
        </r>
      </text>
    </comment>
    <comment ref="B55" authorId="2" shapeId="0" xr:uid="{6C7337E6-BB18-4427-B62C-3AEB076E7885}">
      <text>
        <r>
          <rPr>
            <sz val="10"/>
            <color indexed="81"/>
            <rFont val="Tahoma"/>
            <family val="2"/>
          </rPr>
          <t>I marginalbeskattningsförfarandet för begagnade varor och konstverk, samlarobjekt och antikviteter tas moms ut på skillnaden mellan försäljnings- och inköpspris, dvs vinstmarginalen enligt produktens momssats.</t>
        </r>
      </text>
    </comment>
    <comment ref="C79" authorId="3" shapeId="0" xr:uid="{BFE9ADE0-CF2B-4305-9D79-FB1BB243932C}">
      <text>
        <r>
          <rPr>
            <sz val="10"/>
            <color indexed="81"/>
            <rFont val="Tahoma"/>
            <family val="2"/>
          </rPr>
          <t>Inköpspris utan svinn. Lägga till frakt- och förpackningskostnader.</t>
        </r>
      </text>
    </comment>
    <comment ref="C189" authorId="3" shapeId="0" xr:uid="{2E1E50C7-A74C-41A1-80B7-5E5FF8DD2C6B}">
      <text>
        <r>
          <rPr>
            <sz val="10"/>
            <color indexed="81"/>
            <rFont val="Tahoma"/>
            <family val="2"/>
          </rPr>
          <t>Inköpspris utan svinn. Lägga till frakt- och förpackningskostnader.</t>
        </r>
      </text>
    </comment>
    <comment ref="B195" authorId="4" shapeId="0" xr:uid="{6D1CE198-E3BB-47EC-80DC-F3378D292D27}">
      <text>
        <r>
          <rPr>
            <sz val="10"/>
            <color indexed="81"/>
            <rFont val="Tahoma"/>
            <family val="2"/>
          </rPr>
          <t>I marginalbeskattningsförfarandet för begagnade varor och konstverk, samlarobjekt och antikviteter tas moms ut på skillnaden mellan försäljnings- och inköpspris, dvs vinstmarginalen enligt produktens momssats.</t>
        </r>
      </text>
    </comment>
    <comment ref="B207" authorId="3" shapeId="0" xr:uid="{0548BA4F-5516-4B42-9B0A-53789AEE86F9}">
      <text>
        <r>
          <rPr>
            <sz val="10"/>
            <color indexed="81"/>
            <rFont val="Tahoma"/>
            <family val="2"/>
          </rPr>
          <t>Marginalskattepliktiga produkter har dragits av från siffran.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Henri Järvinen</author>
    <author>Ari Järvinen</author>
    <author>Företagstolken</author>
    <author>Yritystulkki</author>
  </authors>
  <commentList>
    <comment ref="N2" authorId="0" shapeId="0" xr:uid="{38BBD68A-F3A5-4177-90AA-4219BE8AFB81}">
      <text>
        <r>
          <rPr>
            <b/>
            <sz val="10"/>
            <color indexed="81"/>
            <rFont val="Tahoma"/>
            <family val="2"/>
          </rPr>
          <t xml:space="preserve">Fyll i gula cellerna
1. BÖRJA MED ATT UPPSKATTA PENNINGBEHOVET OCH 
    PENNINGKÄLLORNA.  
</t>
        </r>
        <r>
          <rPr>
            <sz val="10"/>
            <color indexed="81"/>
            <rFont val="Tahoma"/>
            <family val="2"/>
          </rPr>
          <t xml:space="preserve"> - Först PENNINGBEHOVET (vänstra sidan av tabellen).
 - Sedan FINANSIERING 
 - </t>
        </r>
        <r>
          <rPr>
            <b/>
            <sz val="10"/>
            <color indexed="81"/>
            <rFont val="Tahoma"/>
            <family val="2"/>
          </rPr>
          <t>FINANSIERING</t>
        </r>
        <r>
          <rPr>
            <sz val="10"/>
            <color indexed="81"/>
            <rFont val="Tahoma"/>
            <family val="2"/>
          </rPr>
          <t xml:space="preserve"> berättar, hur företagsprojektet finansieras.
 - Slutsummorna på vänstra och högra sidan bör vara lika stora.
 - Om inte, korrigera differensen i kassan = punkt 6. Driftskapital.
 - Investeringssummorna, där </t>
        </r>
        <r>
          <rPr>
            <b/>
            <sz val="10"/>
            <color indexed="81"/>
            <rFont val="Tahoma"/>
            <family val="2"/>
          </rPr>
          <t>mervärdesskatten har beaktats.</t>
        </r>
        <r>
          <rPr>
            <sz val="10"/>
            <color indexed="81"/>
            <rFont val="Tahoma"/>
            <family val="2"/>
          </rPr>
          <t xml:space="preserve">
 - Det är förnuftigt ar reservera driftskapital överskattade. Det finns 
   alltid möjligt för extra amortering av lånet, men mycket svårare
   att lyfta extra lån. </t>
        </r>
        <r>
          <rPr>
            <b/>
            <sz val="10"/>
            <color indexed="81"/>
            <rFont val="Tahoma"/>
            <family val="2"/>
          </rPr>
          <t xml:space="preserve">
 2. RESULTATSKALKYL
</t>
        </r>
        <r>
          <rPr>
            <sz val="10"/>
            <color indexed="81"/>
            <rFont val="Tahoma"/>
            <family val="2"/>
          </rPr>
          <t xml:space="preserve">- Berättar företagets lönsamhet.
- Observera företagets förmåga att återbetala lånen. 
  </t>
        </r>
        <r>
          <rPr>
            <b/>
            <sz val="10"/>
            <color indexed="81"/>
            <rFont val="Tahoma"/>
            <family val="2"/>
          </rPr>
          <t>Punkt 11. Finansieringsresultat måste vara större än
  punkt 15. Lånamorteringar och avbetalningsrater slgt.</t>
        </r>
        <r>
          <rPr>
            <sz val="10"/>
            <color indexed="81"/>
            <rFont val="Tahoma"/>
            <family val="2"/>
          </rPr>
          <t xml:space="preserve">
</t>
        </r>
        <r>
          <rPr>
            <b/>
            <sz val="10"/>
            <color indexed="81"/>
            <rFont val="Tahoma"/>
            <family val="2"/>
          </rPr>
          <t xml:space="preserve">
 3. ANALYSERING 
 </t>
        </r>
        <r>
          <rPr>
            <sz val="10"/>
            <color indexed="81"/>
            <rFont val="Tahoma"/>
            <family val="2"/>
          </rPr>
          <t xml:space="preserve">På nedra kanten av sidan finns RISKANALYS och 
 BRANSCHJÄMFÖRELSE.  </t>
        </r>
      </text>
    </comment>
    <comment ref="Q2" authorId="0" shapeId="0" xr:uid="{F1388EC2-677D-47B4-9A82-85B1A201785D}">
      <text>
        <r>
          <rPr>
            <b/>
            <sz val="10"/>
            <color indexed="81"/>
            <rFont val="Tahoma"/>
            <family val="2"/>
          </rPr>
          <t>Bilaga för finansiär: 
Mata ut sidorna 1 - 2.</t>
        </r>
        <r>
          <rPr>
            <sz val="10"/>
            <color indexed="81"/>
            <rFont val="Tahoma"/>
            <family val="2"/>
          </rPr>
          <t xml:space="preserve"> </t>
        </r>
      </text>
    </comment>
    <comment ref="B9" authorId="1" shapeId="0" xr:uid="{2427B805-BB8B-488E-94AE-536187A1B290}">
      <text>
        <r>
          <rPr>
            <sz val="10"/>
            <color indexed="81"/>
            <rFont val="Tahoma"/>
            <family val="2"/>
          </rPr>
          <t>Förutsättning för utskrivning av kassabudget är företagets namn, son skrivs i tabell K1 Kostnader.</t>
        </r>
      </text>
    </comment>
    <comment ref="E17" authorId="2" shapeId="0" xr:uid="{B653401F-E738-442B-A331-E1AB7E3A15E1}">
      <text>
        <r>
          <rPr>
            <sz val="10"/>
            <color indexed="81"/>
            <rFont val="Tahoma"/>
            <family val="2"/>
          </rPr>
          <t>Avskrivningsfria anskaffningar
- tomtmark
- el-, vatten- osv. anslutning
- franchising-, taxicentral- osv. Anslutningsvgift
- aktier till affärslägenhet</t>
        </r>
      </text>
    </comment>
    <comment ref="E18" authorId="2" shapeId="0" xr:uid="{9CB4577D-94F7-4272-B3B9-1CB53D583C99}">
      <text>
        <r>
          <rPr>
            <sz val="10"/>
            <color indexed="81"/>
            <rFont val="Tahoma"/>
            <family val="2"/>
          </rPr>
          <t>Byggnader: affärslokaler, produktions-lokaler, hallar, lager, kontor (inte aktie-).</t>
        </r>
      </text>
    </comment>
    <comment ref="H18" authorId="2" shapeId="0" xr:uid="{C2437B7D-D0C7-4E7E-8EED-9BA0FCCA22F7}">
      <text>
        <r>
          <rPr>
            <sz val="10"/>
            <color indexed="81"/>
            <rFont val="Tahoma"/>
            <family val="2"/>
          </rPr>
          <t>Räntans storlek påverkas av företagets lönsamhet och ekonomiska ställning, av risken i affärsverksamhet samt av säkerheten för lånet.</t>
        </r>
      </text>
    </comment>
    <comment ref="I18" authorId="2" shapeId="0" xr:uid="{350133EA-8F1E-4A39-800A-AD165B4E8758}">
      <text>
        <r>
          <rPr>
            <sz val="10"/>
            <color indexed="81"/>
            <rFont val="Tahoma"/>
            <family val="2"/>
          </rPr>
          <t>Fria år från avkortningar. Antalet år antecknas i denna cell och de kan uppgå till högst 2. Vi rekommenderar högst ett år.</t>
        </r>
      </text>
    </comment>
    <comment ref="J18" authorId="2" shapeId="0" xr:uid="{C35B8785-A415-4623-BD4F-EF81444ED1ED}">
      <text>
        <r>
          <rPr>
            <sz val="10"/>
            <color indexed="81"/>
            <rFont val="Tahoma"/>
            <family val="2"/>
          </rPr>
          <t>Den totala lånetiden antecknas i denna cell och måste vara min. 3 år.</t>
        </r>
      </text>
    </comment>
    <comment ref="E19" authorId="2" shapeId="0" xr:uid="{BD2A553F-036F-4954-96D0-C315A1894661}">
      <text>
        <r>
          <rPr>
            <sz val="10"/>
            <color indexed="81"/>
            <rFont val="Tahoma"/>
            <family val="2"/>
          </rPr>
          <t>Byggande och renovering av fastigheter, affärslokaler, företagslägenhet. Små renoveringar till punkt 
9. Kostnader av affärslokaler i tabell K1 Kostnader.</t>
        </r>
      </text>
    </comment>
    <comment ref="H19" authorId="2" shapeId="0" xr:uid="{32BEB53F-2823-4021-A8DE-5F673546A45B}">
      <text>
        <r>
          <rPr>
            <sz val="10"/>
            <color indexed="81"/>
            <rFont val="Tahoma"/>
            <family val="2"/>
          </rPr>
          <t xml:space="preserve">Bankens ränta-%. Risken påverkar räntan.
</t>
        </r>
        <r>
          <rPr>
            <b/>
            <sz val="10"/>
            <color indexed="81"/>
            <rFont val="Tahoma"/>
            <family val="2"/>
          </rPr>
          <t>Om du ansöker om Finnveras garanti</t>
        </r>
        <r>
          <rPr>
            <sz val="10"/>
            <color indexed="81"/>
            <rFont val="Tahoma"/>
            <family val="2"/>
          </rPr>
          <t xml:space="preserve"> som säkerhet för lånet, lägg till Finnveras garantiprovision till bankens ränta. Om garantin har beviljats ​​för t.ex 50 % av lånekapitalet, halvera garantiprovisionen. </t>
        </r>
      </text>
    </comment>
    <comment ref="I19" authorId="2" shapeId="0" xr:uid="{5DFEF938-F8BE-45E0-B2B2-89226867FB0F}">
      <text>
        <r>
          <rPr>
            <sz val="10"/>
            <color indexed="81"/>
            <rFont val="Tahoma"/>
            <family val="2"/>
          </rPr>
          <t>Fria år från avkortningar. Antalet år antecknas i denna cell och de kan uppgå till högst 2. Vi rekommenderar högst ett år.</t>
        </r>
      </text>
    </comment>
    <comment ref="J19" authorId="2" shapeId="0" xr:uid="{EF0DF751-6AE8-43B2-9284-8A7A835E1DA6}">
      <text>
        <r>
          <rPr>
            <sz val="10"/>
            <color indexed="81"/>
            <rFont val="Tahoma"/>
            <family val="2"/>
          </rPr>
          <t>Den totala lånetiden antecknas i denna cell och måste vara min. 3 år.</t>
        </r>
      </text>
    </comment>
    <comment ref="I20" authorId="2" shapeId="0" xr:uid="{FC94096F-0B93-495F-BD57-6219856616E3}">
      <text>
        <r>
          <rPr>
            <sz val="10"/>
            <color indexed="81"/>
            <rFont val="Tahoma"/>
            <family val="2"/>
          </rPr>
          <t>Fria år från avkortningar. Antalet år antecknas i denna cell och de kan uppgå till högst 2. Vi rekommenderar högst ett år.</t>
        </r>
      </text>
    </comment>
    <comment ref="J20" authorId="2" shapeId="0" xr:uid="{D699AF01-C2D1-42D6-BCFF-8049742651EF}">
      <text>
        <r>
          <rPr>
            <sz val="10"/>
            <color indexed="81"/>
            <rFont val="Tahoma"/>
            <family val="2"/>
          </rPr>
          <t>Den totala lånetiden antecknas i denna cell och måste vara min. 3 år.</t>
        </r>
      </text>
    </comment>
    <comment ref="B21" authorId="2" shapeId="0" xr:uid="{A89CAD52-49CE-434D-80DD-FBA280F81221}">
      <text>
        <r>
          <rPr>
            <sz val="10"/>
            <color indexed="81"/>
            <rFont val="Tahoma"/>
            <family val="2"/>
          </rPr>
          <t>Investeringar, vilka innehåller avdragbar Moms. T.ex. maskiner och inventarier samt övriga avskrivningsbara långvariga anskaffningar (mm. Adb-system, patenten, produktionsrättigheter).  
Skriv Moms 0 %-anskaffningar nedre i punkt 
"- skattefria anskaffning., affärsvärde".</t>
        </r>
      </text>
    </comment>
    <comment ref="D21" authorId="2" shapeId="0" xr:uid="{B20CBFCD-1297-4716-B8AA-C33760B99B02}">
      <text>
        <r>
          <rPr>
            <sz val="10"/>
            <color indexed="81"/>
            <rFont val="Tahoma"/>
            <family val="2"/>
          </rPr>
          <t>Bidrag för investeringar beviljas vanligen inte till transport-, handels-, entreprenörs- och byggnadsbranscher. Bidrag beviljas av Moms 0 %-priset.</t>
        </r>
      </text>
    </comment>
    <comment ref="F21" authorId="3" shapeId="0" xr:uid="{FF144CA3-E7A9-48BB-B8FB-847913EB5E05}">
      <text>
        <r>
          <rPr>
            <sz val="10"/>
            <color indexed="81"/>
            <rFont val="Tahoma"/>
            <family val="2"/>
          </rPr>
          <t>Maskiner och utrustning inköpta för affärsbruk</t>
        </r>
        <r>
          <rPr>
            <b/>
            <sz val="10"/>
            <color indexed="81"/>
            <rFont val="Tahoma"/>
            <family val="2"/>
          </rPr>
          <t xml:space="preserve"> med restvärde. </t>
        </r>
        <r>
          <rPr>
            <sz val="10"/>
            <color indexed="81"/>
            <rFont val="Tahoma"/>
            <family val="2"/>
          </rPr>
          <t xml:space="preserve">
Leasingfinansiering till fast månadspris placeras i post 
- 11. Utgifter för bilar/arbetsmaskiner (affärsbruk)
- 13. Övriga maskin- och apparaturkostnader
- 25. Fordonskostnader (fordonen i privatbruk,
        naturaförmån)  </t>
        </r>
      </text>
    </comment>
    <comment ref="I21" authorId="2" shapeId="0" xr:uid="{2CEC7F47-808A-4DAA-A5AA-99FE1BC06823}">
      <text>
        <r>
          <rPr>
            <sz val="10"/>
            <color indexed="81"/>
            <rFont val="Tahoma"/>
            <family val="2"/>
          </rPr>
          <t>Avbetalningens och leasingens  betalningstid är 2 - 5 år!</t>
        </r>
      </text>
    </comment>
    <comment ref="K21" authorId="2" shapeId="0" xr:uid="{ACA3A6D4-FBC3-4475-9199-239803BC8DC4}">
      <text>
        <r>
          <rPr>
            <sz val="10"/>
            <color indexed="81"/>
            <rFont val="Tahoma"/>
            <family val="2"/>
          </rPr>
          <t>Med leasing kan man finansiera ca.80 % av investeringens värde. Återbäring av mervärdesskatt fås månatligen i efterhand.  Läs mera Företagstolken punkt 3.10 Leasingens kostnader.</t>
        </r>
      </text>
    </comment>
    <comment ref="I22" authorId="2" shapeId="0" xr:uid="{44BFE7C6-A5BE-47FF-BDA5-36111E6C6AA5}">
      <text>
        <r>
          <rPr>
            <sz val="10"/>
            <color indexed="81"/>
            <rFont val="Tahoma"/>
            <family val="2"/>
          </rPr>
          <t>Avbetalningens och leasingens  betalningstid är 2 - 5 år!</t>
        </r>
      </text>
    </comment>
    <comment ref="K22" authorId="3" shapeId="0" xr:uid="{0BA01537-C895-4BF9-A9DB-79158FDBD698}">
      <text>
        <r>
          <rPr>
            <b/>
            <sz val="10"/>
            <color indexed="81"/>
            <rFont val="Tahoma"/>
            <family val="2"/>
          </rPr>
          <t>Med avbetalning</t>
        </r>
        <r>
          <rPr>
            <sz val="10"/>
            <color indexed="81"/>
            <rFont val="Tahoma"/>
            <family val="2"/>
          </rPr>
          <t xml:space="preserve"> kan man finansiera högst 80 % av investeringens värde. Återbärning av mervärdesskatt fås genast och NTM-centralens bidrag fås genast efter investeringens färdigställande.</t>
        </r>
      </text>
    </comment>
    <comment ref="E24" authorId="2" shapeId="0" xr:uid="{239977EE-2000-44D8-8049-37D70690242B}">
      <text>
        <r>
          <rPr>
            <sz val="10"/>
            <color indexed="81"/>
            <rFont val="Tahoma"/>
            <family val="2"/>
          </rPr>
          <t xml:space="preserve">Avses handelsvaror, som har köpt vid förvärv av affärsverksamheten. Handelsvarorna utan mervärdesskatt. </t>
        </r>
      </text>
    </comment>
    <comment ref="K24" authorId="2" shapeId="0" xr:uid="{13140B53-1E19-44D2-97F6-FB19DF1E9206}">
      <text>
        <r>
          <rPr>
            <sz val="10"/>
            <color indexed="81"/>
            <rFont val="Tahoma"/>
            <family val="2"/>
          </rPr>
          <t>Bidrag kan betalas till investeringen, som inte innehåller Moms. OM LEASINGFINANSIERING ANVÄNDS, ÄR BELOPPET INDIKATIVT!</t>
        </r>
      </text>
    </comment>
    <comment ref="E25" authorId="2" shapeId="0" xr:uid="{FDBFA32C-5E73-43E1-9C47-B7287D2DC790}">
      <text>
        <r>
          <rPr>
            <sz val="10"/>
            <color indexed="81"/>
            <rFont val="Tahoma"/>
            <family val="2"/>
          </rPr>
          <t>Avses varor, som man har köpt i förhand före öppnandet av affären.</t>
        </r>
      </text>
    </comment>
    <comment ref="E26" authorId="2" shapeId="0" xr:uid="{22668F98-39B4-46DC-B889-93E9515C1072}">
      <text>
        <r>
          <rPr>
            <sz val="10"/>
            <color indexed="81"/>
            <rFont val="Tahoma"/>
            <family val="2"/>
          </rPr>
          <t>Här antecknas anskaffningar, av vilka man inte får återbäring av mervärdesskatt. T.ex. 
- momsfria företagen (mervärdesskatt 0%)
- affärsvärde (goodwill) vid företagsförvärv
- maskiner och inventarier vid förvärv av
  affärsverksamheten
- anskaffningar av privata personer
- anskaffningar av utomlands</t>
        </r>
      </text>
    </comment>
    <comment ref="K27" authorId="2" shapeId="0" xr:uid="{15B79712-59CC-4624-A2EA-67D4F00F1549}">
      <text>
        <r>
          <rPr>
            <sz val="10"/>
            <color indexed="81"/>
            <rFont val="Tahoma"/>
            <family val="2"/>
          </rPr>
          <t xml:space="preserve">Moms-återbäring kalkyleras från posterna
- 1.  Lokaliteter / inköp/byggande av fastigheter
- 2. Maskiner och inventarier
- 3. Immateriella investeringar
Av bidragen minskas leasingfinansieringens andel. Återbäring fås 2 månader efter anskaffningen. </t>
        </r>
      </text>
    </comment>
    <comment ref="B28" authorId="2" shapeId="0" xr:uid="{6C045B03-0FE0-488A-B224-4437986362F6}">
      <text>
        <r>
          <rPr>
            <sz val="10"/>
            <color indexed="81"/>
            <rFont val="Tahoma"/>
            <family val="2"/>
          </rPr>
          <t xml:space="preserve">Här antecknas övriga kortvariga anskaffningar inkl. Moms, vilka </t>
        </r>
        <r>
          <rPr>
            <b/>
            <sz val="10"/>
            <color indexed="81"/>
            <rFont val="Tahoma"/>
            <family val="2"/>
          </rPr>
          <t>minskas som kostnad inom ett år</t>
        </r>
        <r>
          <rPr>
            <sz val="10"/>
            <color indexed="81"/>
            <rFont val="Tahoma"/>
            <family val="2"/>
          </rPr>
          <t xml:space="preserve"> (ingen avskrivning). T.ex.
- marknadsföringsinvesteringar (logo, websidor, licens) 
- produktskydd kostnader
- expertarvoden (utformning av kontrakt etc.) </t>
        </r>
      </text>
    </comment>
    <comment ref="K29" authorId="2" shapeId="0" xr:uid="{2456CA15-03F9-4092-88AF-81635CA723AB}">
      <text>
        <r>
          <rPr>
            <sz val="10"/>
            <color indexed="81"/>
            <rFont val="Tahoma"/>
            <family val="2"/>
          </rPr>
          <t>För att få projektet lyckas bra, borde andel av egen finansiering vara 20 % av det totala finansieringsbehovet.</t>
        </r>
      </text>
    </comment>
    <comment ref="E30" authorId="2" shapeId="0" xr:uid="{1B5E912B-6362-4DAB-87CA-C5F46B6629BA}">
      <text>
        <r>
          <rPr>
            <b/>
            <sz val="10"/>
            <color indexed="81"/>
            <rFont val="Tahoma"/>
            <family val="2"/>
          </rPr>
          <t xml:space="preserve">Här antecknas immateriella- och utvecklingsinvesteringar
för momsfria företagen </t>
        </r>
        <r>
          <rPr>
            <sz val="10"/>
            <color indexed="81"/>
            <rFont val="Tahoma"/>
            <family val="2"/>
          </rPr>
          <t>(mervärdesskatt 0%)</t>
        </r>
        <r>
          <rPr>
            <b/>
            <sz val="10"/>
            <color indexed="81"/>
            <rFont val="Tahoma"/>
            <family val="2"/>
          </rPr>
          <t xml:space="preserve">. </t>
        </r>
      </text>
    </comment>
    <comment ref="E32" authorId="2" shapeId="0" xr:uid="{3695B904-08EE-4F4D-81C5-61186620BDC0}">
      <text>
        <r>
          <rPr>
            <sz val="10"/>
            <color indexed="81"/>
            <rFont val="Tahoma"/>
            <family val="2"/>
          </rPr>
          <t>Driftskapital = Kassamedlen, pengar i kassan. Behovet av driftskapital beror på driftskostnader samt fluktuation av försäljningen och inköpen.
Rörelsekapitalkravet för nybörjande företag minst:  
- vid detaljhandel 20 % av omsättning.
- privata tjänster 5000 - 30 000 euro/person
 (vid företagsförvärv 2000 - 10 000 euro/person.
Det finns stora branschvariationer. För riktnings-information, se fliken Branschinformation. I början är rörelsekapitalkravet är 2-3 gånger större än för aktivt företag.</t>
        </r>
      </text>
    </comment>
    <comment ref="E35" authorId="2" shapeId="0" xr:uid="{574BC0DF-7F1E-4467-A743-D3DEEDF052DC}">
      <text>
        <r>
          <rPr>
            <sz val="10"/>
            <color indexed="81"/>
            <rFont val="Tahoma"/>
            <family val="2"/>
          </rPr>
          <t>Slutsummorna på vänstra och högra sidan bör vara lika stora. Om summan är negativ, finns det "för mycket" pengar, som fogas till punkt 6. Driftskapital.</t>
        </r>
      </text>
    </comment>
    <comment ref="K35" authorId="2" shapeId="0" xr:uid="{16AE39BE-0515-4690-8ABC-D2CACE6F18A2}">
      <text>
        <r>
          <rPr>
            <sz val="10"/>
            <color indexed="81"/>
            <rFont val="Tahoma"/>
            <family val="2"/>
          </rPr>
          <t>Bidrag och återbäring av mervärdesskatt erhålls i efterhand. Om summan är stor, är man tvungen att ordna med tillfällig finansiering. T.ex. konto med kredit.
Var också beredd för det, att inte något bidrag erhålls.</t>
        </r>
      </text>
    </comment>
    <comment ref="F45" authorId="1" shapeId="0" xr:uid="{00000000-0006-0000-0400-00001B000000}">
      <text>
        <r>
          <rPr>
            <sz val="10"/>
            <color indexed="81"/>
            <rFont val="Tahoma"/>
            <family val="2"/>
          </rPr>
          <t>Under 1. året betjänas kalkylmässiga semesterlöner, varför personalkostnaderna är större än 2. årets kostnad.</t>
        </r>
      </text>
    </comment>
    <comment ref="F51" authorId="2" shapeId="0" xr:uid="{2885FE35-97D5-440B-9791-FE8F3DBC4C56}">
      <text>
        <r>
          <rPr>
            <sz val="10"/>
            <color indexed="81"/>
            <rFont val="Tahoma"/>
            <family val="2"/>
          </rPr>
          <t xml:space="preserve">Skatten beräknas enligt procenten under. 
50 % av representationskostnaderna är avdragbara i beskattning. </t>
        </r>
      </text>
    </comment>
    <comment ref="F55" authorId="3" shapeId="0" xr:uid="{C900842B-421F-4BF8-9488-F9EBDB1D613B}">
      <text>
        <r>
          <rPr>
            <sz val="10"/>
            <color indexed="81"/>
            <rFont val="Tahoma"/>
            <family val="2"/>
          </rPr>
          <t xml:space="preserve"> - Produktions- och förrådsbyggnader, butiker, 
   maximiavskrivning 7 %, ca.15 år
 - Bostads-, kontors- och dylika byggnader, 
   maximiavskrivning  4 %, ca.25 år
 - Behållaren, lätta anläggningar mm. 20 %</t>
        </r>
      </text>
    </comment>
    <comment ref="F56" authorId="3" shapeId="0" xr:uid="{76A33802-0ED2-4D8F-B0F2-0AC0F3488BAF}">
      <text>
        <r>
          <rPr>
            <sz val="10"/>
            <color indexed="81"/>
            <rFont val="Tahoma"/>
            <family val="2"/>
          </rPr>
          <t xml:space="preserve"> - maximiavskrivning 25 %
 - vi rekommenderar avskrivning enligt 
   ekonomisk drifttid, som vanligen är 5 - 10 år</t>
        </r>
      </text>
    </comment>
    <comment ref="F57" authorId="3" shapeId="0" xr:uid="{4C1A42EF-94A0-4551-A17D-E17EED26E2C2}">
      <text>
        <r>
          <rPr>
            <sz val="10"/>
            <color indexed="81"/>
            <rFont val="Tahoma"/>
            <family val="2"/>
          </rPr>
          <t xml:space="preserve"> - maximiavskrivning 25 %
 - vi rekommenderar 5 års drifttid, som är ca.5 år</t>
        </r>
      </text>
    </comment>
    <comment ref="F58" authorId="3" shapeId="0" xr:uid="{0B2A7A39-0B8E-468C-8097-BB6392DAB960}">
      <text>
        <r>
          <rPr>
            <sz val="10"/>
            <color indexed="81"/>
            <rFont val="Tahoma"/>
            <family val="2"/>
          </rPr>
          <t xml:space="preserve"> - maximiavskrivning 25 %
 - vi rekommenderar 5 års drifttid, som är ca.5 år</t>
        </r>
      </text>
    </comment>
    <comment ref="F59" authorId="3" shapeId="0" xr:uid="{267CAF01-1C48-4265-B4BD-F8E8DABFDD10}">
      <text>
        <r>
          <rPr>
            <sz val="10"/>
            <color indexed="81"/>
            <rFont val="Tahoma"/>
            <family val="2"/>
          </rPr>
          <t xml:space="preserve">Nettoresultatet är resultat av den faktiska affärsverksamheten utan Icke-ordinarie engångsposter. </t>
        </r>
      </text>
    </comment>
    <comment ref="E80" authorId="2" shapeId="0" xr:uid="{908E79C4-C0D2-410D-9738-AC7912A92CB8}">
      <text>
        <r>
          <rPr>
            <sz val="10"/>
            <color indexed="81"/>
            <rFont val="Tahoma"/>
            <family val="2"/>
          </rPr>
          <t>Detta procenttal berättar, hur mycket försäljningen kan förnedra sig (positivt tal) eller måste bestiga (negativt tal), so att alla kostnaderna är betäckta.</t>
        </r>
      </text>
    </comment>
    <comment ref="F97" authorId="2" shapeId="0" xr:uid="{F7E17F9D-A11D-4507-8402-3796F52B8608}">
      <text>
        <r>
          <rPr>
            <b/>
            <sz val="10"/>
            <color indexed="81"/>
            <rFont val="Tahoma"/>
            <family val="2"/>
          </rPr>
          <t xml:space="preserve">
VÄLJ NUMRET, som bäst motsvarar ditt eget företag
Industri och tillverkning
 </t>
        </r>
        <r>
          <rPr>
            <sz val="10"/>
            <color indexed="81"/>
            <rFont val="Tahoma"/>
            <family val="2"/>
          </rPr>
          <t xml:space="preserve">1. Slakt, produktion av köttprodukter                       2. Bagerier 
 3. Tillverkning av övriga textilvaror                          4. Tillverkning av kläder 
 5. Sågning, hyvling och impregnering av trä             6. Tillverkning av byggnadssnickar-produkter
 7. Tryckning och därtill hörande tjänster                  8. Tillverkning av plastprodukter
 9. Tillverkning av metallkonstruktioner                   10. Beläggning och överdragning av metall; metallegoarbeten
11. Tillverkning av maskiner och anordningar          12. Tillverkning av maskiner för allmänt bruk
13. Tillverkning av jord- och skogsbruksmaskiner    14. Tillverkning av motorfordon och släpvagnar 
15. Tillverkning av möbler                                      16. Tillverkning av köksinredningar och -möbler
</t>
        </r>
        <r>
          <rPr>
            <b/>
            <sz val="10"/>
            <color indexed="81"/>
            <rFont val="Tahoma"/>
            <family val="2"/>
          </rPr>
          <t>Byggande</t>
        </r>
        <r>
          <rPr>
            <sz val="10"/>
            <color indexed="81"/>
            <rFont val="Tahoma"/>
            <family val="2"/>
          </rPr>
          <t xml:space="preserve">
17. Byggande av bostadshus och andra byggnader  18. Mark- och grundarbeten 
19. Elarbeten och el entreprenader                         20. VVS installation
21. Byggnadssnickeriarbeten                                  22. Måleriarbeten</t>
        </r>
        <r>
          <rPr>
            <b/>
            <sz val="10"/>
            <color indexed="81"/>
            <rFont val="Tahoma"/>
            <family val="2"/>
          </rPr>
          <t xml:space="preserve">
</t>
        </r>
        <r>
          <rPr>
            <sz val="10"/>
            <color indexed="81"/>
            <rFont val="Tahoma"/>
            <family val="2"/>
          </rPr>
          <t xml:space="preserve">23. Takbehandlingar, montering </t>
        </r>
        <r>
          <rPr>
            <b/>
            <sz val="10"/>
            <color indexed="81"/>
            <rFont val="Tahoma"/>
            <family val="2"/>
          </rPr>
          <t xml:space="preserve">
Detaljhandel
</t>
        </r>
        <r>
          <rPr>
            <sz val="10"/>
            <color indexed="81"/>
            <rFont val="Tahoma"/>
            <family val="2"/>
          </rPr>
          <t>24. Detaljhandel med personbilar och lätta motorfordon     25. Underhåll och reparation av motorfordon 
26. Handel med reservdelar och tillbehör till motorfordon    27. Dagligvaruhandel (100 - 400 m2)
28. Kioskverksamhet ( under 100 m²)                                29. Järnhandel
30. Klädaffär                                                                     31. Handel med inform.- och kommunikationsutrustningar i specialbutiker
32. Detaljhandel med sportutrustning och cyklar                33. Servicestationsverksamhet
34. Butikshandel med blommor</t>
        </r>
        <r>
          <rPr>
            <b/>
            <sz val="10"/>
            <color indexed="81"/>
            <rFont val="Tahoma"/>
            <family val="2"/>
          </rPr>
          <t xml:space="preserve">
Övriga tjänster
</t>
        </r>
        <r>
          <rPr>
            <sz val="10"/>
            <color indexed="81"/>
            <rFont val="Tahoma"/>
            <family val="2"/>
          </rPr>
          <t>35. Drivning av virke                                                        36. Taxitrafik
37. Vägtransport, godstrafik                                             38. Hotellverksamhet 
39. Restauranger och motsvarande verksamhet                40. Övrig catering- och centralköksverksamhet                                                                  41. Kafé                                                                          42. IT-tjänster 
43. Fastighetsförmedling                                                  44. Bokförings- och bokslutstjänster
45. Ingenjörsbyråer, tekniska konsulter                             46. Reklambyråer
47. Fastighetsrelaterade stödtjänster                                48. Rengöring och lokalvård
49. Läkarcentral, privata läkartjänster                               50. Tandläkartjänster 
51. Fysioterapi                                                                  52. Barns daghem                                                             
53. Gym                                                                           54. Frisersalonger 
55. Skönhetsvård</t>
        </r>
        <r>
          <rPr>
            <b/>
            <sz val="10"/>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Företagstolken</author>
  </authors>
  <commentList>
    <comment ref="C14" authorId="0" shapeId="0" xr:uid="{B5DABEB9-2877-4D6F-8689-DB4D512DA7A4}">
      <text>
        <r>
          <rPr>
            <sz val="10"/>
            <color indexed="81"/>
            <rFont val="Tahoma"/>
            <family val="2"/>
          </rPr>
          <t>Antalet personer i sitt heltal</t>
        </r>
      </text>
    </comment>
    <comment ref="C15" authorId="0" shapeId="0" xr:uid="{8C0B198C-2981-4CF0-8C4F-0172D75B9570}">
      <text>
        <r>
          <rPr>
            <sz val="10"/>
            <color indexed="81"/>
            <rFont val="Tahoma"/>
            <family val="2"/>
          </rPr>
          <t>Tim- eller månadslön utan bikostnader!</t>
        </r>
      </text>
    </comment>
    <comment ref="C16" authorId="0" shapeId="0" xr:uid="{121147E2-F0AC-4DB6-AD11-9AEC1A96D0E8}">
      <text>
        <r>
          <rPr>
            <sz val="10"/>
            <color indexed="81"/>
            <rFont val="Tahoma"/>
            <family val="2"/>
          </rPr>
          <t xml:space="preserve">Arbetstid 8 timmar/dag = 172 arbetstimmar/månad
Arbetstid 7,6 timmar/dag = 162 larbetstimmar/månad
Arbetstid 7,5 timmar/dag = 150 arbetstimmar/månad
Månadslön = 1 </t>
        </r>
      </text>
    </comment>
    <comment ref="C17" authorId="0" shapeId="0" xr:uid="{54E2DA69-A19A-42FE-B41A-76A82F0C8881}">
      <text>
        <r>
          <rPr>
            <sz val="10"/>
            <color indexed="81"/>
            <rFont val="Tahoma"/>
            <family val="2"/>
          </rPr>
          <t>Skiftarbete tillägg o.d., procentar av penninglönen. I tre-skiftarbete kan tillägg vara 30 %.</t>
        </r>
      </text>
    </comment>
    <comment ref="C19" authorId="0" shapeId="0" xr:uid="{F1C39ED1-12D3-483E-9F99-531522E52ACC}">
      <text>
        <r>
          <rPr>
            <sz val="10"/>
            <color indexed="81"/>
            <rFont val="Tahoma"/>
            <family val="2"/>
          </rPr>
          <t>Nubörjande företag, 12 lönebetalningsmånader för första året. Därefter 12,5. Semesterlönen kalkyleras automatiskt.</t>
        </r>
      </text>
    </comment>
    <comment ref="C26" authorId="0" shapeId="0" xr:uid="{0A37566E-4E4C-4F1F-ABFF-B13530637D05}">
      <text>
        <r>
          <rPr>
            <sz val="10"/>
            <color indexed="81"/>
            <rFont val="Tahoma"/>
            <family val="2"/>
          </rPr>
          <t xml:space="preserve">Arbetstid 8 timmar/dag = 172 arbetstimmar/månad
Arbetstid 7,6 timmar/dag = 162 larbetstimmar/månad
Arbetstid 7,5 timmar/dag = 150 arbetstimmar/månad
Månadslön = 1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Företagstolken</author>
    <author>Yritystulkki</author>
    <author>Ari Järvinen</author>
  </authors>
  <commentList>
    <comment ref="B2" authorId="0" shapeId="0" xr:uid="{489CF677-5F86-482E-A868-4EDAA370D7EA}">
      <text>
        <r>
          <rPr>
            <sz val="10"/>
            <color indexed="81"/>
            <rFont val="Tahoma"/>
            <family val="2"/>
          </rPr>
          <t xml:space="preserve">Kassabudget fylls i inte automatiskt om det finns inte namn för företaget i tabellen K1 eller FS1 Kostnader. 
Programmet uppgör ett färdigt budgetförslag. Planeringsperioden är 12 månader från räkenskapsperiodens början. Om räkenskapsperioden är längre än 12 månader visas bara månaderna 1-12. Om räkenskapsperioden är kortare än 12 månader ställer du in försäljningsfördelningen till rätt månader och de onödiga månaderna till 0 %.
FULL I GULA CELLERNA! INVESTERINGARNA HAR SKRIVITS FÖR FÖRSTA MÅNADEN. FÖRÄNDRA OM BEHÖVS!  
- Kontrollera månatlig fördelning av kostnaderna samt fördelning mellan 
  kontant- och fakturaförsäljning.
- Minska delbetalningar och leasing från investeringarna i punkt 12 och 33. </t>
        </r>
      </text>
    </comment>
    <comment ref="G7" authorId="0" shapeId="0" xr:uid="{3ADF6024-2AA1-440D-8E1A-ABBA0568C3ED}">
      <text>
        <r>
          <rPr>
            <sz val="10"/>
            <color indexed="81"/>
            <rFont val="Tahoma"/>
            <family val="2"/>
          </rPr>
          <t>Kalkylmässig kassa i början = Driftskapital</t>
        </r>
      </text>
    </comment>
    <comment ref="F8" authorId="0" shapeId="0" xr:uid="{E83B8C01-13B8-4052-BFD2-24E9C977095E}">
      <text>
        <r>
          <rPr>
            <sz val="10"/>
            <color indexed="81"/>
            <rFont val="Tahoma"/>
            <family val="2"/>
          </rPr>
          <t>Skriv här kontantförsäljningens procentuellt antal av totalförsäljningen.</t>
        </r>
      </text>
    </comment>
    <comment ref="G8" authorId="0" shapeId="0" xr:uid="{7F623721-B3AA-4A2D-9C5B-28E27D1EB383}">
      <text>
        <r>
          <rPr>
            <sz val="10"/>
            <color indexed="81"/>
            <rFont val="Tahoma"/>
            <family val="2"/>
          </rPr>
          <t xml:space="preserve">Programmet beräknar färdigt kontantförsäljningen enligt månadens procentandel.  </t>
        </r>
      </text>
    </comment>
    <comment ref="G9" authorId="0" shapeId="0" xr:uid="{F40F8BA3-BED8-45B3-ADED-9FE440AAC8C7}">
      <text>
        <r>
          <rPr>
            <sz val="10"/>
            <color indexed="81"/>
            <rFont val="Tahoma"/>
            <family val="2"/>
          </rPr>
          <t xml:space="preserve">Procentsiffran betyder månadens försäljningsandel av hela årets försäljning. </t>
        </r>
      </text>
    </comment>
    <comment ref="G11" authorId="0" shapeId="0" xr:uid="{2E4D9997-74B1-45A3-B2DA-CC6296966EAB}">
      <text>
        <r>
          <rPr>
            <sz val="10"/>
            <color indexed="81"/>
            <rFont val="Tahoma"/>
            <family val="2"/>
          </rPr>
          <t>Procentsiffran betyder månadens försäljningsandel av hela årets försäljning. Om försäljningen är jämnstor i varje månad, är siffran 8,3 %.</t>
        </r>
      </text>
    </comment>
    <comment ref="E12" authorId="0" shapeId="0" xr:uid="{C31D9D1C-1ED7-4365-9023-30DC07DD4860}">
      <text>
        <r>
          <rPr>
            <sz val="10"/>
            <color indexed="81"/>
            <rFont val="Tahoma"/>
            <family val="2"/>
          </rPr>
          <t>Genomsnittlig betalningstid för försäljningsfakturor. Längsta betalningstid 180 dagar!</t>
        </r>
      </text>
    </comment>
    <comment ref="G12" authorId="0" shapeId="0" xr:uid="{FF8E0D45-2464-4732-9534-5AE5F6597B03}">
      <text>
        <r>
          <rPr>
            <sz val="10"/>
            <color indexed="81"/>
            <rFont val="Tahoma"/>
            <family val="2"/>
          </rPr>
          <t xml:space="preserve">Programmet beräknar månatliga inbetalningen enligt betalningsvillkor (t.ex. 14 dagar). </t>
        </r>
      </text>
    </comment>
    <comment ref="G13" authorId="1" shapeId="0" xr:uid="{FC8FB8E4-CB16-41AA-8BB6-AC8C58BDEAF7}">
      <text>
        <r>
          <rPr>
            <sz val="10"/>
            <color indexed="81"/>
            <rFont val="Tahoma"/>
            <family val="2"/>
          </rPr>
          <t xml:space="preserve">Det totala beloppet för lån som ska lyftas. Flytta till rätt månad om behövs. Lägg till ränta på lån till punkt 26 och återbetalning av lån på punkt 30. </t>
        </r>
      </text>
    </comment>
    <comment ref="N14" authorId="0" shapeId="0" xr:uid="{892A1680-2203-449F-8449-0380D361450B}">
      <text>
        <r>
          <rPr>
            <sz val="10"/>
            <color indexed="81"/>
            <rFont val="Tahoma"/>
            <family val="2"/>
          </rPr>
          <t>Bidrag från NTM-centralen betalas antagligen under 8. månaden från början.</t>
        </r>
      </text>
    </comment>
    <comment ref="F18" authorId="0" shapeId="0" xr:uid="{3D44D208-28BB-4801-BDED-58601AAE9EC7}">
      <text>
        <r>
          <rPr>
            <sz val="10"/>
            <color indexed="81"/>
            <rFont val="Tahoma"/>
            <family val="2"/>
          </rPr>
          <t>Om olika Moms-procenter i bruk, använd vägt genomsnitt-värde</t>
        </r>
      </text>
    </comment>
    <comment ref="G18" authorId="0" shapeId="0" xr:uid="{DBBE522A-F573-44AE-B267-394428B916BD}">
      <text>
        <r>
          <rPr>
            <sz val="10"/>
            <color indexed="81"/>
            <rFont val="Tahoma"/>
            <family val="2"/>
          </rPr>
          <t>Programmet antar, att hälften av månatliga inköpen betalas under samma månaden och hälften under nästa månaden (betalningsvillkor 14 dagar). Förändra om behövs!</t>
        </r>
      </text>
    </comment>
    <comment ref="W21" authorId="1" shapeId="0" xr:uid="{2E51D284-D6FE-45E3-87C3-DD9ECB8C220C}">
      <text>
        <r>
          <rPr>
            <sz val="10"/>
            <color indexed="81"/>
            <rFont val="Tahoma"/>
            <family val="2"/>
          </rPr>
          <t>Vain marginaaliverotetavat ostot</t>
        </r>
      </text>
    </comment>
    <comment ref="G33" authorId="0" shapeId="0" xr:uid="{7D3917B3-AAB2-4A9C-B87D-9469756F51CE}">
      <text>
        <r>
          <rPr>
            <sz val="10"/>
            <color indexed="81"/>
            <rFont val="Tahoma"/>
            <family val="2"/>
          </rPr>
          <t>Företaget i initialskede har vanligen inte dragbar eller avdragbar mervärdesskatt utom vid förvärv av affärsverksamheten. 
• negativt belopp betyder återbetalning
• positivt belopp betyder betalning</t>
        </r>
      </text>
    </comment>
    <comment ref="H33" authorId="0" shapeId="0" xr:uid="{A6D8EAE8-C421-4FD0-B8AF-859074804354}">
      <text>
        <r>
          <rPr>
            <sz val="10"/>
            <color indexed="81"/>
            <rFont val="Tahoma"/>
            <family val="2"/>
          </rPr>
          <t>Företaget i initialskede har vanligen inte dragbar eller avdragbar mervärdesskatt utom vid förvärv av affärsverksamheten. 
• negativt belopp betyder återbetalning
• positivt belopp betyder betalning</t>
        </r>
      </text>
    </comment>
    <comment ref="D35" authorId="0" shapeId="0" xr:uid="{98EFC208-FD19-4A2D-AF68-6AE5E4529D4C}">
      <text>
        <r>
          <rPr>
            <sz val="10"/>
            <color indexed="81"/>
            <rFont val="Tahoma"/>
            <family val="2"/>
          </rPr>
          <t>Penninglöner till FöPL-betalande företagare utan skatteavdrag.</t>
        </r>
      </text>
    </comment>
    <comment ref="F35" authorId="0" shapeId="0" xr:uid="{4D19160D-8572-439F-AD27-419816DB2172}">
      <text>
        <r>
          <rPr>
            <sz val="10"/>
            <color indexed="81"/>
            <rFont val="Tahoma"/>
            <family val="2"/>
          </rPr>
          <t>Genomsnittlig skatteavdragsprocent, som finns i skattekortet eller beräknas med Skatteräknare vid www.vero.fi.</t>
        </r>
      </text>
    </comment>
    <comment ref="M35" authorId="0" shapeId="0" xr:uid="{2B9D1D8E-6B57-46CF-B955-6ED09EAE9518}">
      <text>
        <r>
          <rPr>
            <sz val="10"/>
            <color indexed="81"/>
            <rFont val="Tahoma"/>
            <family val="2"/>
          </rPr>
          <t>I fall att semesterpenning betalas, är summan 1,5 x vanlig månadslön.</t>
        </r>
      </text>
    </comment>
    <comment ref="D36" authorId="0" shapeId="0" xr:uid="{2DAB49B7-B587-4CE4-95C4-8FF4F3356455}">
      <text>
        <r>
          <rPr>
            <sz val="10"/>
            <color indexed="81"/>
            <rFont val="Tahoma"/>
            <family val="2"/>
          </rPr>
          <t>Skattegrunden är totalsumman av penninglöner och naturaförmån.</t>
        </r>
      </text>
    </comment>
    <comment ref="D37" authorId="0" shapeId="0" xr:uid="{A0C8936A-CA39-447E-B49B-B3C97D839D7A}">
      <text>
        <r>
          <rPr>
            <sz val="10"/>
            <color indexed="81"/>
            <rFont val="Tahoma"/>
            <family val="2"/>
          </rPr>
          <t>Brutto penninglöner till arbetstagarna och företagarna utan dispositionsrätt (betalar APL-premier).</t>
        </r>
      </text>
    </comment>
    <comment ref="F37" authorId="0" shapeId="0" xr:uid="{444B57C1-6846-4B55-96A5-EB54A8E3C354}">
      <text>
        <r>
          <rPr>
            <sz val="10"/>
            <color indexed="81"/>
            <rFont val="Tahoma"/>
            <family val="2"/>
          </rPr>
          <t>Genomsnittlig skatteavdragsprocent, som finns i skattekortet eller beräknas med Skatteräknare vid www.vero.fi.</t>
        </r>
      </text>
    </comment>
    <comment ref="M37" authorId="0" shapeId="0" xr:uid="{E6AC0AD1-FF64-41B9-A4EE-48E71EE7B66E}">
      <text>
        <r>
          <rPr>
            <sz val="10"/>
            <color indexed="81"/>
            <rFont val="Tahoma"/>
            <family val="2"/>
          </rPr>
          <t>I fall att semesterpenning betalas, är summan 1,5 x vanlig månadslön.</t>
        </r>
      </text>
    </comment>
    <comment ref="D38" authorId="0" shapeId="0" xr:uid="{4EE57967-ED36-47A1-8145-CBEEF143A812}">
      <text>
        <r>
          <rPr>
            <sz val="10"/>
            <color indexed="81"/>
            <rFont val="Tahoma"/>
            <family val="2"/>
          </rPr>
          <t>Skattegrunden är totalsumman av penninglöner och naturaförmån.</t>
        </r>
      </text>
    </comment>
    <comment ref="F39" authorId="0" shapeId="0" xr:uid="{0118E33C-8504-409B-B4A8-BEEB701A21C9}">
      <text>
        <r>
          <rPr>
            <sz val="10"/>
            <color indexed="81"/>
            <rFont val="Tahoma"/>
            <family val="2"/>
          </rPr>
          <t>Av arbetstagarens penninglön avdrags i år 2025
- ArPL-avgift 7,15 % under 53-årig och över 62-årig, övriga 8,65 %
- Arbetslöshetsförsäkringsavgift (AL-avgift) 0,59 %
Sammanlagt genomsnitt 8,06 %</t>
        </r>
      </text>
    </comment>
    <comment ref="G40" authorId="0" shapeId="0" xr:uid="{90E80FB4-10CC-4EBA-A523-A8AB1E9CFB53}">
      <text>
        <r>
          <rPr>
            <sz val="10"/>
            <color indexed="81"/>
            <rFont val="Tahoma"/>
            <family val="2"/>
          </rPr>
          <t>Då prestationerna betalas en månad efter lönebetalningen, är första månaden blank.</t>
        </r>
      </text>
    </comment>
    <comment ref="F42" authorId="0" shapeId="0" xr:uid="{97BDFD9E-D31D-4103-8D34-99C732C5E16D}">
      <text>
        <r>
          <rPr>
            <b/>
            <sz val="10"/>
            <color indexed="81"/>
            <rFont val="Tahoma"/>
            <family val="2"/>
          </rPr>
          <t>År 2025</t>
        </r>
        <r>
          <rPr>
            <sz val="10"/>
            <color indexed="81"/>
            <rFont val="Tahoma"/>
            <family val="2"/>
          </rPr>
          <t xml:space="preserve">
Företaget betalar till försäkringsbolaget av lönen
- ArPL-premie genomsnitt 24,85 % 
- Olycks- och yrkessjukdomsförsäkring genomsnitt 0,57 % </t>
        </r>
        <r>
          <rPr>
            <b/>
            <sz val="10"/>
            <color indexed="81"/>
            <rFont val="Tahoma"/>
            <family val="2"/>
          </rPr>
          <t>(för olycksbenägen bransch större, uppgår till 7 %)</t>
        </r>
        <r>
          <rPr>
            <sz val="10"/>
            <color indexed="81"/>
            <rFont val="Tahoma"/>
            <family val="2"/>
          </rPr>
          <t xml:space="preserve">
- Arbetslöshetsförsäkring 1,2 %
- Grupplivförsäkring för arbetstagare 0,06 %
</t>
        </r>
        <r>
          <rPr>
            <b/>
            <sz val="10"/>
            <color indexed="81"/>
            <rFont val="Tahoma"/>
            <family val="2"/>
          </rPr>
          <t>Sammanlagt 26,68 %</t>
        </r>
        <r>
          <rPr>
            <sz val="10"/>
            <color indexed="81"/>
            <rFont val="Tahoma"/>
            <family val="2"/>
          </rPr>
          <t xml:space="preserve"> (förändra om behövs)</t>
        </r>
      </text>
    </comment>
    <comment ref="H44" authorId="0" shapeId="0" xr:uid="{7A201DCF-BCFB-48A7-9D66-2C3E71C7EF8A}">
      <text>
        <r>
          <rPr>
            <sz val="10"/>
            <color indexed="81"/>
            <rFont val="Tahoma"/>
            <family val="2"/>
          </rPr>
          <t>Nyföretaget betalar denna avgift vanligen under 2. månaden. Kan också delas i flera rater. Förändra om behövs.</t>
        </r>
      </text>
    </comment>
    <comment ref="C45" authorId="1" shapeId="0" xr:uid="{0E675873-8083-4B69-B9C8-EC992B5C8B8C}">
      <text>
        <r>
          <rPr>
            <b/>
            <sz val="10"/>
            <color indexed="81"/>
            <rFont val="Tahoma"/>
            <family val="2"/>
          </rPr>
          <t>Övriga fasta kostnader Moms 0 %:</t>
        </r>
        <r>
          <rPr>
            <sz val="10"/>
            <color indexed="81"/>
            <rFont val="Tahoma"/>
            <family val="2"/>
          </rPr>
          <t xml:space="preserve">
- arbetshälsovård
- medlemsavgifer
- företagarnas arbetslöshetskassa-avgifter 
- frivilliga personalkostnader 
- representationskostnader 
- officiella avgifter för varumärken, patenten o.d.
- fordonskostnader, affärsbruk: försäkrings- och 
  registreringsavgifter, fordonsskat
- postkortnader
- avgift för anmälning till handelsregistret, exbeditions-
  avgift av lån </t>
        </r>
      </text>
    </comment>
    <comment ref="L46" authorId="0" shapeId="0" xr:uid="{AF5144AE-580D-480B-89EA-291BE370B20E}">
      <text>
        <r>
          <rPr>
            <sz val="10"/>
            <color indexed="81"/>
            <rFont val="Tahoma"/>
            <family val="2"/>
          </rPr>
          <t>Låneavkortningar betalas 2 gånger/år.</t>
        </r>
      </text>
    </comment>
    <comment ref="R46" authorId="2" shapeId="0" xr:uid="{5489FBE0-C577-47E3-97BC-49FD4C57F38E}">
      <text>
        <r>
          <rPr>
            <sz val="10"/>
            <color indexed="81"/>
            <rFont val="Tahoma"/>
            <family val="2"/>
          </rPr>
          <t>Låneavkortningar betalas 2 gånger/år.</t>
        </r>
      </text>
    </comment>
    <comment ref="G53" authorId="0" shapeId="0" xr:uid="{84144849-08DE-46BA-861D-3A55DE19E302}">
      <text>
        <r>
          <rPr>
            <sz val="10"/>
            <color indexed="81"/>
            <rFont val="Tahoma"/>
            <family val="2"/>
          </rPr>
          <t xml:space="preserve">Antas, att alla Moms 0 %-investeringar för första perioden har genomförts under 1. månaden. Korrigera månaden om behövs! </t>
        </r>
      </text>
    </comment>
    <comment ref="R58" authorId="0" shapeId="0" xr:uid="{0609A210-B82A-43E2-BC7F-F1E0462E39D4}">
      <text>
        <r>
          <rPr>
            <sz val="10"/>
            <color indexed="81"/>
            <rFont val="Tahoma"/>
            <family val="2"/>
          </rPr>
          <t>Planeringsperiodens kassa efter sista månaden.</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Henri Järvinen</author>
    <author>Företagstolken</author>
    <author>Ari Järvinen</author>
    <author>Yritystulkki</author>
    <author>kyyjarvar</author>
    <author>Jadelcons</author>
  </authors>
  <commentList>
    <comment ref="K2" authorId="0" shapeId="0" xr:uid="{FEF31B28-B5E9-45D7-9B52-49522AAD610F}">
      <text>
        <r>
          <rPr>
            <b/>
            <sz val="10"/>
            <color indexed="81"/>
            <rFont val="Tahoma"/>
            <family val="2"/>
          </rPr>
          <t xml:space="preserve">Välkommen att använda Företagstolkens Ekonomiplan. Vi rekommenderar att göra den första beräkningen utan bidrag. Du har att fylla i tre sidor/tabeller:
1. VERKSAMHETSKOSTNADER (tabell FS1)
</t>
        </r>
        <r>
          <rPr>
            <sz val="10"/>
            <color indexed="81"/>
            <rFont val="Tahoma"/>
            <family val="2"/>
          </rPr>
          <t>- fyll i gula cellerna 
- i affärsverksamhet finns många olika kostnader och därför många rader att fylla i
- programmet höjer priser automatiskt med 2 % (på höger, kan förändras) 
- närmare information finns på Företagstolkens web-sida, avsnitt "Ekonomiplaner" 
- förflytta dig från tabell till tabell via piltangent eller nere via tabellväljare</t>
        </r>
        <r>
          <rPr>
            <b/>
            <sz val="10"/>
            <color indexed="81"/>
            <rFont val="Tahoma"/>
            <family val="2"/>
          </rPr>
          <t xml:space="preserve">  
2. FÖRSÄLNINGSPROGNOS (tabell FS2)
</t>
        </r>
        <r>
          <rPr>
            <sz val="10"/>
            <color indexed="81"/>
            <rFont val="Tahoma"/>
            <family val="2"/>
          </rPr>
          <t>Av försäljningen av produkter/tjänster och varor uppstår företagets omsättning, med vars täckning man betalar verksamhetskostnaderna.
- fyll i gula cellerna</t>
        </r>
        <r>
          <rPr>
            <b/>
            <sz val="10"/>
            <color indexed="81"/>
            <rFont val="Tahoma"/>
            <family val="2"/>
          </rPr>
          <t xml:space="preserve"> 
3. RESULTAT OCH FINANSIERING (tabell FS3)
</t>
        </r>
        <r>
          <rPr>
            <sz val="10"/>
            <color indexed="81"/>
            <rFont val="Tahoma"/>
            <family val="2"/>
          </rPr>
          <t xml:space="preserve">I denna tabellen framgår affärsverksamhetens resultat i siffror. På nedre kanten av denna tabell finns prognossammandrag samt riskanalys. I riskanalys du kan konstatera försäljningens/kostnadernas betydelse till lånbetalningsförmåga. </t>
        </r>
        <r>
          <rPr>
            <b/>
            <sz val="10"/>
            <color indexed="81"/>
            <rFont val="Tahoma"/>
            <family val="2"/>
          </rPr>
          <t xml:space="preserve">      
4. KASSABUDGET (ej nödvändig)
</t>
        </r>
        <r>
          <rPr>
            <sz val="10"/>
            <color indexed="81"/>
            <rFont val="Tahoma"/>
            <family val="2"/>
          </rPr>
          <t xml:space="preserve">Programmet framför första årets kassabudget. Sällan är budgetförslaget noggrant och justering behövs.  </t>
        </r>
        <r>
          <rPr>
            <b/>
            <sz val="10"/>
            <color indexed="81"/>
            <rFont val="Tahoma"/>
            <family val="2"/>
          </rPr>
          <t xml:space="preserve">
TIPS FÖR IFYLLNADSARBETE!
- Fyll i bara gula cellerna.
- Observera även cellerna och anvisningar till höger.
- I utrymmet till höger kan du göra anteckningar och förutspå löne- och 
   prishöjningar.
- Förflytta dig från tabell till tabell via piltangent eller nere via 
  tabellväljarna.
- Kalkylera kostnaderna gärna för stora. Troligen det uppstår oväntade 
  kostnader. </t>
        </r>
      </text>
    </comment>
    <comment ref="C9" authorId="1" shapeId="0" xr:uid="{52ECC250-D042-4857-AD14-9CFFE803C896}">
      <text>
        <r>
          <rPr>
            <sz val="10"/>
            <color indexed="81"/>
            <rFont val="Tahoma"/>
            <family val="2"/>
          </rPr>
          <t>Förutsättning för utskrivning av kassabudget är företagets namn!</t>
        </r>
      </text>
    </comment>
    <comment ref="B11" authorId="1" shapeId="0" xr:uid="{8C9BC6DC-C827-4841-8C0B-993EBDE08C30}">
      <text>
        <r>
          <rPr>
            <sz val="10"/>
            <color indexed="81"/>
            <rFont val="Tahoma"/>
            <family val="2"/>
          </rPr>
          <t>Ifyllnadsdirektiv finns i Företagstolken på sidan "Ekonomiplaner". Punktnumret visar rätt information.</t>
        </r>
      </text>
    </comment>
    <comment ref="C11" authorId="1" shapeId="0" xr:uid="{43CB440B-9A65-4201-B6B5-2742080513BA}">
      <text>
        <r>
          <rPr>
            <b/>
            <sz val="10"/>
            <color indexed="81"/>
            <rFont val="Tahoma"/>
            <family val="2"/>
          </rPr>
          <t xml:space="preserve">Verksamhetskostnaderna kalkyleras med priser utan moms (moms 0 %)
</t>
        </r>
        <r>
          <rPr>
            <sz val="10"/>
            <color indexed="81"/>
            <rFont val="Tahoma"/>
            <family val="2"/>
          </rPr>
          <t xml:space="preserve">
</t>
        </r>
        <r>
          <rPr>
            <b/>
            <sz val="10"/>
            <color indexed="81"/>
            <rFont val="Tahoma"/>
            <family val="2"/>
          </rPr>
          <t>Endast</t>
        </r>
        <r>
          <rPr>
            <sz val="10"/>
            <color indexed="81"/>
            <rFont val="Tahoma"/>
            <family val="2"/>
          </rPr>
          <t xml:space="preserve"> social- och hälsovårdssektorn, försäkrings och finansieringstjänster samt företagen vars årsomsättning är mindre än 20 000 €/år kalkylerar med Moms-priser. </t>
        </r>
      </text>
    </comment>
    <comment ref="F12" authorId="1" shapeId="0" xr:uid="{72312D1E-D9E1-4955-9397-D9C9B84DA0BF}">
      <text>
        <r>
          <rPr>
            <sz val="10"/>
            <color indexed="81"/>
            <rFont val="Tahoma"/>
            <family val="2"/>
          </rPr>
          <t xml:space="preserve">Räkenskapsperioden slutar i år </t>
        </r>
      </text>
    </comment>
    <comment ref="G12" authorId="2" shapeId="0" xr:uid="{13E2BA12-B247-4C88-A917-2D66BFF67152}">
      <text>
        <r>
          <rPr>
            <sz val="10"/>
            <color indexed="81"/>
            <rFont val="Tahoma"/>
            <family val="2"/>
          </rPr>
          <t>Kontrollera årssiffran efter räkenskapsperiodens längd!</t>
        </r>
      </text>
    </comment>
    <comment ref="F13" authorId="3" shapeId="0" xr:uid="{18AD25C3-0092-477A-8F06-08F98C520478}">
      <text>
        <r>
          <rPr>
            <sz val="10"/>
            <color indexed="81"/>
            <rFont val="Tahoma"/>
            <family val="2"/>
          </rPr>
          <t xml:space="preserve">Räkenskapsperiodens längd är vanligen 12 månader. Den första perioden kan vara mellan 6 - 18 månader. Om längden är inte 12 månader, kontrollera att kostnaderna motsvarar periodens längd. Programmet korrigerar automatiskt de följande åren! </t>
        </r>
      </text>
    </comment>
    <comment ref="F16" authorId="2" shapeId="0" xr:uid="{04BC58F2-A1D3-4086-A7E0-4C33163D9639}">
      <text>
        <r>
          <rPr>
            <sz val="10"/>
            <color indexed="81"/>
            <rFont val="Tahoma"/>
            <family val="2"/>
          </rPr>
          <t xml:space="preserve">Till enskild näringsidkare kan inte betalas lön, men lönen skall tas med för at få riktig åsikt om kostnaderna. </t>
        </r>
      </text>
    </comment>
    <comment ref="J16" authorId="2" shapeId="0" xr:uid="{31D76ECA-E2AB-437E-9EB6-CB94662D0A55}">
      <text>
        <r>
          <rPr>
            <sz val="10"/>
            <color indexed="81"/>
            <rFont val="Tahoma"/>
            <family val="2"/>
          </rPr>
          <t xml:space="preserve">Minns årlig kostnadshöjning. </t>
        </r>
      </text>
    </comment>
    <comment ref="F17" authorId="3" shapeId="0" xr:uid="{DCAD5A1B-A103-4A79-A19B-49C201FB5FCB}">
      <text>
        <r>
          <rPr>
            <sz val="10"/>
            <color indexed="81"/>
            <rFont val="Tahoma"/>
            <family val="2"/>
          </rPr>
          <t>Naturaförmåner kan användas vid Ab samt vid Öb och Kb, om åt företagarna betalas penninglön. Enskild näringsidkare kan inte använda naturaförmåner.
Naturaförmåner finns mm.  
- Telefonförmån 
- Kostförmån, "lunchförmån". Pris som restaurangen 
  debiterar, skrivs i punkt 8. Övriga personalkostnader.
- Bilförmån (glöm inte bilens anskaffningskostnaderna 
  och lägg till bilens drivningskostnaderna i punkt 25)</t>
        </r>
      </text>
    </comment>
    <comment ref="F18" authorId="1" shapeId="0" xr:uid="{1A29A96D-E4E0-4AB0-B877-D1C8C8DDA3C7}">
      <text>
        <r>
          <rPr>
            <sz val="10"/>
            <color indexed="81"/>
            <rFont val="Tahoma"/>
            <family val="2"/>
          </rPr>
          <t>Nybörjande företag, 12 lönebetalnings-månader för första året. Därefter 12,5. Semesterlönen kalkyleras automatiskt.</t>
        </r>
      </text>
    </comment>
    <comment ref="D20" authorId="2" shapeId="0" xr:uid="{00000000-0006-0000-0900-00000D000000}">
      <text>
        <r>
          <rPr>
            <sz val="10"/>
            <color indexed="81"/>
            <rFont val="Tahoma"/>
            <family val="2"/>
          </rPr>
          <t>Programmet räknar ut kostnaderna så, att lånet avkortas i lika stora rater 2 gånger i året med 6 månaders mellanrum. Friåren är beaktade.</t>
        </r>
      </text>
    </comment>
    <comment ref="F20" authorId="2" shapeId="0" xr:uid="{1DE7439B-768C-4198-BFD6-5FE97A71435B}">
      <text>
        <r>
          <rPr>
            <sz val="10"/>
            <color indexed="81"/>
            <rFont val="Tahoma"/>
            <family val="2"/>
          </rPr>
          <t>Försök inte skriva! Siffrorna i celler blir färdiga automatiskt senare.</t>
        </r>
      </text>
    </comment>
    <comment ref="F21" authorId="2" shapeId="0" xr:uid="{1D944285-9652-4FD4-9FB2-432A4869E514}">
      <text>
        <r>
          <rPr>
            <sz val="10"/>
            <color indexed="81"/>
            <rFont val="Tahoma"/>
            <family val="2"/>
          </rPr>
          <t>Försök inte skriva! Siffrorna i celler blir färdiga automatiskt senare.</t>
        </r>
      </text>
    </comment>
    <comment ref="F22" authorId="2" shapeId="0" xr:uid="{8C1F21D6-6FFC-4E7A-8CBA-BDFA686A924A}">
      <text>
        <r>
          <rPr>
            <sz val="10"/>
            <color indexed="81"/>
            <rFont val="Tahoma"/>
            <family val="2"/>
          </rPr>
          <t>Försök inte skriva! Siffrorna i celler blir färdiga automatiskt senare.</t>
        </r>
      </text>
    </comment>
    <comment ref="D25" authorId="2" shapeId="0" xr:uid="{83BAC622-71AD-4277-8AA5-21B6315DAFE0}">
      <text>
        <r>
          <rPr>
            <sz val="10"/>
            <color indexed="81"/>
            <rFont val="Tahoma"/>
            <family val="2"/>
          </rPr>
          <t>Inköpspriser exklusive moms. Undantag social- och hälsovårdssektorn och företag med en omsättning under 20 000 euro. Deras fasta kostnader kalkyleras med Moms-priser.</t>
        </r>
      </text>
    </comment>
    <comment ref="F26" authorId="2" shapeId="0" xr:uid="{19B65A9A-0532-4BED-ABA2-FEABE49A4C8A}">
      <text>
        <r>
          <rPr>
            <sz val="10"/>
            <color indexed="81"/>
            <rFont val="Tahoma"/>
            <family val="2"/>
          </rPr>
          <t>Försök inte skriva! Siffrorna i celler blir färdiga automatiskt senare.</t>
        </r>
      </text>
    </comment>
    <comment ref="F27" authorId="2" shapeId="0" xr:uid="{D46B8184-338A-4677-B65C-AF09C142F72C}">
      <text>
        <r>
          <rPr>
            <sz val="10"/>
            <color indexed="81"/>
            <rFont val="Tahoma"/>
            <family val="2"/>
          </rPr>
          <t>Försök inte skriva! Siffrorna i celler blir färdiga automatiskt senare.</t>
        </r>
      </text>
    </comment>
    <comment ref="D28" authorId="2" shapeId="0" xr:uid="{51F71A3C-E303-4619-81C6-85EA813DE725}">
      <text>
        <r>
          <rPr>
            <sz val="10"/>
            <color indexed="81"/>
            <rFont val="Tahoma"/>
            <family val="2"/>
          </rPr>
          <t xml:space="preserve">Lönekostnaderna för arbetstagarna och ArPL-företagarnare skrivs i en separat "Lönekostnader"-tabell. 
</t>
        </r>
        <r>
          <rPr>
            <b/>
            <i/>
            <sz val="10"/>
            <color indexed="81"/>
            <rFont val="Tahoma"/>
            <family val="2"/>
          </rPr>
          <t>Lönetabellen hittas längst ner på sidan: Lönekostnader</t>
        </r>
      </text>
    </comment>
    <comment ref="F31" authorId="3" shapeId="0" xr:uid="{D52C57C2-7270-4D0B-BDF4-D68AA5729447}">
      <text>
        <r>
          <rPr>
            <b/>
            <sz val="10"/>
            <color indexed="81"/>
            <rFont val="Tahoma"/>
            <family val="2"/>
          </rPr>
          <t xml:space="preserve">FöPL-betalningarna i år 2026
- </t>
        </r>
        <r>
          <rPr>
            <sz val="10"/>
            <color indexed="81"/>
            <rFont val="Tahoma"/>
            <family val="2"/>
          </rPr>
          <t>nybörjande företagare 19,03 %, när du som företagare för första gången startar en FöPL-försäkrad verksamhet får du 22 % rabatt på FöPL-avgifterna under de fyra första åren.
- normal 24,4 %</t>
        </r>
      </text>
    </comment>
    <comment ref="F34" authorId="3" shapeId="0" xr:uid="{FBE1BD61-C15F-47F4-9059-57D898FEDD80}">
      <text>
        <r>
          <rPr>
            <b/>
            <sz val="10"/>
            <color indexed="81"/>
            <rFont val="Tahoma"/>
            <family val="2"/>
          </rPr>
          <t xml:space="preserve">År 2026
</t>
        </r>
        <r>
          <rPr>
            <sz val="10"/>
            <color indexed="81"/>
            <rFont val="Tahoma"/>
            <family val="2"/>
          </rPr>
          <t>Arbetsgivarens andel i genomsnitt 17,10 % av bruttolönesumman.</t>
        </r>
      </text>
    </comment>
    <comment ref="F37" authorId="3" shapeId="0" xr:uid="{2A57C2B4-8CFE-4736-BB57-6B549F947FC5}">
      <text>
        <r>
          <rPr>
            <sz val="10"/>
            <color indexed="81"/>
            <rFont val="Tahoma"/>
            <family val="2"/>
          </rPr>
          <t>för olycksbenägen bransch större</t>
        </r>
      </text>
    </comment>
    <comment ref="F38" authorId="4" shapeId="0" xr:uid="{913B9363-1921-42E6-98D7-6BD85A66E511}">
      <text>
        <r>
          <rPr>
            <sz val="10"/>
            <color indexed="81"/>
            <rFont val="Tahoma"/>
            <family val="2"/>
          </rPr>
          <t>Programmet beräknar FöPL-företagarens frivillig olycksförsäkringsavgift 1,7 % av FöPL-arbetsinkomsten och sjukdomsförsäkringsavgiften av inkomst på raden 15 samt livförsäkringen enligt storleken av de långfristiga lånen.</t>
        </r>
      </text>
    </comment>
    <comment ref="J39" authorId="2" shapeId="0" xr:uid="{2EC7DBF3-D9BB-4B65-89FB-CE47DD843A90}">
      <text>
        <r>
          <rPr>
            <sz val="10"/>
            <color indexed="81"/>
            <rFont val="Tahoma"/>
            <family val="2"/>
          </rPr>
          <t xml:space="preserve">Minns årlig kostnadshöjning. </t>
        </r>
      </text>
    </comment>
    <comment ref="F40" authorId="2" shapeId="0" xr:uid="{5F41ECD4-45E2-4F77-B82B-B05E2EE9171E}">
      <text>
        <r>
          <rPr>
            <sz val="10"/>
            <color indexed="81"/>
            <rFont val="Tahoma"/>
            <family val="2"/>
          </rPr>
          <t xml:space="preserve">T.ex. företaget har tagit för sina arbetstagare livförsäkring, reseförsäkring etc. </t>
        </r>
      </text>
    </comment>
    <comment ref="F43" authorId="3" shapeId="0" xr:uid="{CC5C6495-D695-4DD6-B907-6AD26E262275}">
      <text>
        <r>
          <rPr>
            <sz val="10"/>
            <color indexed="81"/>
            <rFont val="Tahoma"/>
            <family val="2"/>
          </rPr>
          <t xml:space="preserve">Företaget får betala åt hela personalen som skattefritt förmån t.ex. rekreations- och intresse-verksamhetsedlar max. 400 euro per person/år. </t>
        </r>
      </text>
    </comment>
    <comment ref="F44" authorId="3" shapeId="0" xr:uid="{2175AADF-E4E8-4F38-BD9B-4E5D368291A5}">
      <text>
        <r>
          <rPr>
            <sz val="10"/>
            <color indexed="81"/>
            <rFont val="Tahoma"/>
            <family val="2"/>
          </rPr>
          <t>Kostnad vanligen 250 €/person.</t>
        </r>
      </text>
    </comment>
    <comment ref="F46" authorId="2" shapeId="0" xr:uid="{C0B85D82-A039-41FA-94FF-74F4B6EFCB12}">
      <text>
        <r>
          <rPr>
            <sz val="10"/>
            <color indexed="81"/>
            <rFont val="Tahoma"/>
            <family val="2"/>
          </rPr>
          <t xml:space="preserve">Personalens måltid, lunchsedlar, rekrytering, gåvor etc. </t>
        </r>
      </text>
    </comment>
    <comment ref="F57" authorId="2" shapeId="0" xr:uid="{00000000-0006-0000-0900-000021000000}">
      <text>
        <r>
          <rPr>
            <b/>
            <sz val="10"/>
            <color indexed="81"/>
            <rFont val="Tahoma"/>
            <family val="2"/>
          </rPr>
          <t xml:space="preserve">Försäkringsavgift 0,3 % av värdet. </t>
        </r>
        <r>
          <rPr>
            <sz val="10"/>
            <color indexed="81"/>
            <rFont val="Tahoma"/>
            <family val="2"/>
          </rPr>
          <t xml:space="preserve">Egendomen innehåller lokaliteter, maskiner, inventarier, kundens egendom i företagets lokalitet mm. </t>
        </r>
      </text>
    </comment>
    <comment ref="E59" authorId="1" shapeId="0" xr:uid="{C8198120-18BA-48CD-B4B1-CDE9EA421B05}">
      <text>
        <r>
          <rPr>
            <sz val="10"/>
            <color indexed="81"/>
            <rFont val="Tahoma"/>
            <family val="2"/>
          </rPr>
          <t>Till finansieringsbolaget återställande apparatens restvärde i procenten från anskaffningspriset. Noggrann information om leasingfinansiering, se Företagstolken 3.10.</t>
        </r>
      </text>
    </comment>
    <comment ref="F59" authorId="3" shapeId="0" xr:uid="{B0CC8C2E-B720-457B-8DD1-E8D8354405CD}">
      <text>
        <r>
          <rPr>
            <sz val="10"/>
            <color indexed="81"/>
            <rFont val="Tahoma"/>
            <family val="2"/>
          </rPr>
          <t>Leasingfinansiering till fast månadspris placeras i post 
- 11. Utgifter för bilar/arbetsmaskiner (affärsbruk)
- 13. Övriga maskin- och apparaturkostnader
- 25. Fordonskostnader (fordonen i privatbruk, naturaförmån)</t>
        </r>
      </text>
    </comment>
    <comment ref="F63" authorId="1" shapeId="0" xr:uid="{EE3445D6-C433-4283-9F75-05BC69717CFD}">
      <text>
        <r>
          <rPr>
            <sz val="10"/>
            <color indexed="81"/>
            <rFont val="Tahoma"/>
            <family val="2"/>
          </rPr>
          <t>T. ex. bränsleåtgång 12 liter/100 km = 0,12 liter/km eller liter/timme
T.ex. åtgång av elbil 20 kWh/100 km = 0,2 kWh/km
T.ex. Åtgång av gasbil 6 kg/100 km = 0,06 kg/km</t>
        </r>
      </text>
    </comment>
    <comment ref="F72" authorId="1" shapeId="0" xr:uid="{991CBAAA-5657-4B88-9CA1-FC0FD8E22809}">
      <text>
        <r>
          <rPr>
            <sz val="10"/>
            <color indexed="81"/>
            <rFont val="Tahoma"/>
            <family val="2"/>
          </rPr>
          <t>Alla vanliga ADB-apparater ingår i detta kategori.</t>
        </r>
      </text>
    </comment>
    <comment ref="F75" authorId="1" shapeId="0" xr:uid="{EB3AD66E-963D-4282-9CB4-BF7B96D30574}">
      <text>
        <r>
          <rPr>
            <sz val="10"/>
            <color indexed="81"/>
            <rFont val="Tahoma"/>
            <family val="2"/>
          </rPr>
          <t>Hyror för apparater och inventarier under räkenskapsperioden Moms 0 %.
Leasingkostnader för maskiner och fordon som används i affärsverksamhet samt finansieras genom fast månadsleasing under räkenskapsperioden moms 0 %. 
Om leasingfinansieringens kapital, ränta och restvärde är kända, placera informationen i tabellen FS3 Resultat "FINANSIERING" och anskaffningspriset för objektet som ska finansieras under "FINANSIERINGSHEBOV".</t>
        </r>
      </text>
    </comment>
    <comment ref="F77" authorId="1" shapeId="0" xr:uid="{04436A0A-F021-4600-8A89-3481FB463F7A}">
      <text>
        <r>
          <rPr>
            <sz val="10"/>
            <color indexed="81"/>
            <rFont val="Tahoma"/>
            <family val="2"/>
          </rPr>
          <t>Du kan som kostnad dra av anskaffningspriset på anläggningstillgångar som förslits på en gång i följande fall: 
- Om det är fråga om en så kallad liten anskaffning. Med små
  anskaffningar avses enskilda avskrivningsbara anläggnings-
  tillgångar, det vill säga anläggningstillgångar som förslits, 
  såsom en mobiltelefon eller ett verktyg som har ett 
  anskaffningspris på högst 1200 euro. Denna typ av små 
  anskaffningar kan du dra av för sammanlagt 3600 euro per år.
- Om anläggningstillgångarnas sannolika ekonomiska brukstid är 
  högst 3 år (ingen övre gräns på priset).</t>
        </r>
      </text>
    </comment>
    <comment ref="F84" authorId="5" shapeId="0" xr:uid="{7F82F9B1-128C-4F19-82A5-878A38B3A1C7}">
      <text>
        <r>
          <rPr>
            <sz val="10"/>
            <color indexed="81"/>
            <rFont val="Tahoma"/>
            <family val="2"/>
          </rPr>
          <t xml:space="preserve">Här kan du också kalkylera bilens användnings-kostnaderna. Kilometerersättningen bör täcka bilen användningskostnaderna, men inte finansieringskostnaderna. </t>
        </r>
      </text>
    </comment>
    <comment ref="F85" authorId="1" shapeId="0" xr:uid="{C4782157-DE95-4AD1-BDB2-1E18F57C2CD8}">
      <text>
        <r>
          <rPr>
            <b/>
            <sz val="10"/>
            <color indexed="81"/>
            <rFont val="Tahoma"/>
            <family val="2"/>
          </rPr>
          <t>2026</t>
        </r>
        <r>
          <rPr>
            <sz val="10"/>
            <color indexed="81"/>
            <rFont val="Tahoma"/>
            <family val="2"/>
          </rPr>
          <t xml:space="preserve">
Km-ersättning för användning av egen personbil 0,55 euro/km.</t>
        </r>
      </text>
    </comment>
    <comment ref="F87" authorId="1" shapeId="0" xr:uid="{832EE2FE-D948-4F6C-8402-9FA679EF6880}">
      <text>
        <r>
          <rPr>
            <b/>
            <sz val="10"/>
            <color indexed="81"/>
            <rFont val="Tahoma"/>
            <family val="2"/>
          </rPr>
          <t>I hemlandet 2026</t>
        </r>
        <r>
          <rPr>
            <sz val="10"/>
            <color indexed="81"/>
            <rFont val="Tahoma"/>
            <family val="2"/>
          </rPr>
          <t xml:space="preserve">
Heldagtraktamente 54 euro, deldagtraktamente 25 euro.</t>
        </r>
      </text>
    </comment>
    <comment ref="F88" authorId="2" shapeId="0" xr:uid="{78BA80AA-0A2E-42FB-A982-2AA59FD1FA07}">
      <text>
        <r>
          <rPr>
            <sz val="10"/>
            <color indexed="81"/>
            <rFont val="Tahoma"/>
            <family val="2"/>
          </rPr>
          <t>50 % avdragbara i beskattning, dock inte i Moms-beskattning.</t>
        </r>
      </text>
    </comment>
    <comment ref="F118" authorId="1" shapeId="0" xr:uid="{E75EF59F-7AC9-4CCA-96C9-BBA04DE6D815}">
      <text>
        <r>
          <rPr>
            <sz val="10"/>
            <color indexed="81"/>
            <rFont val="Tahoma"/>
            <family val="2"/>
          </rPr>
          <t>Är inte representationskostnader.</t>
        </r>
      </text>
    </comment>
    <comment ref="F119" authorId="1" shapeId="0" xr:uid="{D906F258-9705-4509-99DE-EBEB5F55B8A5}">
      <text>
        <r>
          <rPr>
            <sz val="10"/>
            <color indexed="81"/>
            <rFont val="Tahoma"/>
            <family val="2"/>
          </rPr>
          <t xml:space="preserve">Betyder anskaffnings- och brukskostnader av naturaförmånsbilar o.d. fordon, vilka inte är i affärsbruk. Sådana kostnader är inte avdragbara i Moms-beskattning. </t>
        </r>
      </text>
    </comment>
    <comment ref="F122" authorId="2" shapeId="0" xr:uid="{8E654F3A-2976-46E5-9524-690F4DF84F41}">
      <text>
        <r>
          <rPr>
            <sz val="10"/>
            <color indexed="81"/>
            <rFont val="Tahoma"/>
            <family val="2"/>
          </rPr>
          <t>Försök inte skriva! Siffran i cellen blir färdig automatiskt senare.</t>
        </r>
      </text>
    </comment>
    <comment ref="F124" authorId="1" shapeId="0" xr:uid="{1DAA5A3D-8D26-4185-84BD-5D7686CFF205}">
      <text>
        <r>
          <rPr>
            <sz val="10"/>
            <color indexed="81"/>
            <rFont val="Tahoma"/>
            <family val="2"/>
          </rPr>
          <t xml:space="preserve">Berättar driftskapitalets behov per månad. </t>
        </r>
      </text>
    </comment>
    <comment ref="F127" authorId="1" shapeId="0" xr:uid="{07C6287A-500C-464B-B2BC-9A8038C616EA}">
      <text>
        <r>
          <rPr>
            <sz val="10"/>
            <color indexed="81"/>
            <rFont val="Tahoma"/>
            <family val="2"/>
          </rPr>
          <t>Siffrorna i cellerna förflyttas från tabell 
FS2 Försäljningsprognos!</t>
        </r>
      </text>
    </comment>
    <comment ref="D128" authorId="1" shapeId="0" xr:uid="{AF2ABE9D-234B-41EB-BDD4-C921C8CA41AE}">
      <text>
        <r>
          <rPr>
            <sz val="10"/>
            <color indexed="81"/>
            <rFont val="Tahoma"/>
            <family val="2"/>
          </rPr>
          <t>Denna rad berättar om hur väl pengarna räcker till affärsverksamhetens utgifter.</t>
        </r>
      </text>
    </comment>
    <comment ref="F129" authorId="1" shapeId="0" xr:uid="{26ADA2AD-CEA1-4B61-ABE1-0E481D04925F}">
      <text>
        <r>
          <rPr>
            <sz val="10"/>
            <color indexed="81"/>
            <rFont val="Tahoma"/>
            <family val="2"/>
          </rPr>
          <t>Detta procenttal berättar, hur mycket försäljningen kan förnedra sig (positivt tal) eller måste bestiga (negativt tal), so att alla kostnaderna är betäckta. Siffrorna i cellerna förflyttas från tabell FS2 Försäljningsprognos!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Henri Järvinen</author>
    <author>Företagstolken</author>
    <author>Jadelcons</author>
  </authors>
  <commentList>
    <comment ref="K3" authorId="0" shapeId="0" xr:uid="{00000000-0006-0000-0A00-000001000000}">
      <text>
        <r>
          <rPr>
            <b/>
            <sz val="10"/>
            <color indexed="81"/>
            <rFont val="Tahoma"/>
            <family val="2"/>
          </rPr>
          <t xml:space="preserve">Ifyllandsdirektiv
</t>
        </r>
        <r>
          <rPr>
            <sz val="10"/>
            <color indexed="81"/>
            <rFont val="Tahoma"/>
            <family val="2"/>
          </rPr>
          <t>- Fyll i ljus blåa cellerna.
- Priserna i euro utan mervärdesskatt.
- Prestationsfakturering och materialförsäljning kalkyleras 
  separat.
- Välj rätta Moms - procent!
- Kom ihåg att höja priserna ärligen!
- Observera även cellerna till höger.
- I utrymmet till höger kan du göra anteckningar.
- Du kan förflytta dig från tabell till tabell via piltangent eller via 
  tabellväljarna nere.</t>
        </r>
      </text>
    </comment>
    <comment ref="N3" authorId="0" shapeId="0" xr:uid="{C61B75CB-CCCF-4DFE-8DB9-5C7EBCB19B7C}">
      <text>
        <r>
          <rPr>
            <b/>
            <sz val="10"/>
            <color indexed="81"/>
            <rFont val="Tahoma"/>
            <family val="2"/>
          </rPr>
          <t xml:space="preserve">Bilaga för finansiär: 
</t>
        </r>
        <r>
          <rPr>
            <sz val="10"/>
            <color indexed="81"/>
            <rFont val="Tahoma"/>
            <family val="2"/>
          </rPr>
          <t>- Om produkter finns 1 - 5, mata ut sidan 1
- Om produkter finns 1 - 11, mata ut sidorna 1 - 2
- Om produkter finns 1 - 17, mata ut sidorna 1 - 3</t>
        </r>
      </text>
    </comment>
    <comment ref="C15" authorId="1" shapeId="0" xr:uid="{CC75A68E-EEE2-4BC1-A958-B8AE428EF1F3}">
      <text>
        <r>
          <rPr>
            <sz val="10"/>
            <color indexed="81"/>
            <rFont val="Tahoma"/>
            <family val="2"/>
          </rPr>
          <t xml:space="preserve">Skriv här momsprocenten, som uppbärs om försäljning av produkter och tjänster. 
</t>
        </r>
        <r>
          <rPr>
            <b/>
            <sz val="10"/>
            <color indexed="81"/>
            <rFont val="Tahoma"/>
            <family val="2"/>
          </rPr>
          <t>Allmän skattesats 25,5 %: de flesta varor och tjänster</t>
        </r>
        <r>
          <rPr>
            <sz val="10"/>
            <color indexed="81"/>
            <rFont val="Tahoma"/>
            <family val="2"/>
          </rPr>
          <t xml:space="preserve">
</t>
        </r>
        <r>
          <rPr>
            <b/>
            <sz val="10"/>
            <color indexed="81"/>
            <rFont val="Tahoma"/>
            <family val="2"/>
          </rPr>
          <t>Reducerad skattesats 13,5 %:</t>
        </r>
        <r>
          <rPr>
            <sz val="10"/>
            <color indexed="81"/>
            <rFont val="Tahoma"/>
            <family val="2"/>
          </rPr>
          <t xml:space="preserve">
• livsmedel
• foder
• restaurang- och måltidstjänster
• böcker, e-böcker och övriga e-tjänster som berättigar till att läsa eller lyssna på nätpublikationer under prenumerationsperioden
• läkemedel
• motionstjänster (personal trainer 25,5%)
• biografföreställningar
• inträde till kultur- och nöjesevenemang
• persontransport
• inkvartering och ersättningar för televisions- och radioverksamhet
</t>
        </r>
        <r>
          <rPr>
            <b/>
            <sz val="10"/>
            <color indexed="81"/>
            <rFont val="Tahoma"/>
            <family val="2"/>
          </rPr>
          <t>Reducerad skattesats 10 %:</t>
        </r>
        <r>
          <rPr>
            <sz val="10"/>
            <color indexed="81"/>
            <rFont val="Tahoma"/>
            <family val="2"/>
          </rPr>
          <t xml:space="preserve">
• tidningar och tidskrifter
• verksamhet som inte omfattas av momsbeskattningen
• försäljning och uthyrning av fastigheter och aktielägenheter
• hälso-, sjuk- och socialvård
• försäljning av utbildningstjänster såsom omnämnts i mervärdesskattelagen
finansiella tjänster och försäkringstjänster
• ersättningar för upphovsrätt och framträdanden enligt vad som omnämnts i mervärdesskattelagen
• allmänna posttjänster
• företagets omsättning under det innevarande kalenderåret och det föregående kalenderåret är högst 20 000 euro.
Läs mera om Företagstolken punkt 3.27</t>
        </r>
      </text>
    </comment>
    <comment ref="C18" authorId="1" shapeId="0" xr:uid="{C1D7D39A-75F5-43A8-8FAD-E903418FFB76}">
      <text>
        <r>
          <rPr>
            <sz val="10"/>
            <color indexed="81"/>
            <rFont val="Tahoma"/>
            <family val="2"/>
          </rPr>
          <t>Arbetstagare arbetar cirka 1775 timmar om året, men sällan kan alla timmar faktureras. Rätt mängd kan vara 1300 timmar.</t>
        </r>
      </text>
    </comment>
    <comment ref="C45" authorId="1" shapeId="0" xr:uid="{F726572F-4522-4890-9E34-B182AD43BD3B}">
      <text>
        <r>
          <rPr>
            <sz val="10"/>
            <color indexed="81"/>
            <rFont val="Tahoma"/>
            <family val="2"/>
          </rPr>
          <t>Försäljningsbidrag för inköpta materialen eller tjänster.</t>
        </r>
      </text>
    </comment>
    <comment ref="C114" authorId="2" shapeId="0" xr:uid="{649C1AF9-3A0D-4EFA-BA9B-3B29CBDEE3E5}">
      <text>
        <r>
          <rPr>
            <sz val="10"/>
            <color indexed="81"/>
            <rFont val="Tahoma"/>
            <family val="2"/>
          </rPr>
          <t xml:space="preserve">Skriv här momsprocenten, som uppbärs om försäljning av produkter och tjänster.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Henri Järvinen</author>
    <author>Ari Järvinen</author>
    <author>Företagstolken</author>
    <author>Yritystulkki</author>
    <author>Jadelcons</author>
  </authors>
  <commentList>
    <comment ref="N3" authorId="0" shapeId="0" xr:uid="{231D06DA-9062-417F-974D-8BCB4F7064D3}">
      <text>
        <r>
          <rPr>
            <b/>
            <sz val="10"/>
            <color indexed="81"/>
            <rFont val="Tahoma"/>
            <family val="2"/>
          </rPr>
          <t xml:space="preserve">Fyll i ljus blåa cellerna
1. BÖRJA MED ATT UPPSKATTA PENNINGBEHOVET OCH 
    PENNINGKÄLLORNA.  
</t>
        </r>
        <r>
          <rPr>
            <sz val="10"/>
            <color indexed="81"/>
            <rFont val="Tahoma"/>
            <family val="2"/>
          </rPr>
          <t xml:space="preserve"> - Först PENNINGBEHOVET (vänstra sidan av tabellen).
 - Sedan FINANSIERING 
 - </t>
        </r>
        <r>
          <rPr>
            <b/>
            <sz val="10"/>
            <color indexed="81"/>
            <rFont val="Tahoma"/>
            <family val="2"/>
          </rPr>
          <t>FINANSIERING</t>
        </r>
        <r>
          <rPr>
            <sz val="10"/>
            <color indexed="81"/>
            <rFont val="Tahoma"/>
            <family val="2"/>
          </rPr>
          <t xml:space="preserve"> berättar, hur företagsprojektet finansieras.
 - Slutsummorna på vänstra och högra sidan bör vara lika stora.
 - Om inte, korrigera differensen i kassan = punkt 6. Driftskapital.
 - Investeringssummorna, där </t>
        </r>
        <r>
          <rPr>
            <b/>
            <sz val="10"/>
            <color indexed="81"/>
            <rFont val="Tahoma"/>
            <family val="2"/>
          </rPr>
          <t>mervärdesskatten har beaktats.</t>
        </r>
        <r>
          <rPr>
            <sz val="10"/>
            <color indexed="81"/>
            <rFont val="Tahoma"/>
            <family val="2"/>
          </rPr>
          <t xml:space="preserve">
 - Det är förnuftigt ar reservera driftskapital överskattade. Det finns 
   alltid möjligt för extra amortering av lånet, men mycket svårare
   att lyfta extra lån. </t>
        </r>
        <r>
          <rPr>
            <b/>
            <sz val="10"/>
            <color indexed="81"/>
            <rFont val="Tahoma"/>
            <family val="2"/>
          </rPr>
          <t xml:space="preserve">
 2. RESULTATSKALKYL
</t>
        </r>
        <r>
          <rPr>
            <sz val="10"/>
            <color indexed="81"/>
            <rFont val="Tahoma"/>
            <family val="2"/>
          </rPr>
          <t xml:space="preserve">- Berättar företagets lönsamhet.
- Observera företagets förmåga att återbetala lånen. 
  </t>
        </r>
        <r>
          <rPr>
            <b/>
            <sz val="10"/>
            <color indexed="81"/>
            <rFont val="Tahoma"/>
            <family val="2"/>
          </rPr>
          <t>Punkt 11. Finansieringsresultat måste vara större än
  punkt 15.Lånamorteringar och avbetalningsrater slgt.</t>
        </r>
        <r>
          <rPr>
            <sz val="10"/>
            <color indexed="81"/>
            <rFont val="Tahoma"/>
            <family val="2"/>
          </rPr>
          <t xml:space="preserve">
</t>
        </r>
        <r>
          <rPr>
            <b/>
            <sz val="10"/>
            <color indexed="81"/>
            <rFont val="Tahoma"/>
            <family val="2"/>
          </rPr>
          <t xml:space="preserve">
 3. ANALYSERING 
 </t>
        </r>
        <r>
          <rPr>
            <sz val="10"/>
            <color indexed="81"/>
            <rFont val="Tahoma"/>
            <family val="2"/>
          </rPr>
          <t xml:space="preserve">På nedra kanten av sidan finns RISKANALYS och 
 BRANSCHJÄMFÖRELSE.  </t>
        </r>
      </text>
    </comment>
    <comment ref="Q3" authorId="0" shapeId="0" xr:uid="{EFAB02B2-3408-4139-AB93-AFFE46417A15}">
      <text>
        <r>
          <rPr>
            <b/>
            <sz val="10"/>
            <color indexed="81"/>
            <rFont val="Tahoma"/>
            <family val="2"/>
          </rPr>
          <t>Bilaga för finansiär: 
Mata ut sidorna 1 - 2.</t>
        </r>
        <r>
          <rPr>
            <sz val="10"/>
            <color indexed="81"/>
            <rFont val="Tahoma"/>
            <family val="2"/>
          </rPr>
          <t xml:space="preserve"> </t>
        </r>
      </text>
    </comment>
    <comment ref="B9" authorId="1" shapeId="0" xr:uid="{8B2CB410-8194-4C42-8ABB-5D69D252D792}">
      <text>
        <r>
          <rPr>
            <sz val="10"/>
            <color indexed="81"/>
            <rFont val="Tahoma"/>
            <family val="2"/>
          </rPr>
          <t>Företagets namn skrivs på tabell FS1 Kostnader.</t>
        </r>
      </text>
    </comment>
    <comment ref="E17" authorId="2" shapeId="0" xr:uid="{DE15C0FA-5849-46D2-BCBB-A5EE60947D8B}">
      <text>
        <r>
          <rPr>
            <sz val="10"/>
            <color indexed="81"/>
            <rFont val="Tahoma"/>
            <family val="2"/>
          </rPr>
          <t>Avskrivningsfria anskaffningar
- tomtmark
- el-, vatten- osv. anslutning
- franchising-, taxicentral- osv. Anslutningsvgift
- aktier till affärslägenhet</t>
        </r>
      </text>
    </comment>
    <comment ref="E18" authorId="2" shapeId="0" xr:uid="{AEF19A67-3396-4AC3-9766-80752BCD2AD0}">
      <text>
        <r>
          <rPr>
            <sz val="10"/>
            <color indexed="81"/>
            <rFont val="Tahoma"/>
            <family val="2"/>
          </rPr>
          <t>Byggnader: affärslokaler, produktions-lokaler, hallar, lager, kontor (inte aktie-).</t>
        </r>
      </text>
    </comment>
    <comment ref="H18" authorId="2" shapeId="0" xr:uid="{616E6943-FF88-4F72-A468-B8268D9B4E3B}">
      <text>
        <r>
          <rPr>
            <sz val="10"/>
            <color indexed="81"/>
            <rFont val="Tahoma"/>
            <family val="2"/>
          </rPr>
          <t xml:space="preserve">Räntans storlek påverkas av företagets lönsamhet och ekonomiska ställning, av risken i affärsverksamhet samt av säkerheten för lånet. </t>
        </r>
      </text>
    </comment>
    <comment ref="I18" authorId="2" shapeId="0" xr:uid="{6BE7D088-C7F6-45FF-97C5-4BFA806F341B}">
      <text>
        <r>
          <rPr>
            <sz val="10"/>
            <color indexed="81"/>
            <rFont val="Tahoma"/>
            <family val="2"/>
          </rPr>
          <t>Fria år från avkortningar. Antalet år antecknas i denna cell och de kan uppgå till högst 2. Vi rekommenderar högst ett år.</t>
        </r>
      </text>
    </comment>
    <comment ref="J18" authorId="2" shapeId="0" xr:uid="{44BFD9FF-F634-4176-8249-EA793E958426}">
      <text>
        <r>
          <rPr>
            <sz val="10"/>
            <color indexed="81"/>
            <rFont val="Tahoma"/>
            <family val="2"/>
          </rPr>
          <t>Den totala lånetiden antecknas i denna cell och måste vara min. 3 år.</t>
        </r>
      </text>
    </comment>
    <comment ref="E19" authorId="2" shapeId="0" xr:uid="{9EFB49F9-383A-4188-9931-67675E70A6B3}">
      <text>
        <r>
          <rPr>
            <sz val="10"/>
            <color indexed="81"/>
            <rFont val="Tahoma"/>
            <family val="2"/>
          </rPr>
          <t>Byggande och renovering av fastigheter, affärslokaler, företagslägenhet. Små renoveringar till punkt 
9. Kostnader av affärslokaler i tabell FS1 Kostnader.</t>
        </r>
      </text>
    </comment>
    <comment ref="H19" authorId="2" shapeId="0" xr:uid="{F035F24D-38AE-4035-AF1B-81FEBB501014}">
      <text>
        <r>
          <rPr>
            <sz val="10"/>
            <color indexed="81"/>
            <rFont val="Tahoma"/>
            <family val="2"/>
          </rPr>
          <t xml:space="preserve">Bankens ränta-%. Risken påverkar räntan.
</t>
        </r>
        <r>
          <rPr>
            <b/>
            <sz val="10"/>
            <color indexed="81"/>
            <rFont val="Tahoma"/>
            <family val="2"/>
          </rPr>
          <t>Om du ansöker om Finnveras garanti</t>
        </r>
        <r>
          <rPr>
            <sz val="10"/>
            <color indexed="81"/>
            <rFont val="Tahoma"/>
            <family val="2"/>
          </rPr>
          <t xml:space="preserve"> som säkerhet för lånet, lägg till Finnveras garantiprovision till bankens ränta. Om garantin har beviljats ​​för t.ex 50 % av lånekapitalet, halvera garantiprovisionen. </t>
        </r>
      </text>
    </comment>
    <comment ref="I19" authorId="2" shapeId="0" xr:uid="{91D9BD3F-85BC-4E61-8BD0-168FF3A7F054}">
      <text>
        <r>
          <rPr>
            <sz val="10"/>
            <color indexed="81"/>
            <rFont val="Tahoma"/>
            <family val="2"/>
          </rPr>
          <t>Fria år från avkortningar. Antalet år antecknas i denna cell och de kan uppgå till högst 2. Vi rekommenderar högst ett år.</t>
        </r>
      </text>
    </comment>
    <comment ref="J19" authorId="2" shapeId="0" xr:uid="{B3267BE2-491F-4952-AD6B-AE33AC040D29}">
      <text>
        <r>
          <rPr>
            <sz val="10"/>
            <color indexed="81"/>
            <rFont val="Tahoma"/>
            <family val="2"/>
          </rPr>
          <t>Den totala lånetiden antecknas i denna cell och måste vara min. 3 år.</t>
        </r>
      </text>
    </comment>
    <comment ref="J20" authorId="2" shapeId="0" xr:uid="{2C01A803-7E91-412F-9B21-E1EF4876753D}">
      <text>
        <r>
          <rPr>
            <sz val="10"/>
            <color indexed="81"/>
            <rFont val="Tahoma"/>
            <family val="2"/>
          </rPr>
          <t>Den totala lånetiden antecknas i denna cell och måste vara min. 3 år.</t>
        </r>
      </text>
    </comment>
    <comment ref="B21" authorId="2" shapeId="0" xr:uid="{EC09F728-04B2-4E96-A856-5D8F87CE5007}">
      <text>
        <r>
          <rPr>
            <sz val="10"/>
            <color indexed="81"/>
            <rFont val="Tahoma"/>
            <family val="2"/>
          </rPr>
          <t>Investeringar, vilka innehåller avdragbar Moms. T.ex. maskiner och inventarier samt övriga avskrivningsbara långvariga anskaffningar (mm. Adb-system, patenten, produktionsrättigheter).  
Skriv Moms 0 %-anskaffningar nedre i punkt 
"- skattefria anskaffning., affärsvärde".</t>
        </r>
      </text>
    </comment>
    <comment ref="D21" authorId="2" shapeId="0" xr:uid="{022327E2-20EB-4398-B8C5-4F21926455FD}">
      <text>
        <r>
          <rPr>
            <sz val="10"/>
            <color indexed="81"/>
            <rFont val="Tahoma"/>
            <family val="2"/>
          </rPr>
          <t>Bidrag för investeringar beviljas vanligen inte till transport-, handels-, entreprenörs- och byggnadsbranscher. Kontrollera från NTM-centralen. Bidrag beviljas av Moms 0 %-priset.</t>
        </r>
      </text>
    </comment>
    <comment ref="F21" authorId="3" shapeId="0" xr:uid="{C1FD0ED9-8C1D-4B0C-B163-C9212E8433B5}">
      <text>
        <r>
          <rPr>
            <sz val="10"/>
            <color indexed="81"/>
            <rFont val="Tahoma"/>
            <family val="2"/>
          </rPr>
          <t>Maskiner och utrustning inköpta för affärsbruk</t>
        </r>
        <r>
          <rPr>
            <b/>
            <sz val="10"/>
            <color indexed="81"/>
            <rFont val="Tahoma"/>
            <family val="2"/>
          </rPr>
          <t xml:space="preserve"> med restvärde. </t>
        </r>
        <r>
          <rPr>
            <sz val="10"/>
            <color indexed="81"/>
            <rFont val="Tahoma"/>
            <family val="2"/>
          </rPr>
          <t xml:space="preserve">
Leasingfinansiering till fast månadspris placeras i post 
- 11. Utgifter för bilar/arbetsmaskiner (affärsbruk)
- 13. Övriga maskin- och apparaturkostnader
- 25. Fordonskostnader (fordonen i privatbruk,
        naturaförmån)  </t>
        </r>
      </text>
    </comment>
    <comment ref="I21" authorId="4" shapeId="0" xr:uid="{B80CFF0C-CD1A-4FB2-BCD4-75F92AB186C5}">
      <text>
        <r>
          <rPr>
            <sz val="10"/>
            <color indexed="81"/>
            <rFont val="Tahoma"/>
            <family val="2"/>
          </rPr>
          <t>Avbetalningens och leasingens  betalningstid är 2 - 5 år!</t>
        </r>
      </text>
    </comment>
    <comment ref="K21" authorId="3" shapeId="0" xr:uid="{47BD30A5-6534-46A1-82E2-7EB9DA6BD72F}">
      <text>
        <r>
          <rPr>
            <sz val="10"/>
            <color indexed="81"/>
            <rFont val="Tahoma"/>
            <family val="2"/>
          </rPr>
          <t>Med leasing kan man finansiera ca.80 % av investeringens värde. Återbäring av mervärdesskatt fås månatligen i efterhand. Läs mera Företagstolken punkt 3.10 Leasingens kostnader.</t>
        </r>
      </text>
    </comment>
    <comment ref="I22" authorId="4" shapeId="0" xr:uid="{B5A90607-D78C-4B43-A72D-4C377E48224F}">
      <text>
        <r>
          <rPr>
            <sz val="10"/>
            <color indexed="81"/>
            <rFont val="Tahoma"/>
            <family val="2"/>
          </rPr>
          <t>Avbetalningens och leasingens  betalningstid är 2 - 5 år!</t>
        </r>
      </text>
    </comment>
    <comment ref="K22" authorId="2" shapeId="0" xr:uid="{23B203B1-D526-43A0-B013-2177CC0AC337}">
      <text>
        <r>
          <rPr>
            <sz val="10"/>
            <color indexed="81"/>
            <rFont val="Tahoma"/>
            <family val="2"/>
          </rPr>
          <t>Med avbetalning kan man finansiera högst 80 % av investeringens värde. Återbärning av mervärdesskatt fås genast och bidrag fås genast efter investeringens färdigställande.</t>
        </r>
      </text>
    </comment>
    <comment ref="E24" authorId="2" shapeId="0" xr:uid="{9137F222-8E88-4C48-9DC3-46B54AA6B9C2}">
      <text>
        <r>
          <rPr>
            <sz val="10"/>
            <color indexed="81"/>
            <rFont val="Tahoma"/>
            <family val="2"/>
          </rPr>
          <t xml:space="preserve">Avses handelsvaror, som har köpt vid förvärv av affärsverksamheten. Handelsvarorna utan mervärdesskatt. </t>
        </r>
      </text>
    </comment>
    <comment ref="K24" authorId="2" shapeId="0" xr:uid="{29DCFF1F-4493-48B6-95AC-149488589FCD}">
      <text>
        <r>
          <rPr>
            <sz val="10"/>
            <color indexed="81"/>
            <rFont val="Tahoma"/>
            <family val="2"/>
          </rPr>
          <t>Bidrag kan betalas till investeringen, som inte innehåller Moms. OM LEASINGFINANSIERING ANVÄNDS, ÄR BELOPPET INDIKATIVT!</t>
        </r>
      </text>
    </comment>
    <comment ref="E25" authorId="2" shapeId="0" xr:uid="{EBA83CE7-E758-4EC0-BE42-9538F5ED6D10}">
      <text>
        <r>
          <rPr>
            <sz val="10"/>
            <color indexed="81"/>
            <rFont val="Tahoma"/>
            <family val="2"/>
          </rPr>
          <t>Avses varor, som man har köpt i förhand före öppnandet av affären.</t>
        </r>
      </text>
    </comment>
    <comment ref="E26" authorId="2" shapeId="0" xr:uid="{B6AB8E24-6F96-4B12-9E7E-C4A5872827FE}">
      <text>
        <r>
          <rPr>
            <sz val="10"/>
            <color indexed="81"/>
            <rFont val="Tahoma"/>
            <family val="2"/>
          </rPr>
          <t>Här antecknas anskaffningar, av vilka man inte får återbäring av mervärdesskatt. T.ex. 
- momsfria företagen (mervärdesskatt 0%)
- affärsvärde (goodwill) vid företagsförvärv
- maskiner och inventarier vid förvärv av
  affärsverksamheten
- anskaffningar av privata personer
- anskaffningar av utomlands</t>
        </r>
      </text>
    </comment>
    <comment ref="K27" authorId="2" shapeId="0" xr:uid="{2BC19600-7687-4D4F-98EF-1F58B58D3119}">
      <text>
        <r>
          <rPr>
            <sz val="10"/>
            <color indexed="81"/>
            <rFont val="Tahoma"/>
            <family val="2"/>
          </rPr>
          <t xml:space="preserve">Moms-återbäring kalkyleras från posterna
- 1.  Lokaliteter / inköp/byggande av fastigheter
- 2. Maskiner och inventarier
- 3. Immateriella investeringar
Av bidragen minskas leasingfinansieringens andel. Återbäring fås 2 månader efter anskaffningen. </t>
        </r>
      </text>
    </comment>
    <comment ref="B28" authorId="2" shapeId="0" xr:uid="{1D16B5B1-1CAA-4212-A30F-198C3798CD0D}">
      <text>
        <r>
          <rPr>
            <sz val="10"/>
            <color indexed="81"/>
            <rFont val="Tahoma"/>
            <family val="2"/>
          </rPr>
          <t xml:space="preserve">Här antecknas övriga kortvariga anskaffningar inkl. Moms, vilka </t>
        </r>
        <r>
          <rPr>
            <b/>
            <sz val="10"/>
            <color indexed="81"/>
            <rFont val="Tahoma"/>
            <family val="2"/>
          </rPr>
          <t>minskas som kostnad inom ett år</t>
        </r>
        <r>
          <rPr>
            <sz val="10"/>
            <color indexed="81"/>
            <rFont val="Tahoma"/>
            <family val="2"/>
          </rPr>
          <t xml:space="preserve"> (ingen avskrivning). T.ex.
- marknadsföringsinvesteringar (logo, websidor, licens) 
- produktskydd kostnader
- expertarvoden (utformning av kontrakt etc.) </t>
        </r>
      </text>
    </comment>
    <comment ref="K29" authorId="2" shapeId="0" xr:uid="{DEA2BFBF-0AC7-4394-BFDF-EEC5AB3E8802}">
      <text>
        <r>
          <rPr>
            <sz val="10"/>
            <color indexed="81"/>
            <rFont val="Tahoma"/>
            <family val="2"/>
          </rPr>
          <t>För att få projektet lyckas bra, borde andel av egen finansiering vara 20 % av det totala finansieringsbehovet.</t>
        </r>
      </text>
    </comment>
    <comment ref="E30" authorId="2" shapeId="0" xr:uid="{3CEFF75A-755B-4438-B804-7D6C46CCE819}">
      <text>
        <r>
          <rPr>
            <b/>
            <sz val="10"/>
            <color indexed="81"/>
            <rFont val="Tahoma"/>
            <family val="2"/>
          </rPr>
          <t>Här antecknas immateriella- och utvecklingsinvesteringar för momsfria företagen (mervärdesskatt 0%).</t>
        </r>
      </text>
    </comment>
    <comment ref="E32" authorId="2" shapeId="0" xr:uid="{15063FE4-877B-48E5-B1B0-5D7CB82EE427}">
      <text>
        <r>
          <rPr>
            <sz val="10"/>
            <color indexed="81"/>
            <rFont val="Tahoma"/>
            <family val="2"/>
          </rPr>
          <t xml:space="preserve">Driftskapital = Kassamedlen, pengar i kassan. Behovet av driftskapital beror på driftskostnader samt fluktuation av försäljningen och inköpen.
</t>
        </r>
        <r>
          <rPr>
            <b/>
            <sz val="10"/>
            <color indexed="81"/>
            <rFont val="Tahoma"/>
            <family val="2"/>
          </rPr>
          <t>Rörelsekapitalkravet för nybörjande företag minst:</t>
        </r>
        <r>
          <rPr>
            <sz val="10"/>
            <color indexed="81"/>
            <rFont val="Tahoma"/>
            <family val="2"/>
          </rPr>
          <t xml:space="preserve">  
- industri och produktion 10 000 - 60 000 euro/person 
  (vid företagsförvärv 4 000 - 20 000 euro/person).
- byggande 15 000 - 50 000 euro/person 
  (vid företagsförvärv 5 000 - 18 000 euro/person) 
- parti- och detaljhandel ca.20 % av omsättning
- tjänster för företag 15 000 - 30 000 euro/person
Det finns stora branschvariationer. För riktnings-information, se fliken Branschinformation. I början är rörelsekapitalkravet är 2-3 gånger större än för aktivt företag.</t>
        </r>
      </text>
    </comment>
    <comment ref="E35" authorId="2" shapeId="0" xr:uid="{D0E1F005-E5D3-4F9F-9B5D-4E41185FA12E}">
      <text>
        <r>
          <rPr>
            <sz val="10"/>
            <color indexed="81"/>
            <rFont val="Tahoma"/>
            <family val="2"/>
          </rPr>
          <t>Slutsummorna på vänstra och högra sidan bör vara lika stora. Om summan är negativ, finns det "för mycket" pengar, som fogas till punkt 6. Driftskapital.</t>
        </r>
      </text>
    </comment>
    <comment ref="K35" authorId="2" shapeId="0" xr:uid="{B0C3B0F3-3D0E-42EE-A2A2-504BE3B42610}">
      <text>
        <r>
          <rPr>
            <sz val="10"/>
            <color indexed="81"/>
            <rFont val="Tahoma"/>
            <family val="2"/>
          </rPr>
          <t xml:space="preserve">Bidrag och återbäring av mervärdesskatt erhålls i efterhand. Om summan är stor, är man tvungen att ordna med tillfällig finansiering. T.ex. konto med kredit.
</t>
        </r>
        <r>
          <rPr>
            <b/>
            <sz val="10"/>
            <color indexed="81"/>
            <rFont val="Tahoma"/>
            <family val="2"/>
          </rPr>
          <t>Var också beredd för det, att inte något bidrag erhålls.</t>
        </r>
      </text>
    </comment>
    <comment ref="F45" authorId="1" shapeId="0" xr:uid="{14DEC65B-F68E-45F6-917D-B8791F6D8641}">
      <text>
        <r>
          <rPr>
            <sz val="10"/>
            <color indexed="81"/>
            <rFont val="Tahoma"/>
            <family val="2"/>
          </rPr>
          <t>Under 1. året betjänas kalkylmässiga semesterlöner, varför personalkostnaderna är större än 2. årets kostnad.</t>
        </r>
      </text>
    </comment>
    <comment ref="F51" authorId="2" shapeId="0" xr:uid="{147485C3-AD01-40A6-A43C-4FA38610657F}">
      <text>
        <r>
          <rPr>
            <sz val="10"/>
            <color indexed="81"/>
            <rFont val="Tahoma"/>
            <family val="2"/>
          </rPr>
          <t xml:space="preserve">Skatten beräknas enligt procenten under. 50 % av representationskostnaderna är avdragbara i beskattning. </t>
        </r>
      </text>
    </comment>
    <comment ref="F55" authorId="3" shapeId="0" xr:uid="{7A790526-1616-4182-AFC8-6DE5012AC973}">
      <text>
        <r>
          <rPr>
            <sz val="10"/>
            <color indexed="81"/>
            <rFont val="Tahoma"/>
            <family val="2"/>
          </rPr>
          <t xml:space="preserve"> - Produktions- och förrådsbyggnader, butiker, 
   maximiavskrivning 7 %, ca.15 år
 - Bostads-, kontors- och dylika byggnader, 
   maximiavskrivning  4 %, ca.25 år
 - Behållaren, lätta anläggningar mm. 20 %</t>
        </r>
      </text>
    </comment>
    <comment ref="F56" authorId="3" shapeId="0" xr:uid="{F6246EBE-4BF8-408E-B5AD-2E618A587C23}">
      <text>
        <r>
          <rPr>
            <sz val="10"/>
            <color indexed="81"/>
            <rFont val="Tahoma"/>
            <family val="2"/>
          </rPr>
          <t xml:space="preserve"> - maximiavskrivning 25 %
 - vi rekommenderar avskrivning enligt 
   ekonomisk drifttid, som vanligen är 5 - 10 år</t>
        </r>
      </text>
    </comment>
    <comment ref="F57" authorId="3" shapeId="0" xr:uid="{9973AC26-DEFD-476E-9EB8-DE7179BD1FAA}">
      <text>
        <r>
          <rPr>
            <sz val="10"/>
            <color indexed="81"/>
            <rFont val="Tahoma"/>
            <family val="2"/>
          </rPr>
          <t xml:space="preserve"> - maximiavskrivning 25 %
 - vi rekommenderar 5 års drifttid, som är ca.5 år</t>
        </r>
      </text>
    </comment>
    <comment ref="F58" authorId="3" shapeId="0" xr:uid="{9539E005-F210-467C-B5EB-5EA516EF38DC}">
      <text>
        <r>
          <rPr>
            <sz val="10"/>
            <color indexed="81"/>
            <rFont val="Tahoma"/>
            <family val="2"/>
          </rPr>
          <t xml:space="preserve"> - maximiavskrivning 25 %
 - vi rekommenderar 5 års drifttid, som är ca.5 år</t>
        </r>
      </text>
    </comment>
    <comment ref="F97" authorId="2" shapeId="0" xr:uid="{2BB4D5D1-88EC-4827-AF3C-B2B42F927F15}">
      <text>
        <r>
          <rPr>
            <b/>
            <sz val="10"/>
            <color indexed="81"/>
            <rFont val="Tahoma"/>
            <family val="2"/>
          </rPr>
          <t xml:space="preserve">
VÄLJ NUMRET, som bäst motsvarar ditt eget företag
Industri och tillverkning
 </t>
        </r>
        <r>
          <rPr>
            <sz val="10"/>
            <color indexed="81"/>
            <rFont val="Tahoma"/>
            <family val="2"/>
          </rPr>
          <t xml:space="preserve">1. Slakt, produktion av köttprodukter                       2. Bagerier 
 3. Tillverkning av övriga textilvaror                          4. Tillverkning av kläder 
 5. Sågning, hyvling och impregnering av trä             6. Tillverkning av byggnadssnickar-produkter
 7. Tryckning och därtill hörande tjänster                  8. Tillverkning av plastprodukter
 9. Tillverkning av metallkonstruktioner                   10. Beläggning och överdragning av metall; metallegoarbeten
11. Tillverkning av maskiner och anordningar          12. Tillverkning av maskiner för allmänt bruk
13. Tillverkning av jord- och skogsbruksmaskiner    14. Tillverkning av motorfordon och släpvagnar 
15. Tillverkning av möbler                                      16. Tillverkning av köksinredningar och -möbler
</t>
        </r>
        <r>
          <rPr>
            <b/>
            <sz val="10"/>
            <color indexed="81"/>
            <rFont val="Tahoma"/>
            <family val="2"/>
          </rPr>
          <t>Byggande</t>
        </r>
        <r>
          <rPr>
            <sz val="10"/>
            <color indexed="81"/>
            <rFont val="Tahoma"/>
            <family val="2"/>
          </rPr>
          <t xml:space="preserve">
17. Byggande av bostadshus och andra byggnader  18. Mark- och grundarbeten 
19. Elarbeten och el entreprenader                         20. VVS installation
21. Byggnadssnickeriarbeten                                  22. Måleriarbeten</t>
        </r>
        <r>
          <rPr>
            <b/>
            <sz val="10"/>
            <color indexed="81"/>
            <rFont val="Tahoma"/>
            <family val="2"/>
          </rPr>
          <t xml:space="preserve">
</t>
        </r>
        <r>
          <rPr>
            <sz val="10"/>
            <color indexed="81"/>
            <rFont val="Tahoma"/>
            <family val="2"/>
          </rPr>
          <t xml:space="preserve">23. Takbehandlingar, montering </t>
        </r>
        <r>
          <rPr>
            <b/>
            <sz val="10"/>
            <color indexed="81"/>
            <rFont val="Tahoma"/>
            <family val="2"/>
          </rPr>
          <t xml:space="preserve">
Detaljhandel
</t>
        </r>
        <r>
          <rPr>
            <sz val="10"/>
            <color indexed="81"/>
            <rFont val="Tahoma"/>
            <family val="2"/>
          </rPr>
          <t>24. Detaljhandel med personbilar och lätta motorfordon     25. Underhåll och reparation av motorfordon 
26. Handel med reservdelar och tillbehör till motorfordon    27. Dagligvaruhandel (100 - 400 m2)
28. Kioskverksamhet ( under 100 m²)                                29. Järnhandel
30. Klädaffär                                                                     31. Handel med inform.- och kommunikationsutrustningar i specialbutiker
32. Detaljhandel med sportutrustning och cyklar                33. Servicestationsverksamhet
34. Butikshandel med blommor</t>
        </r>
        <r>
          <rPr>
            <b/>
            <sz val="10"/>
            <color indexed="81"/>
            <rFont val="Tahoma"/>
            <family val="2"/>
          </rPr>
          <t xml:space="preserve">
Övriga tjänster
</t>
        </r>
        <r>
          <rPr>
            <sz val="10"/>
            <color indexed="81"/>
            <rFont val="Tahoma"/>
            <family val="2"/>
          </rPr>
          <t>35. Drivning av virke                                                        36. Taxitrafik
37. Vägtransport, godstrafik                                             38. Hotellverksamhet 
39. Restauranger och motsvarande verksamhet                40. Övrig catering- och centralköksverksamhet                                                                  41. Kafé                                                                          42. IT-tjänster 
43. Fastighetsförmedling                                                  44. Bokförings- och bokslutstjänster
45. Ingenjörsbyråer, tekniska konsulter                             46. Reklambyråer
47. Fastighetsrelaterade stödtjänster                                48. Rengöring och lokalvård
49. Läkarcentral, privata läkartjänster                               50. Tandläkartjänster 
51. Fysioterapi                                                                  52. Barns daghem                                                             
53. Gym                                                                           54. Frisersalonger 
55. Skönhetsvård</t>
        </r>
        <r>
          <rPr>
            <b/>
            <sz val="10"/>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Yritystulkki</author>
    <author/>
  </authors>
  <commentList>
    <comment ref="E2" authorId="0" shapeId="0" xr:uid="{9BD5593A-BDCA-4613-AE2C-5D85A5614066}">
      <text>
        <r>
          <rPr>
            <sz val="10"/>
            <color indexed="81"/>
            <rFont val="Tahoma"/>
            <family val="2"/>
          </rPr>
          <t xml:space="preserve">
INSTRUKTIONER FÖR ANVÄNDNING OCH LÄSNING AV EKONOMISKA PARAMETRAR
</t>
        </r>
        <r>
          <rPr>
            <b/>
            <sz val="10"/>
            <color indexed="81"/>
            <rFont val="Tahoma"/>
            <family val="2"/>
          </rPr>
          <t>ANVÄNDNING AV TABELLEN</t>
        </r>
        <r>
          <rPr>
            <sz val="10"/>
            <color indexed="81"/>
            <rFont val="Tahoma"/>
            <family val="2"/>
          </rPr>
          <t xml:space="preserve">
Uppgifterna i denna tabell förflyttas till grafiska stapeldiagrammen i K3- och FS3 Resultat-tabellerna. Baserat på siffrorna från de två föregående åren kan du bättre bedöma lönsamheten i ditt företag.
</t>
        </r>
        <r>
          <rPr>
            <b/>
            <sz val="10"/>
            <color indexed="81"/>
            <rFont val="Tahoma"/>
            <family val="2"/>
          </rPr>
          <t>INFORMATION I TABELLEN</t>
        </r>
        <r>
          <rPr>
            <sz val="10"/>
            <color indexed="81"/>
            <rFont val="Tahoma"/>
            <family val="2"/>
          </rPr>
          <t xml:space="preserve">
Tabellen produceras av Finnvera och innehåller information om Finnveras kunders bokslut enligt följande:
- Företaget har 1 - 20 anställda inklusive företagarna.
- Finnvera har skulder (lån och borgen) i sitt kundföretag minst 50 000 Euro.
- Uppgifterna är mediannummer, vilket betyder mittnumret i en uppsättning (inget 
  genomsnittsvärde).
</t>
        </r>
        <r>
          <rPr>
            <b/>
            <sz val="10"/>
            <color indexed="81"/>
            <rFont val="Tahoma"/>
            <family val="2"/>
          </rPr>
          <t xml:space="preserve">LÄSNING AV TABELLEN </t>
        </r>
        <r>
          <rPr>
            <sz val="10"/>
            <color indexed="81"/>
            <rFont val="Tahoma"/>
            <family val="2"/>
          </rPr>
          <t xml:space="preserve">
Kolumnerna i tabellen visar mediannumret.
1. Personer/företag = Antal anställda i branschen.
2. Omsättning per person inklusive företagarna. Siffrorna är 1000 €.
3. Driftsbidrag i procentar av omsättningen.
4. Driftskapital i procentar av omsättningen. Siffran berättar hur mycket rörelsekapital 
    företag har krävt för att driva. 
5. Driftskapitall per anställd person. 
6. Omsättningstilgångar i procentar av omsättningen.
7. Förändring av omsättning</t>
        </r>
      </text>
    </comment>
    <comment ref="G5" authorId="1" shapeId="0" xr:uid="{200AF24D-C115-4D09-BB82-356D14809F0B}">
      <text>
        <r>
          <rPr>
            <sz val="10"/>
            <color indexed="8"/>
            <rFont val="Tahoma"/>
            <family val="2"/>
          </rPr>
          <t>Driftsbidrag-% av omsättning</t>
        </r>
      </text>
    </comment>
    <comment ref="H5" authorId="1" shapeId="0" xr:uid="{BF47EBE3-E098-4E4A-887C-4748314E0D48}">
      <text>
        <r>
          <rPr>
            <sz val="10"/>
            <color indexed="8"/>
            <rFont val="Tahoma"/>
            <family val="2"/>
          </rPr>
          <t>Behovet av driftskapital i procentar av omsättning.</t>
        </r>
      </text>
    </comment>
    <comment ref="I5" authorId="1" shapeId="0" xr:uid="{CDCBC956-FD6E-41E8-8B55-9E48EF04A2D2}">
      <text>
        <r>
          <rPr>
            <sz val="10"/>
            <color indexed="8"/>
            <rFont val="Tahoma"/>
            <family val="2"/>
          </rPr>
          <t>Siffran berättar behovet av driftskapital  per anställd person.</t>
        </r>
      </text>
    </comment>
    <comment ref="K5" authorId="1" shapeId="0" xr:uid="{DE08CFA1-F83F-4FE8-99CB-86446380E4E2}">
      <text>
        <r>
          <rPr>
            <sz val="10"/>
            <color indexed="8"/>
            <rFont val="Tahoma"/>
            <family val="2"/>
          </rPr>
          <t>Förändring av omsättning /år</t>
        </r>
      </text>
    </comment>
    <comment ref="O5" authorId="1" shapeId="0" xr:uid="{8080C281-DF2A-4A1D-AF93-DA353B058C2D}">
      <text>
        <r>
          <rPr>
            <sz val="10"/>
            <color indexed="8"/>
            <rFont val="Tahoma"/>
            <family val="2"/>
          </rPr>
          <t>Driftsbidrag-% av omsättning</t>
        </r>
      </text>
    </comment>
    <comment ref="P5" authorId="1" shapeId="0" xr:uid="{672CB5B2-8391-49B8-83AF-DC3E95D69938}">
      <text>
        <r>
          <rPr>
            <sz val="10"/>
            <color indexed="8"/>
            <rFont val="Tahoma"/>
            <family val="2"/>
          </rPr>
          <t>Behovet av driftskapital i procentar av omsättning.</t>
        </r>
      </text>
    </comment>
    <comment ref="Q5" authorId="1" shapeId="0" xr:uid="{691C2A0E-A928-4FB9-8E11-3A8904FAF3EB}">
      <text>
        <r>
          <rPr>
            <sz val="10"/>
            <color indexed="8"/>
            <rFont val="Tahoma"/>
            <family val="2"/>
          </rPr>
          <t>Siffran berättar behovet av driftskapital  per anställd person.</t>
        </r>
      </text>
    </comment>
    <comment ref="S5" authorId="1" shapeId="0" xr:uid="{2D4D10AD-3598-4992-98C2-23AB19090769}">
      <text>
        <r>
          <rPr>
            <sz val="10"/>
            <color indexed="8"/>
            <rFont val="Tahoma"/>
            <family val="2"/>
          </rPr>
          <t>Förändring av omsättning /år</t>
        </r>
      </text>
    </comment>
    <comment ref="W5" authorId="1" shapeId="0" xr:uid="{BC603FDF-D80B-4E25-B1C4-877D85A796E1}">
      <text>
        <r>
          <rPr>
            <sz val="10"/>
            <color indexed="8"/>
            <rFont val="Tahoma"/>
            <family val="2"/>
          </rPr>
          <t>Driftsbidrag-% av omsättning</t>
        </r>
      </text>
    </comment>
    <comment ref="X5" authorId="1" shapeId="0" xr:uid="{8877FA5A-0019-4E75-951C-19CE3B43585C}">
      <text>
        <r>
          <rPr>
            <sz val="10"/>
            <color indexed="8"/>
            <rFont val="Tahoma"/>
            <family val="2"/>
          </rPr>
          <t>Behovet av driftskapital i procentar av omsättning.</t>
        </r>
      </text>
    </comment>
    <comment ref="Y5" authorId="1" shapeId="0" xr:uid="{31C7B54F-F46E-4B4F-8970-73685AFE7F8F}">
      <text>
        <r>
          <rPr>
            <sz val="10"/>
            <color indexed="8"/>
            <rFont val="Tahoma"/>
            <family val="2"/>
          </rPr>
          <t>Siffran berättar behovet av driftskapital  per anställd person.</t>
        </r>
      </text>
    </comment>
    <comment ref="AA5" authorId="1" shapeId="0" xr:uid="{24B9C6BD-CF33-494E-A4A9-53CBFF83F702}">
      <text>
        <r>
          <rPr>
            <sz val="10"/>
            <color indexed="8"/>
            <rFont val="Tahoma"/>
            <family val="2"/>
          </rPr>
          <t>Förändring av omsättning /år</t>
        </r>
      </text>
    </comment>
    <comment ref="B6" authorId="0" shapeId="0" xr:uid="{00000000-0006-0000-0E00-000004000000}">
      <text>
        <r>
          <rPr>
            <b/>
            <sz val="9"/>
            <color indexed="81"/>
            <rFont val="Tahoma"/>
            <family val="2"/>
          </rPr>
          <t>Skriv branschnumret i tabell 
K3 Resultat eller FS3 Resultat, varefter jämförelsevärden  syns.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<sst xmlns="http://schemas.openxmlformats.org/spreadsheetml/2006/main" count="2427" uniqueCount="872">
  <si>
    <t xml:space="preserve"> </t>
  </si>
  <si>
    <t>1. VUOSI</t>
  </si>
  <si>
    <t xml:space="preserve">2. VUOSI </t>
  </si>
  <si>
    <t>TULOVERON MÄÄRÄ ENNUSTEEN MUKAISELLA MYYNNILLÄ</t>
  </si>
  <si>
    <t>1.</t>
  </si>
  <si>
    <t>2.</t>
  </si>
  <si>
    <t>3.</t>
  </si>
  <si>
    <t>4.</t>
  </si>
  <si>
    <t>5.</t>
  </si>
  <si>
    <t>6.</t>
  </si>
  <si>
    <t>7.</t>
  </si>
  <si>
    <t>8.</t>
  </si>
  <si>
    <t>9.</t>
  </si>
  <si>
    <t>10.</t>
  </si>
  <si>
    <t>3. VUOSI</t>
  </si>
  <si>
    <t>Kaupan laskelma</t>
  </si>
  <si>
    <t>Teollisuuden laskelma</t>
  </si>
  <si>
    <t xml:space="preserve"> - rakennusten poistoprosentti</t>
  </si>
  <si>
    <t xml:space="preserve"> - koneiden ja kaluston poistoprosentti</t>
  </si>
  <si>
    <t>Yhteensä</t>
  </si>
  <si>
    <t xml:space="preserve"> - rakennusten kirjanpitoarvo kauden lopussa</t>
  </si>
  <si>
    <t xml:space="preserve"> - koneiden kirjanpitoarvo kauden lopussa</t>
  </si>
  <si>
    <t xml:space="preserve"> - vuosipoisto rakennuksista</t>
  </si>
  <si>
    <t xml:space="preserve"> - vuosipoisto koneista</t>
  </si>
  <si>
    <t xml:space="preserve"> - Maa-alueet</t>
  </si>
  <si>
    <t xml:space="preserve"> - Verottomat kiinteistöt</t>
  </si>
  <si>
    <t>Korko-%</t>
  </si>
  <si>
    <t>Pääoma</t>
  </si>
  <si>
    <t>Finnvera</t>
  </si>
  <si>
    <t>Lainat</t>
  </si>
  <si>
    <t>Laina 1</t>
  </si>
  <si>
    <t>Laina 2</t>
  </si>
  <si>
    <t>KORKOKULUT VUODESSA</t>
  </si>
  <si>
    <t>2. VUOSI</t>
  </si>
  <si>
    <t>1 VAPAAV.</t>
  </si>
  <si>
    <t>2 VAPAAV.</t>
  </si>
  <si>
    <t>EI VAPAATA</t>
  </si>
  <si>
    <t>LAINAN LYHENNYKSET VUODESSA</t>
  </si>
  <si>
    <t>LAINAKULUT VUODESSA</t>
  </si>
  <si>
    <t>LAINAA JÄLJELLÄ KAUDEN LOPUSSA</t>
  </si>
  <si>
    <t>Tuki-%</t>
  </si>
  <si>
    <t>Tuot. 1 - 5</t>
  </si>
  <si>
    <t>Tuot. 1 - 11</t>
  </si>
  <si>
    <t>Tuott. 1 -17</t>
  </si>
  <si>
    <t>Suorite 6</t>
  </si>
  <si>
    <t>Suor. 12</t>
  </si>
  <si>
    <t>1 - 5</t>
  </si>
  <si>
    <t>1 - 11</t>
  </si>
  <si>
    <t>Tarvike 1</t>
  </si>
  <si>
    <t>Tarvike 6</t>
  </si>
  <si>
    <t>Tarvike 12</t>
  </si>
  <si>
    <t>1 - 17</t>
  </si>
  <si>
    <t>Kone</t>
  </si>
  <si>
    <t>Poma alv 0%</t>
  </si>
  <si>
    <t>Tuki</t>
  </si>
  <si>
    <t>Leasingmaksuvähennys</t>
  </si>
  <si>
    <t>ELY -yht.</t>
  </si>
  <si>
    <t>Maksuaika</t>
  </si>
  <si>
    <t>LEASINGRAHOITUKSEN KUSTANNUKSET</t>
  </si>
  <si>
    <t>Jäännösarvo</t>
  </si>
  <si>
    <t>Jäännös-%</t>
  </si>
  <si>
    <t>Vuosikulu</t>
  </si>
  <si>
    <t>ka-tuki %</t>
  </si>
  <si>
    <t xml:space="preserve"> - Kiinteistöjen osto/rak.</t>
  </si>
  <si>
    <t>Kiinteistöt</t>
  </si>
  <si>
    <t>Tuki verottomista ost.</t>
  </si>
  <si>
    <t>Ely-tuki yhteensä</t>
  </si>
  <si>
    <t>OSAMAKSURAHOITUS</t>
  </si>
  <si>
    <t>Korko/kk</t>
  </si>
  <si>
    <t>Laina-aika kk</t>
  </si>
  <si>
    <t>Vuosimaksu</t>
  </si>
  <si>
    <t>Koronlaskentakuukausi</t>
  </si>
  <si>
    <t>ELY - TUET</t>
  </si>
  <si>
    <t>KIRJANPITOARVOT</t>
  </si>
  <si>
    <t>Kirjanpitoarvo</t>
  </si>
  <si>
    <t>LAINOJEN KUSTANNUKSET</t>
  </si>
  <si>
    <t>%</t>
  </si>
  <si>
    <t>Leasingmaksuerät vuodessa kk-maksuina</t>
  </si>
  <si>
    <t>YHT</t>
  </si>
  <si>
    <t xml:space="preserve"> Muut kiinteät kulut sis. Alv</t>
  </si>
  <si>
    <t xml:space="preserve"> Muut jäsenmaksut</t>
  </si>
  <si>
    <t>YEL-YRITTÄJÄT</t>
  </si>
  <si>
    <t>Rahapalkat</t>
  </si>
  <si>
    <t>Luontaisedut</t>
  </si>
  <si>
    <t>Pidätyksen  alaiset palkat</t>
  </si>
  <si>
    <t>Veronpidätys</t>
  </si>
  <si>
    <t>TT-vakuutusmaksupidätys</t>
  </si>
  <si>
    <t>Nettopalkat</t>
  </si>
  <si>
    <t>Tilityksen Verottajalle</t>
  </si>
  <si>
    <t>TYÖNTEKIJÄT</t>
  </si>
  <si>
    <t>TyEL ja TT-maksu työntekijä</t>
  </si>
  <si>
    <t>Nettopalkka</t>
  </si>
  <si>
    <t>ARVONLISÄVERON LASKENTA</t>
  </si>
  <si>
    <t>MYYNNIN ALV</t>
  </si>
  <si>
    <t>ALV %</t>
  </si>
  <si>
    <t xml:space="preserve"> - maksettava alv</t>
  </si>
  <si>
    <t>MYYNNIN ALV YHT.</t>
  </si>
  <si>
    <t>OSTOJEN ALV</t>
  </si>
  <si>
    <t xml:space="preserve"> - vähennettävä alv</t>
  </si>
  <si>
    <t>VÄHENNETTÄVÄ ALV</t>
  </si>
  <si>
    <t>MAKSETTAVA ALV</t>
  </si>
  <si>
    <t xml:space="preserve"> Työterveyshuolto, vap.eht. hlöstökulut</t>
  </si>
  <si>
    <t xml:space="preserve"> Yrittäjän työttömyyskassamaksut</t>
  </si>
  <si>
    <t>Verottomat</t>
  </si>
  <si>
    <t>Rahoituksen kokonaiskulut</t>
  </si>
  <si>
    <t>3.1</t>
  </si>
  <si>
    <t>3.2</t>
  </si>
  <si>
    <t>3.3</t>
  </si>
  <si>
    <t>3.6</t>
  </si>
  <si>
    <t>3.7</t>
  </si>
  <si>
    <t>3.8</t>
  </si>
  <si>
    <t>3.9</t>
  </si>
  <si>
    <t>3.10</t>
  </si>
  <si>
    <t>3.11</t>
  </si>
  <si>
    <t>3.12</t>
  </si>
  <si>
    <t>3.13</t>
  </si>
  <si>
    <t>3.14</t>
  </si>
  <si>
    <t>3.15</t>
  </si>
  <si>
    <t>3.16</t>
  </si>
  <si>
    <t>3.17</t>
  </si>
  <si>
    <t>3.18</t>
  </si>
  <si>
    <t>3.19</t>
  </si>
  <si>
    <t>3.20</t>
  </si>
  <si>
    <t>3.21</t>
  </si>
  <si>
    <t>1/20XY - 12/20XY</t>
  </si>
  <si>
    <t>Toimiala</t>
  </si>
  <si>
    <t>Leasing-käisttelykul/kk</t>
  </si>
  <si>
    <t>Jäännösarvon korko vuodessa</t>
  </si>
  <si>
    <t>Tilinhoitomaksu/kk</t>
  </si>
  <si>
    <t>3.4</t>
  </si>
  <si>
    <t>3.22</t>
  </si>
  <si>
    <t xml:space="preserve"> Kokous- ja neuvottelukulut</t>
  </si>
  <si>
    <t xml:space="preserve"> Työvaatteet, suojavälineet</t>
  </si>
  <si>
    <t xml:space="preserve"> Toimistotarvikkeet</t>
  </si>
  <si>
    <t xml:space="preserve"> Edustustukulut</t>
  </si>
  <si>
    <t>Muut kiinteät alv 0</t>
  </si>
  <si>
    <t>19.1</t>
  </si>
  <si>
    <t>19.2</t>
  </si>
  <si>
    <t>19.3</t>
  </si>
  <si>
    <t>19.4</t>
  </si>
  <si>
    <t>19.5</t>
  </si>
  <si>
    <t>Poma alv 24 %</t>
  </si>
  <si>
    <t>LOMAPALKKAVELAT</t>
  </si>
  <si>
    <t>Lomapalkat = pidätyksen alaiset palkat</t>
  </si>
  <si>
    <t xml:space="preserve"> - josta lomapalkkavaraus</t>
  </si>
  <si>
    <t>Lomapalkkavelka</t>
  </si>
  <si>
    <t>Laskennallinen sivukuluvelka % lomapakkavelasta</t>
  </si>
  <si>
    <t>Maksuehto</t>
  </si>
  <si>
    <t>&lt;31 pv</t>
  </si>
  <si>
    <t>Kassaan 1. kk</t>
  </si>
  <si>
    <t>31 - 60 pv</t>
  </si>
  <si>
    <t>Kassaan 2. kk</t>
  </si>
  <si>
    <t>61 - 90 pv</t>
  </si>
  <si>
    <t>Kassaan 3. kk</t>
  </si>
  <si>
    <t>91 - 120 pv</t>
  </si>
  <si>
    <t>Kassaan 4. kk</t>
  </si>
  <si>
    <t>121 - 150 pv</t>
  </si>
  <si>
    <t>Kassaan 5. kk</t>
  </si>
  <si>
    <t>150  - 180 pv</t>
  </si>
  <si>
    <t>Kassaan 6. kk</t>
  </si>
  <si>
    <t>Kassaan 7. kk</t>
  </si>
  <si>
    <t>Maksut tilille myynneistä</t>
  </si>
  <si>
    <t>Maksut yhteensä</t>
  </si>
  <si>
    <t>Laskutusmyynti kaudella</t>
  </si>
  <si>
    <t xml:space="preserve">Kassaa 1. kk </t>
  </si>
  <si>
    <t>K1 - TAULUKKO</t>
  </si>
  <si>
    <t>YP1 - TAULUKKO</t>
  </si>
  <si>
    <t>K1</t>
  </si>
  <si>
    <t>YP1</t>
  </si>
  <si>
    <t>Lisätään K3/YP3 rivi 44</t>
  </si>
  <si>
    <t xml:space="preserve"> Taulukosta K1 tai YP1 kohta 8</t>
  </si>
  <si>
    <t>3.24</t>
  </si>
  <si>
    <t>3.25</t>
  </si>
  <si>
    <t>3.23</t>
  </si>
  <si>
    <t>3.26</t>
  </si>
  <si>
    <t>3.5</t>
  </si>
  <si>
    <t>Finnvera, pääoma</t>
  </si>
  <si>
    <t>Lyhennys</t>
  </si>
  <si>
    <t>Korko euroa</t>
  </si>
  <si>
    <t>Kuukaudet</t>
  </si>
  <si>
    <t>Korko € tilik. 6 kk</t>
  </si>
  <si>
    <t>7 kk</t>
  </si>
  <si>
    <t>10 kk</t>
  </si>
  <si>
    <t>11 kk</t>
  </si>
  <si>
    <t>12 kk</t>
  </si>
  <si>
    <t>13 kk</t>
  </si>
  <si>
    <t>14 kk</t>
  </si>
  <si>
    <t>15 kk</t>
  </si>
  <si>
    <t>16 kk</t>
  </si>
  <si>
    <t>17 kk</t>
  </si>
  <si>
    <t>18 kk</t>
  </si>
  <si>
    <t>9 kk</t>
  </si>
  <si>
    <t xml:space="preserve">8 kk </t>
  </si>
  <si>
    <t>Korko kk:n kohdalla</t>
  </si>
  <si>
    <t>0 - 6 kk</t>
  </si>
  <si>
    <t>Laina 1 , pääoma</t>
  </si>
  <si>
    <t>Laina 2 , pääoma</t>
  </si>
  <si>
    <t>Lainapääomat</t>
  </si>
  <si>
    <t>Lyhennykset</t>
  </si>
  <si>
    <t>Osamaksut, PO</t>
  </si>
  <si>
    <t>7 - 9 kk</t>
  </si>
  <si>
    <t>10-12 kk</t>
  </si>
  <si>
    <t>13-15kk</t>
  </si>
  <si>
    <t>16-18 KK</t>
  </si>
  <si>
    <t>19-21 KK</t>
  </si>
  <si>
    <t>22 - 24 KK</t>
  </si>
  <si>
    <t>25 - 27 KK</t>
  </si>
  <si>
    <t>28 - 30 kkl</t>
  </si>
  <si>
    <t>21 - 33 kk</t>
  </si>
  <si>
    <t>34 - 36 kk</t>
  </si>
  <si>
    <t>37 - 39 kk</t>
  </si>
  <si>
    <t>40 - 42</t>
  </si>
  <si>
    <t>Korko kaudelta</t>
  </si>
  <si>
    <t>Maksu/3 kk</t>
  </si>
  <si>
    <t>Lainan lyhennys kaudelta</t>
  </si>
  <si>
    <t xml:space="preserve">      </t>
  </si>
  <si>
    <t>Korot € tlik. 6 kk</t>
  </si>
  <si>
    <t>Lyhennykset 6 kk</t>
  </si>
  <si>
    <t>Lyhennys kaudella</t>
  </si>
  <si>
    <t>(siirtyy K3 ELY:n kohtaan)</t>
  </si>
  <si>
    <t>(siirtyy YP3 ELY:n kohtaan)</t>
  </si>
  <si>
    <t>Pääoma/kauden loppu</t>
  </si>
  <si>
    <t>Lainat+osam. PO</t>
  </si>
  <si>
    <t>Finnvera+lainat yht. PO kauden lopussa</t>
  </si>
  <si>
    <t>Lyhennykset kaudella</t>
  </si>
  <si>
    <t>Korot kaudella tilik. 6 kk</t>
  </si>
  <si>
    <t>Korot kaudella  yht.</t>
  </si>
  <si>
    <t>LAINAT JA OSAMAKSUT YHTEENSÄ</t>
  </si>
  <si>
    <t xml:space="preserve"> Taulukosta K1 tai YP1 kohta 24</t>
  </si>
  <si>
    <t xml:space="preserve"> Taulukosta K1 tai YP1 kohta 23</t>
  </si>
  <si>
    <t xml:space="preserve"> Taulukosta K1 tai YP1 kohta 19</t>
  </si>
  <si>
    <t xml:space="preserve"> Taulukosta K1 tai YP1 kohta 18</t>
  </si>
  <si>
    <t xml:space="preserve"> Taulukosta K1 tai YP1 kohta 20</t>
  </si>
  <si>
    <t xml:space="preserve"> Taulukosta K1 tai YP1 kohta 7</t>
  </si>
  <si>
    <t>Taulukosta K1 tai YP1 kohta 16</t>
  </si>
  <si>
    <t>Guide</t>
  </si>
  <si>
    <t>KONSUMENTTJÄNSTER</t>
  </si>
  <si>
    <t>K1 VERKSAMHETSKOSTNADER</t>
  </si>
  <si>
    <t>Företagets namn</t>
  </si>
  <si>
    <t>IFYLLNADSDIREKTIV</t>
  </si>
  <si>
    <t>VINK FÖR UTSKRIFT</t>
  </si>
  <si>
    <t>Räkenskapsperiodens längd (månader)</t>
  </si>
  <si>
    <t xml:space="preserve"> - FöPL-företagarnas naturaförmån / månad</t>
  </si>
  <si>
    <t xml:space="preserve"> - antalet arbetsmånader</t>
  </si>
  <si>
    <t xml:space="preserve"> - varav räntans andel</t>
  </si>
  <si>
    <t xml:space="preserve"> - lånets kapital i slutet av perioden</t>
  </si>
  <si>
    <t>FÖRETAGETS NETTOAVKASTNINGSMÅLSÄTTNING</t>
  </si>
  <si>
    <t xml:space="preserve"> - med avbetalning finansieras</t>
  </si>
  <si>
    <t>Penninglönekostnader (ArPL - anställda och ArPL - företagare)</t>
  </si>
  <si>
    <t xml:space="preserve"> 6.1 Företagarpensionsavgift (FöPL-avgift)</t>
  </si>
  <si>
    <t xml:space="preserve"> - FöPL-betalningsprocent som används i uträkningen</t>
  </si>
  <si>
    <t xml:space="preserve"> - FöPL-betalningens årslön = lönen i punkt 1 (kan förändras)</t>
  </si>
  <si>
    <t xml:space="preserve"> 6.2 ArPL-avgift och övriga pensionsavgifter</t>
  </si>
  <si>
    <t xml:space="preserve"> - ArPL-försäkringens betalningsprocent sammanlagt </t>
  </si>
  <si>
    <t xml:space="preserve"> - frivilliga pensionsavgifter</t>
  </si>
  <si>
    <t xml:space="preserve"> - FöPL-företagarnas arbetslöshetskassa-avgifter </t>
  </si>
  <si>
    <t xml:space="preserve"> - övriga ArPL-personernas personförsäkringsavgifter </t>
  </si>
  <si>
    <t xml:space="preserve"> - utbildning av personal</t>
  </si>
  <si>
    <t xml:space="preserve"> - rekreations- och intresseverksamhet</t>
  </si>
  <si>
    <t xml:space="preserve"> - arbetshälsovård </t>
  </si>
  <si>
    <t xml:space="preserve"> - arbetskläder och skyddsmedel </t>
  </si>
  <si>
    <t xml:space="preserve"> - övriga frivilliga personalkostnader</t>
  </si>
  <si>
    <t xml:space="preserve"> - hyror och vederlag</t>
  </si>
  <si>
    <t xml:space="preserve"> - hyra/vederlag i månaden (Euro)</t>
  </si>
  <si>
    <t xml:space="preserve"> - el och gas </t>
  </si>
  <si>
    <t xml:space="preserve"> - vatten och avloppsvatten</t>
  </si>
  <si>
    <t xml:space="preserve"> - värme </t>
  </si>
  <si>
    <t xml:space="preserve"> - städning och rengöring, underhållskostnader för uteområden </t>
  </si>
  <si>
    <t xml:space="preserve"> - avfallsservice</t>
  </si>
  <si>
    <t xml:space="preserve"> - bevakning, låsning, övriga kostnader</t>
  </si>
  <si>
    <t xml:space="preserve"> - värdet på den egendom som skall brandförsäkras</t>
  </si>
  <si>
    <t xml:space="preserve"> - fastighetsskatt</t>
  </si>
  <si>
    <t xml:space="preserve"> - med leasing finansieras</t>
  </si>
  <si>
    <t xml:space="preserve"> - övriga maskinkostnader</t>
  </si>
  <si>
    <t xml:space="preserve"> - program och uppdatering </t>
  </si>
  <si>
    <t xml:space="preserve"> - service och reparationer</t>
  </si>
  <si>
    <t xml:space="preserve"> - övriga maskin- och inventariekostnader</t>
  </si>
  <si>
    <t xml:space="preserve"> - körkilometer per år</t>
  </si>
  <si>
    <t xml:space="preserve"> - kilometerersättning € / km</t>
  </si>
  <si>
    <t xml:space="preserve"> - till resekostnader berättigade arbetsdagar st./år</t>
  </si>
  <si>
    <t xml:space="preserve"> - dagtraktamente euro / dag</t>
  </si>
  <si>
    <t xml:space="preserve"> - resebiljetter och inkvarteringskostnader</t>
  </si>
  <si>
    <t xml:space="preserve"> - måltid under resan </t>
  </si>
  <si>
    <t xml:space="preserve"> - övriga resekostnader</t>
  </si>
  <si>
    <t xml:space="preserve"> - reklambyråtjänster, trycksaker</t>
  </si>
  <si>
    <t xml:space="preserve"> - direkt- och annonsreklam</t>
  </si>
  <si>
    <t xml:space="preserve"> - mässa, utställning, sales promotion</t>
  </si>
  <si>
    <t xml:space="preserve"> - övriga marknadsföringskostnader (bl.a. Gramex)</t>
  </si>
  <si>
    <t xml:space="preserve"> - hyror av arbetskraft </t>
  </si>
  <si>
    <t xml:space="preserve"> - ekonomiförvaltningstjänster, revision</t>
  </si>
  <si>
    <t xml:space="preserve"> - medlemsavgifter av Företagarförening o.d.</t>
  </si>
  <si>
    <t xml:space="preserve"> - övriga medlemsavgifter </t>
  </si>
  <si>
    <t xml:space="preserve"> - telefon- och mobiltelefonkostnader</t>
  </si>
  <si>
    <t xml:space="preserve"> - dataöverföringskostnader </t>
  </si>
  <si>
    <t xml:space="preserve"> - kostnader av penningrörelse</t>
  </si>
  <si>
    <t xml:space="preserve"> - ansvars- och avbrottsförsäkring, maskinskada</t>
  </si>
  <si>
    <t xml:space="preserve"> - övriga försäkringar</t>
  </si>
  <si>
    <t>FÖRSÄLJNINGSINKOMSTER TÄCKER KOSTNADERNA</t>
  </si>
  <si>
    <t>SÄKERHETSMARGINAL I JÄMFÖRELSE MED FÖRSÄLJNING</t>
  </si>
  <si>
    <t>OMSÄTTNING</t>
  </si>
  <si>
    <t>Mervärdesskattesumma</t>
  </si>
  <si>
    <t>FÖRSÄLJNING SAMMANLAGT</t>
  </si>
  <si>
    <t>Företagets inkomstskatter under räkenskapsperioden</t>
  </si>
  <si>
    <t xml:space="preserve">ÖPPETHÅLLNING VECKOR/ÅR </t>
  </si>
  <si>
    <t xml:space="preserve">ÖPPETHÅLLNING DAGAR/VECKA </t>
  </si>
  <si>
    <t>(FÖRVERKLIGAD) FÖRSÄLJNING PER DAG</t>
  </si>
  <si>
    <t>Ansvar av programmets rättighet och resultaten</t>
  </si>
  <si>
    <t xml:space="preserve">Användaren är medveten, att programmet kan innehålla fel och ge felaktiga resultaten. </t>
  </si>
  <si>
    <t xml:space="preserve">Resultaten är riktningsgivande och användaren har eget ansvar om tolkning av resultaten. </t>
  </si>
  <si>
    <t>Kostnadsstegrings-%</t>
  </si>
  <si>
    <t>Anteckningar (cellområdet kan användas liksom i Excel-program)</t>
  </si>
  <si>
    <t>Lönehöjnings-%</t>
  </si>
  <si>
    <t>K2 FÖRSÄLJNINGSPROGNOS</t>
  </si>
  <si>
    <t>Period 1</t>
  </si>
  <si>
    <t>Period 2</t>
  </si>
  <si>
    <t>Period 3</t>
  </si>
  <si>
    <t>Räkenskapsperiodens längd</t>
  </si>
  <si>
    <t xml:space="preserve"> Produkt/tjänst 1</t>
  </si>
  <si>
    <t xml:space="preserve"> - försäljningsmängd i enheter</t>
  </si>
  <si>
    <t xml:space="preserve"> - svinn på inköpsmaterial, procent</t>
  </si>
  <si>
    <t xml:space="preserve"> - försäljningsbidrags-%</t>
  </si>
  <si>
    <t>Datum</t>
  </si>
  <si>
    <t>K3 RESULTAT</t>
  </si>
  <si>
    <t>PENNINGBEHOV OCH PENNINGSKÄLLOR</t>
  </si>
  <si>
    <t>EURO</t>
  </si>
  <si>
    <t>Bidrag-%</t>
  </si>
  <si>
    <t>Sammanlagt</t>
  </si>
  <si>
    <t>Penningbehov - Penningkällor, differens</t>
  </si>
  <si>
    <t>Långivare</t>
  </si>
  <si>
    <t>Ränta-%</t>
  </si>
  <si>
    <t>Betalningstid</t>
  </si>
  <si>
    <t>Kapital</t>
  </si>
  <si>
    <t>RESULTATSKALKYL</t>
  </si>
  <si>
    <t>RÄKENSKAPSPERIODENS LÄNGD (Månader)</t>
  </si>
  <si>
    <t>Personal i medeltal</t>
  </si>
  <si>
    <t xml:space="preserve"> Försäljningsintäkter</t>
  </si>
  <si>
    <t xml:space="preserve">  - mervärdesskatt</t>
  </si>
  <si>
    <t xml:space="preserve"> Omsättning</t>
  </si>
  <si>
    <t xml:space="preserve"> Material och förnödenheter</t>
  </si>
  <si>
    <t xml:space="preserve"> Personalkostnader</t>
  </si>
  <si>
    <t xml:space="preserve"> Hyror</t>
  </si>
  <si>
    <t xml:space="preserve"> Marknadsföring</t>
  </si>
  <si>
    <t xml:space="preserve"> Övriga kostnader av affärsverksamhet</t>
  </si>
  <si>
    <t xml:space="preserve"> Driftsbidrag</t>
  </si>
  <si>
    <t xml:space="preserve"> Finansieringskostnader</t>
  </si>
  <si>
    <t xml:space="preserve"> Skatten</t>
  </si>
  <si>
    <t xml:space="preserve"> - inkomstskatteprocent</t>
  </si>
  <si>
    <t xml:space="preserve"> Finansieringsresultat</t>
  </si>
  <si>
    <t xml:space="preserve"> Avskrivningar</t>
  </si>
  <si>
    <t xml:space="preserve"> - avskrivningsprocent av byggnader</t>
  </si>
  <si>
    <t xml:space="preserve"> - avskrivningsprocent av maskiner och inventarier</t>
  </si>
  <si>
    <t xml:space="preserve"> Nettoresultat</t>
  </si>
  <si>
    <t xml:space="preserve"> Totalresultat</t>
  </si>
  <si>
    <t xml:space="preserve"> Affärslokaler ytan hyror/vederlag</t>
  </si>
  <si>
    <t xml:space="preserve"> Övriga personalkostnader</t>
  </si>
  <si>
    <t xml:space="preserve"> Bilar/arbetsmaskiner, affärsbruk</t>
  </si>
  <si>
    <t xml:space="preserve"> Kostnader av ADB-apparater och -program</t>
  </si>
  <si>
    <t xml:space="preserve"> Övriga maskin- och apparaturutgifter</t>
  </si>
  <si>
    <t>Försäljningsbidrag (euro)</t>
  </si>
  <si>
    <t xml:space="preserve">Försäljningsinkomster täcker kostnaderna </t>
  </si>
  <si>
    <t>Säkerhetsmarginal procentar av försäljning</t>
  </si>
  <si>
    <t>Omsättning (euro)</t>
  </si>
  <si>
    <t>Omsättning/person (euro)</t>
  </si>
  <si>
    <t>Personalkostnader/person (euro)</t>
  </si>
  <si>
    <t>Alternativ 1</t>
  </si>
  <si>
    <t>Omsättningen förverkligas</t>
  </si>
  <si>
    <t>Utgifterna förverkligas</t>
  </si>
  <si>
    <t>Finansieringsresultat (ej exakt)</t>
  </si>
  <si>
    <t>Alternativ 2</t>
  </si>
  <si>
    <t>BRANSCHJÄMFÖRELSE</t>
  </si>
  <si>
    <t>Jämförelse till numret</t>
  </si>
  <si>
    <t>Företagets bransch</t>
  </si>
  <si>
    <t>Ansvar av programmets rättighet och resultatet</t>
  </si>
  <si>
    <t>Övriga kostnader av affärsverksamheten, utredning gällande 1. räkenskapsperioden</t>
  </si>
  <si>
    <t>Driftsbidrag-%</t>
  </si>
  <si>
    <t>FT5 Nyföretagets ekonomiplan</t>
  </si>
  <si>
    <t xml:space="preserve">KASSABUDGET </t>
  </si>
  <si>
    <t>FT5 EKONOMIPLAN</t>
  </si>
  <si>
    <t xml:space="preserve"> - antalet personer</t>
  </si>
  <si>
    <t xml:space="preserve"> - timlön/månadslön</t>
  </si>
  <si>
    <t xml:space="preserve"> - arbetstimmar/månad/pers. (månadslön=1)</t>
  </si>
  <si>
    <t xml:space="preserve"> - lönetillägg, procentar av penninglönen</t>
  </si>
  <si>
    <t xml:space="preserve"> - naturaförmån per månad/ person</t>
  </si>
  <si>
    <t xml:space="preserve"> - antalet lönebetalningsmånader / person</t>
  </si>
  <si>
    <t xml:space="preserve"> - beskattningsbara inkomster per år</t>
  </si>
  <si>
    <t xml:space="preserve"> - penninglöner per år</t>
  </si>
  <si>
    <t xml:space="preserve"> Penninglöner sammanlagt</t>
  </si>
  <si>
    <t xml:space="preserve"> Naturaförmån sammanlagt</t>
  </si>
  <si>
    <t xml:space="preserve"> Beskattningsbara inkomster slgt</t>
  </si>
  <si>
    <t>Oknings-%</t>
  </si>
  <si>
    <t xml:space="preserve">DELTID ELLER HELTID UPPGIFTER </t>
  </si>
  <si>
    <t xml:space="preserve">TJÄNSTER FÖR FÖRETAG OCH SAMFUND </t>
  </si>
  <si>
    <t>FS1 VERKSAMHETSKOSTNADER</t>
  </si>
  <si>
    <t xml:space="preserve"> - FöPL-företagarnas penninglöner/månad brutto</t>
  </si>
  <si>
    <t xml:space="preserve"> - FöPL-företagarnas naturaförmåner / månad</t>
  </si>
  <si>
    <t>FS2 FÖRSÄLJNINGSPROGNOS</t>
  </si>
  <si>
    <t xml:space="preserve"> - inköps-/försäljningsmängd i enheter</t>
  </si>
  <si>
    <t xml:space="preserve"> - försäljningsbidrags - %</t>
  </si>
  <si>
    <t xml:space="preserve"> Prestation 12 Omsättning</t>
  </si>
  <si>
    <t xml:space="preserve"> Prestation 13 Omsättning</t>
  </si>
  <si>
    <t xml:space="preserve"> Prestation 14 Omsättning</t>
  </si>
  <si>
    <t xml:space="preserve"> Prestation 15 Omsättning</t>
  </si>
  <si>
    <t xml:space="preserve"> Prestation 16 Omsättning</t>
  </si>
  <si>
    <t xml:space="preserve"> Prestation 17 Omsättning</t>
  </si>
  <si>
    <t>Produkt-/underleverans försälj. 12</t>
  </si>
  <si>
    <t>Produkt-/underleverans försälj. 15</t>
  </si>
  <si>
    <t>Produkt-/underleverans försälj. 16</t>
  </si>
  <si>
    <t>Produkt-/underleverans försälj. 17</t>
  </si>
  <si>
    <t>Produkt-/underleverans försälj. 13</t>
  </si>
  <si>
    <t>Produkt-/underleverans försälj. 14</t>
  </si>
  <si>
    <t>FS3 RESULTAT</t>
  </si>
  <si>
    <t xml:space="preserve"> 2. Maskiner, inventarier slgt</t>
  </si>
  <si>
    <t>FS3 Kannattavuus, rahoitus</t>
  </si>
  <si>
    <t>FÖRSÄLJNINGSBIDRAG ENLIGT FÖRSÄLJNINGSPROGNOSEN</t>
  </si>
  <si>
    <t>INTÄKTER</t>
  </si>
  <si>
    <t>INTÄKTER SAMMANLAGT</t>
  </si>
  <si>
    <t>UTGIFTER</t>
  </si>
  <si>
    <t>Moms-%</t>
  </si>
  <si>
    <t>JAN</t>
  </si>
  <si>
    <t>FEB</t>
  </si>
  <si>
    <t>MARS</t>
  </si>
  <si>
    <t>APR</t>
  </si>
  <si>
    <t>MAJ</t>
  </si>
  <si>
    <t>JUNI</t>
  </si>
  <si>
    <t>JULI</t>
  </si>
  <si>
    <t>AUG</t>
  </si>
  <si>
    <t>SEP</t>
  </si>
  <si>
    <t>OKT</t>
  </si>
  <si>
    <t>NOV</t>
  </si>
  <si>
    <t>DEC</t>
  </si>
  <si>
    <t>SLGT</t>
  </si>
  <si>
    <t xml:space="preserve"> - procentuellt försäljning per månad </t>
  </si>
  <si>
    <t xml:space="preserve"> Fakturaförsäljning</t>
  </si>
  <si>
    <t xml:space="preserve"> - betalningsvillkor</t>
  </si>
  <si>
    <t>dagar</t>
  </si>
  <si>
    <t xml:space="preserve"> Råvaru- och materialinköp, köpta tjänster</t>
  </si>
  <si>
    <t xml:space="preserve"> Lokalhyror</t>
  </si>
  <si>
    <t xml:space="preserve"> Leasing- och inventariehyror</t>
  </si>
  <si>
    <t xml:space="preserve"> El-, värme- och vattenkostnader</t>
  </si>
  <si>
    <t xml:space="preserve"> Marknadsföring och reklam</t>
  </si>
  <si>
    <t xml:space="preserve"> Bil/arbetsmaskinkostnader (Moms-avdragbara)</t>
  </si>
  <si>
    <t xml:space="preserve"> Nettolöner</t>
  </si>
  <si>
    <t xml:space="preserve"> Arbetsgivarprestationerna</t>
  </si>
  <si>
    <t xml:space="preserve"> ArPL- och obligatoriska arbetstagarförsäkringar</t>
  </si>
  <si>
    <t xml:space="preserve"> Frivilliga pensionsavgifter</t>
  </si>
  <si>
    <t xml:space="preserve"> Övriga försäkringar, bruksavgifter</t>
  </si>
  <si>
    <t xml:space="preserve"> Låneräntor</t>
  </si>
  <si>
    <t xml:space="preserve"> Inkomstskatt och fastighetsskatt</t>
  </si>
  <si>
    <t xml:space="preserve"> Låneavkortningar</t>
  </si>
  <si>
    <t xml:space="preserve"> Dividender, privata uttag</t>
  </si>
  <si>
    <t xml:space="preserve"> Avbetalningens månadsavgift</t>
  </si>
  <si>
    <t xml:space="preserve"> Placeringar</t>
  </si>
  <si>
    <t xml:space="preserve"> INTÄKTER - UTGIFTER</t>
  </si>
  <si>
    <t>Inkl. Moms</t>
  </si>
  <si>
    <t>Moms 0 %</t>
  </si>
  <si>
    <t xml:space="preserve"> Programmet hämtar siffrorna från följande tabeller</t>
  </si>
  <si>
    <t xml:space="preserve"> Programmet uträknar enligt försäljningsprognosen.</t>
  </si>
  <si>
    <t xml:space="preserve"> Totalförsäljning (period 12 månader), Tabell K3 eller FS3, Resultatskalkyl punkt 1</t>
  </si>
  <si>
    <t xml:space="preserve"> Bidrag, Tabell K3 eller FS3, Resultatskalkyl punkt 9</t>
  </si>
  <si>
    <t xml:space="preserve"> Tabell K1 eller FS1 punkt 8</t>
  </si>
  <si>
    <t xml:space="preserve"> Tabell K1 eller FS1 punkt 10 och punkt 13</t>
  </si>
  <si>
    <t xml:space="preserve"> Tabell K1 eller FS1 punkt 9</t>
  </si>
  <si>
    <t xml:space="preserve"> Tabell K1 eller FS1 punkt 21</t>
  </si>
  <si>
    <t xml:space="preserve"> Tabell K1 eller FS1 punkt 17</t>
  </si>
  <si>
    <t xml:space="preserve"> Tabell K1 eller FS1 punkt 11</t>
  </si>
  <si>
    <t xml:space="preserve"> Tabell K1 eller FS1 punkt 13</t>
  </si>
  <si>
    <t xml:space="preserve"> Tabell K1 eller FS1 punkt 12</t>
  </si>
  <si>
    <t xml:space="preserve"> Tabell K1 eller FS1 punkt 1</t>
  </si>
  <si>
    <t xml:space="preserve"> Tabell K1 eller FS1 punkt 6</t>
  </si>
  <si>
    <t xml:space="preserve"> Tabell "Lönekostnader"</t>
  </si>
  <si>
    <t xml:space="preserve"> Tabell K1 eller FS1 punkt 5</t>
  </si>
  <si>
    <t xml:space="preserve"> Tabell K1 eller FS1 punkt 2</t>
  </si>
  <si>
    <t xml:space="preserve"> Tabell K1 eller FS1 punkt 14 och 15</t>
  </si>
  <si>
    <t xml:space="preserve"> Tabell K1 eller FS1 punkt 25</t>
  </si>
  <si>
    <t xml:space="preserve"> Tabell K1 eller FS1 punkt 4</t>
  </si>
  <si>
    <t xml:space="preserve"> Kontantförsäljning, andels-%</t>
  </si>
  <si>
    <t>Personer/</t>
  </si>
  <si>
    <t>Omsättn./</t>
  </si>
  <si>
    <t>Drifts-</t>
  </si>
  <si>
    <t>företag</t>
  </si>
  <si>
    <t>person</t>
  </si>
  <si>
    <t>Slakt, produktion av köttprodukter</t>
  </si>
  <si>
    <t xml:space="preserve">Bagerier </t>
  </si>
  <si>
    <t xml:space="preserve">Tillverkning av övriga textilvaror </t>
  </si>
  <si>
    <t xml:space="preserve">Tillverkning av kläder </t>
  </si>
  <si>
    <t>Sågning, hyvling och impregnering av trä</t>
  </si>
  <si>
    <t>Tillverkning av byggnadssnickar-produkter</t>
  </si>
  <si>
    <t xml:space="preserve">Tryckning och därtill hörande tjänster </t>
  </si>
  <si>
    <t>Tillverkning av plastprodukter</t>
  </si>
  <si>
    <t xml:space="preserve">Tillverkning av metallkonstruktioner </t>
  </si>
  <si>
    <t>Beläggning och överdragning av metall; metallegoarbeten</t>
  </si>
  <si>
    <t>Tillverkning av maskiner och anordningar</t>
  </si>
  <si>
    <t>Tillverkning av jord- och skogsbruksmaskiner</t>
  </si>
  <si>
    <t>Tillverkning av möbler</t>
  </si>
  <si>
    <t>Tillverkning av köksinredningar och -möbler</t>
  </si>
  <si>
    <t>Mark- och grundarbeten</t>
  </si>
  <si>
    <t>Byggande av bostadshus och andra byggnader</t>
  </si>
  <si>
    <t>Måleriarbeten</t>
  </si>
  <si>
    <t xml:space="preserve">Underhåll och reparation av motorfordon </t>
  </si>
  <si>
    <t xml:space="preserve">Handel med reservdelar och tillbehör till motorfordon </t>
  </si>
  <si>
    <t>Hotellverksamhet</t>
  </si>
  <si>
    <t>Övrig catering- och centralköksverksamhet</t>
  </si>
  <si>
    <t>Bokförings- och bokslutstjänster</t>
  </si>
  <si>
    <t>Reklambyråer</t>
  </si>
  <si>
    <t>Rengöring och lokalvård</t>
  </si>
  <si>
    <t>Fysioterapi</t>
  </si>
  <si>
    <t>KALKYLMÄSSIG KASSA I BÖRJAN</t>
  </si>
  <si>
    <t>Årskostnader Euro</t>
  </si>
  <si>
    <t>LAINAT JA LAINOJEN KOROT YHTEENSÄ</t>
  </si>
  <si>
    <t>Lainat+korot Yht, 6 kk</t>
  </si>
  <si>
    <t>Osamaksut, PO:t alussa</t>
  </si>
  <si>
    <t xml:space="preserve"> Tabell K1 eller FS1 punkt 9 och 22</t>
  </si>
  <si>
    <t xml:space="preserve"> 3. Immateriella investering</t>
  </si>
  <si>
    <t xml:space="preserve"> 3. Immateriella investeringar</t>
  </si>
  <si>
    <t xml:space="preserve"> KASSA I SLUTET AV PERIODEN</t>
  </si>
  <si>
    <t xml:space="preserve"> Finnvera</t>
  </si>
  <si>
    <t xml:space="preserve"> Bank</t>
  </si>
  <si>
    <t>Nr</t>
  </si>
  <si>
    <t>Finansieringsbehov - Finansiering, differens</t>
  </si>
  <si>
    <t xml:space="preserve"> Företagsbidrag, övriga intäkter</t>
  </si>
  <si>
    <t>Läkarcentral, privata läkartjänster</t>
  </si>
  <si>
    <t xml:space="preserve"> - Övriga ArPL-personernas personförsäkringsavgifter </t>
  </si>
  <si>
    <t>ALLA FASTA KOSTNADER  (punkterna 4 - 28)</t>
  </si>
  <si>
    <t>BEHOVET AV FÖRSÄLJNINGSBIDRAG (punkt 3 + punkt 29)</t>
  </si>
  <si>
    <t xml:space="preserve"> Taulukosta K1 tai YP1 kohta 26</t>
  </si>
  <si>
    <t xml:space="preserve"> Taulukosta K1 tai YP1 kohta 27</t>
  </si>
  <si>
    <t>Taulukosta K1 tai YP1 kohta 8</t>
  </si>
  <si>
    <t xml:space="preserve"> 6. Övrigt driftskapital</t>
  </si>
  <si>
    <t xml:space="preserve"> 7. Långfristiga lån sammanlagt</t>
  </si>
  <si>
    <t xml:space="preserve"> 8. Leasing</t>
  </si>
  <si>
    <t xml:space="preserve"> 9. Avbetalning</t>
  </si>
  <si>
    <t xml:space="preserve"> 10. Företagsbidragen</t>
  </si>
  <si>
    <t xml:space="preserve"> 11. Återbäring av mervärdesskatt</t>
  </si>
  <si>
    <t xml:space="preserve"> 12. Egen finansiering, sammanlagt</t>
  </si>
  <si>
    <t>DIREKTIV</t>
  </si>
  <si>
    <t>Restauranger och motsvarande verksamhet</t>
  </si>
  <si>
    <t>Behovet av driftskapital per månad (reservera minst 2 - 3 månader)</t>
  </si>
  <si>
    <t xml:space="preserve"> 6. Driftskapital</t>
  </si>
  <si>
    <t xml:space="preserve"> - Arbetstagarens sjukdomsförsäkr., arbetslösh. och livförsäkringsavgift-%</t>
  </si>
  <si>
    <t xml:space="preserve"> - FöPL-företagarnas sjukdomsförsäkrings- och livförsäkringsavgifter</t>
  </si>
  <si>
    <t xml:space="preserve"> FöPL-premier, sjukdomsförsäkr.- och livförsäkringsavgifter</t>
  </si>
  <si>
    <t xml:space="preserve"> Försäljning produkter 11 - 17</t>
  </si>
  <si>
    <t xml:space="preserve"> Omsättning för produkter 1 - 17</t>
  </si>
  <si>
    <t xml:space="preserve"> Försäljning produkter 1 - 11</t>
  </si>
  <si>
    <t xml:space="preserve"> Omsättning för produkter 1 - 11</t>
  </si>
  <si>
    <t xml:space="preserve"> Försäljning produkter 1 - 5</t>
  </si>
  <si>
    <t xml:space="preserve"> Omsättning för produkter 1 - 5</t>
  </si>
  <si>
    <t xml:space="preserve">  </t>
  </si>
  <si>
    <t>bidrag-%</t>
  </si>
  <si>
    <t>kapital-%</t>
  </si>
  <si>
    <t>Förändring av omsätt.</t>
  </si>
  <si>
    <t>Statistik nummer</t>
  </si>
  <si>
    <t>VVS installation</t>
  </si>
  <si>
    <t>Takbehandlingar, montering</t>
  </si>
  <si>
    <t>Klädaffär</t>
  </si>
  <si>
    <t>Järnhandel</t>
  </si>
  <si>
    <t xml:space="preserve">Frisersalonger </t>
  </si>
  <si>
    <t>Skönhetsvård</t>
  </si>
  <si>
    <t xml:space="preserve">IT-tjänster </t>
  </si>
  <si>
    <t>Ingenjörsbyråer, tekniska konsulter</t>
  </si>
  <si>
    <t xml:space="preserve">Tandläkartjänster </t>
  </si>
  <si>
    <t>Gym</t>
  </si>
  <si>
    <t>Barns daghem</t>
  </si>
  <si>
    <t xml:space="preserve"> Industri och tillverkning</t>
  </si>
  <si>
    <t xml:space="preserve"> Byggande</t>
  </si>
  <si>
    <t xml:space="preserve"> Detaljhandel</t>
  </si>
  <si>
    <t xml:space="preserve"> Övriga tjänster</t>
  </si>
  <si>
    <t>År</t>
  </si>
  <si>
    <t>KÄYTTÖKATE % LIIKEVAIHDOSTA</t>
  </si>
  <si>
    <t>OMSÄTTNING/PERSON OCH DRIFTSKAPITAL/PERSON 1000 €</t>
  </si>
  <si>
    <t>K3 Kannattavuus, rahoitus</t>
  </si>
  <si>
    <t xml:space="preserve">JOS TOIMIALOJA ON TULLUT LISÄÄ TAI VÄHENNETTY, TARKISTA HAKURIVIMÄÄRÄ OIKEIN! </t>
  </si>
  <si>
    <t>Driftskapital/</t>
  </si>
  <si>
    <t>person €</t>
  </si>
  <si>
    <t>Kafé</t>
  </si>
  <si>
    <t xml:space="preserve"> - små anskaffningar och skaffningar brukstid är högst 3 år</t>
  </si>
  <si>
    <t xml:space="preserve"> - antalet FöPL-företagare</t>
  </si>
  <si>
    <t xml:space="preserve"> UTGIFTER SAMMANLAGT </t>
  </si>
  <si>
    <t xml:space="preserve"> Lyft av lån</t>
  </si>
  <si>
    <t xml:space="preserve"> Skriv branschen av ditt företag</t>
  </si>
  <si>
    <t xml:space="preserve"> Skriv branschen av dit företag</t>
  </si>
  <si>
    <t xml:space="preserve"> Prestation 1 Omsättning</t>
  </si>
  <si>
    <t>Alv-% ka.</t>
  </si>
  <si>
    <t>Lisätään K3/YP3 rivi 45</t>
  </si>
  <si>
    <t>Liikevaihto/hlö</t>
  </si>
  <si>
    <t>02200</t>
  </si>
  <si>
    <t>Drivning av virke</t>
  </si>
  <si>
    <t xml:space="preserve"> - hyror av apparater och inventarier, leasingfin. med en fast månadsbetalning</t>
  </si>
  <si>
    <t xml:space="preserve"> - betalningsmånader</t>
  </si>
  <si>
    <t xml:space="preserve"> - betalningsmånader </t>
  </si>
  <si>
    <t xml:space="preserve"> - mässa, utställning, Sales promotion</t>
  </si>
  <si>
    <t xml:space="preserve"> - övriga marknadsföringskostnader (bl.a. Grämes)</t>
  </si>
  <si>
    <t xml:space="preserve"> Materialanvändning inkl. Moms slgt prod. 1 - 5</t>
  </si>
  <si>
    <t xml:space="preserve"> Materialanvändning Moms 0% slgt prod. 1 - 5</t>
  </si>
  <si>
    <t xml:space="preserve"> Medelförsäljningsbidrags-% prod. 1 - 5</t>
  </si>
  <si>
    <t xml:space="preserve"> Medelförsäljningsbidrags-% prod. 1 -17</t>
  </si>
  <si>
    <t xml:space="preserve"> Materialanvändning inkl. Moms slgt prod. 1 - 11</t>
  </si>
  <si>
    <t xml:space="preserve"> Materialanvändning Moms 0% slgt prod. 1 - 11</t>
  </si>
  <si>
    <t xml:space="preserve"> Övriga kostnader av affärsverksamheten, utredning gällande 1. räkenskapsperioden</t>
  </si>
  <si>
    <t xml:space="preserve"> - körkilometer/driftstimmar per år </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</si>
  <si>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</si>
  <si>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</si>
  <si>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</si>
  <si>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</si>
  <si>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</si>
  <si>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</si>
  <si>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</si>
  <si>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</si>
  <si>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</si>
  <si>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</si>
  <si>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</si>
  <si>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</si>
  <si>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</si>
  <si>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</si>
  <si>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</si>
  <si>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</si>
  <si>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</si>
  <si>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</si>
  <si>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</si>
  <si>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</si>
  <si>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</si>
  <si>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</si>
  <si>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</si>
  <si>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</si>
  <si>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</si>
  <si>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</si>
  <si>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</si>
  <si>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 xml:space="preserve">Tillverkning av motorfordon och släpvagnar </t>
  </si>
  <si>
    <t>LÖNEKOSTNADER OCH ARBETSUPPGIFTER</t>
  </si>
  <si>
    <t>Driftskapital/hlö</t>
  </si>
  <si>
    <t xml:space="preserve"> Tabell K3 eller FS3 punkt 10</t>
  </si>
  <si>
    <t xml:space="preserve"> Tabell K1 eller FS1 punkter 9, 11 och 22</t>
  </si>
  <si>
    <t>Tjänsten erbjuds av</t>
  </si>
  <si>
    <t>5. Marg.</t>
  </si>
  <si>
    <t>11 marg,</t>
  </si>
  <si>
    <t>17 Marg.</t>
  </si>
  <si>
    <t>Myyntituotot</t>
  </si>
  <si>
    <t>Maksettava alv yhteensä</t>
  </si>
  <si>
    <t>Tuote 5 alv myyntiimarginaali</t>
  </si>
  <si>
    <t>Tuote 11 alv myyntiimarginaali</t>
  </si>
  <si>
    <t>Tuote 11 alv:n peruste</t>
  </si>
  <si>
    <t>Tuote 17 alv myyntiimarginaali</t>
  </si>
  <si>
    <t>Tuote 17 alv:n peruste</t>
  </si>
  <si>
    <t>Tuote 5 alv:n peruste</t>
  </si>
  <si>
    <t xml:space="preserve"> Tabell K1 eller FS1 raderna 35 och 40</t>
  </si>
  <si>
    <t>Fordonskostnader (fordonen i privatbruk, naturaförmån)</t>
  </si>
  <si>
    <t xml:space="preserve"> Fordonskostnader (fordonen i privatbruk, naturaförmån)</t>
  </si>
  <si>
    <t xml:space="preserve"> FINANSIERING</t>
  </si>
  <si>
    <t xml:space="preserve"> 21  Resekostnader, reseersättningar</t>
  </si>
  <si>
    <t xml:space="preserve"> 22  Administr. kostn, kontor, försäkringar</t>
  </si>
  <si>
    <t xml:space="preserve"> 23  Tidningar, facklitteratur, medlemsavgifter</t>
  </si>
  <si>
    <t xml:space="preserve"> 24  Datakommunikation, penningrörelse</t>
  </si>
  <si>
    <t xml:space="preserve"> 25  Övriga kostnader</t>
  </si>
  <si>
    <t>Affärslokaler ytan hyror/vederlag</t>
  </si>
  <si>
    <t>Övriga personalkostnader</t>
  </si>
  <si>
    <t>Bilar/arbetsmaskiner, affärsbruk</t>
  </si>
  <si>
    <t>Kostnader av ADB-apparater och -program</t>
  </si>
  <si>
    <t>Övriga maskin- och apparaturutgifter</t>
  </si>
  <si>
    <t xml:space="preserve"> 21 Resekostnader, reseersättningar</t>
  </si>
  <si>
    <t xml:space="preserve"> 22 Administr. kostn, kontor, försäkringar</t>
  </si>
  <si>
    <t xml:space="preserve"> 23 Tidningar, facklitteratur, medlemsavgifter</t>
  </si>
  <si>
    <t xml:space="preserve"> 24 Datakommunikation, penningrörelse</t>
  </si>
  <si>
    <t xml:space="preserve"> 25 Övriga kostnader</t>
  </si>
  <si>
    <t xml:space="preserve"> Inköpsprisen inkl. Moms prod. 1 - 17</t>
  </si>
  <si>
    <t xml:space="preserve"> Inköpsprisen Moms 0 % slgt prod. 1 - 17</t>
  </si>
  <si>
    <t>ARVONLISÄVERON MÄÄRÄ MYYNTI</t>
  </si>
  <si>
    <t xml:space="preserve"> Materialanvändning av försjäljning Moms 0 %, tabella K2 ocj FS2, utan marg.</t>
  </si>
  <si>
    <t>Aineet, ei marg.verottevia,0 %</t>
  </si>
  <si>
    <t>Marginaaliverotettavat myynti yhteensä</t>
  </si>
  <si>
    <t>Liikevaihto marginal. Tuotteet</t>
  </si>
  <si>
    <t>Tuotemyynti ilman marg.veroa</t>
  </si>
  <si>
    <t>Liikev. ilman marg.verot tuotteet</t>
  </si>
  <si>
    <t>Ostot alv 0 % ilman marg.verot. tuotteet  tilikauden myynneistä</t>
  </si>
  <si>
    <t>Ostot ilm. marg.verot tuotteita sis. Alv</t>
  </si>
  <si>
    <t>Kaikki ostot yhteensä</t>
  </si>
  <si>
    <t xml:space="preserve"> - åtgång av bränsle / el / gas </t>
  </si>
  <si>
    <t xml:space="preserve"> - enhetspris på bränsle (liter) / el (kWh) / gas (kg) </t>
  </si>
  <si>
    <t xml:space="preserve"> Prestation Omsättning</t>
  </si>
  <si>
    <t xml:space="preserve"> Förändring av inköpspriset</t>
  </si>
  <si>
    <t xml:space="preserve"> Ökning av antalet - %</t>
  </si>
  <si>
    <t xml:space="preserve"> Försäljningprisets ändrings-%</t>
  </si>
  <si>
    <t xml:space="preserve"> Mängförändrings-%</t>
  </si>
  <si>
    <t xml:space="preserve"> Prisförändrings-%</t>
  </si>
  <si>
    <t xml:space="preserve"> Ändrings-%</t>
  </si>
  <si>
    <t xml:space="preserve"> 1. Lokaliteter och anslutningsavgifter</t>
  </si>
  <si>
    <t xml:space="preserve"> - avskrivningsprocent av immateriella investeringar</t>
  </si>
  <si>
    <t xml:space="preserve"> 1. rakennusten kirjanpitoarvo kauden alussa</t>
  </si>
  <si>
    <t xml:space="preserve"> 2. koneiden ja kaluston kirjanpitoarvo kauden alussa</t>
  </si>
  <si>
    <t>4. aineettomat- ja kehitämisinv. Sis. Alv</t>
  </si>
  <si>
    <t xml:space="preserve"> - vuosipoisto -%</t>
  </si>
  <si>
    <t xml:space="preserve"> - vuosipoisto euroa</t>
  </si>
  <si>
    <t xml:space="preserve"> - kirjanpitoarvo kauden lopussa</t>
  </si>
  <si>
    <t>5. aineettomat- ja kehitämisinv. Alv 0</t>
  </si>
  <si>
    <t>Poistot yhteensä</t>
  </si>
  <si>
    <t xml:space="preserve">Avgift för anmälning till handelsregistret, exbeditionsavgift av lån </t>
  </si>
  <si>
    <t>3.27</t>
  </si>
  <si>
    <t>Utförare och datum</t>
  </si>
  <si>
    <t xml:space="preserve"> Anteckningar (cellområdet kan användas liksom i Excel-program)</t>
  </si>
  <si>
    <t xml:space="preserve"> Egen finansiering</t>
  </si>
  <si>
    <t>PROGNOSSAMMANDRAG</t>
  </si>
  <si>
    <r>
      <t>RISKANALYS</t>
    </r>
    <r>
      <rPr>
        <b/>
        <sz val="9"/>
        <color theme="1"/>
        <rFont val="Verdana"/>
        <family val="2"/>
      </rPr>
      <t xml:space="preserve"> </t>
    </r>
    <r>
      <rPr>
        <sz val="9"/>
        <color theme="1"/>
        <rFont val="Verdana"/>
        <family val="2"/>
      </rPr>
      <t>(omsättningens och utgifternas verkan till lånbetalningsförmåga)</t>
    </r>
  </si>
  <si>
    <t xml:space="preserve">PROGNOSSAMMANDRAG </t>
  </si>
  <si>
    <t>Elarbeten och el entreprenader</t>
  </si>
  <si>
    <t xml:space="preserve"> Tillverkning av maskiner för allmänt bruk</t>
  </si>
  <si>
    <t>Butikshandel med blommor</t>
  </si>
  <si>
    <t>Dagligvaruhandel (100 - 400 m2)</t>
  </si>
  <si>
    <t>Servicestationsverksamhet</t>
  </si>
  <si>
    <t>Fastighetsrelaterade stödtjänster</t>
  </si>
  <si>
    <t>Vägtransport, godstrafik</t>
  </si>
  <si>
    <t>Taxitrafik</t>
  </si>
  <si>
    <t>Fastighetsförmedling</t>
  </si>
  <si>
    <t>Kioskverksamhet ( under 100 m²)</t>
  </si>
  <si>
    <t>Detaljhandel med personbilar och lätta motorfordon</t>
  </si>
  <si>
    <t>Handel med inform.- och kommunik.  utrust. i specialbutiker</t>
  </si>
  <si>
    <t>Detaljhandel med sportutrustning och cyklar</t>
  </si>
  <si>
    <t xml:space="preserve"> - hyra/vederlag i månaden</t>
  </si>
  <si>
    <t xml:space="preserve">FöPL-företagarnas penninglöner </t>
  </si>
  <si>
    <t xml:space="preserve">Låneavkortningar och räntor för företagets lån </t>
  </si>
  <si>
    <t xml:space="preserve">Avbetalningens årskostnader </t>
  </si>
  <si>
    <t xml:space="preserve">Pensionsavgifter </t>
  </si>
  <si>
    <t>Övriga lönebikostnader</t>
  </si>
  <si>
    <t xml:space="preserve">Kostnader av affärslokaler </t>
  </si>
  <si>
    <t xml:space="preserve"> Leasingfinansieringens (affärsbruk) årskostnader </t>
  </si>
  <si>
    <t xml:space="preserve">Utgifter för bilar/arbetsmaskiner (affärsbruk) </t>
  </si>
  <si>
    <t xml:space="preserve">Övriga maskin- och apparaturkostnader </t>
  </si>
  <si>
    <t xml:space="preserve">Resekostnader </t>
  </si>
  <si>
    <t xml:space="preserve">Reseersättningar </t>
  </si>
  <si>
    <t xml:space="preserve">Datorutrustning och -program </t>
  </si>
  <si>
    <t xml:space="preserve">Representationskostnader </t>
  </si>
  <si>
    <t xml:space="preserve">Marknadsföringskostnader </t>
  </si>
  <si>
    <t xml:space="preserve">Forsknings- och produktutvecklingskostnader </t>
  </si>
  <si>
    <t xml:space="preserve">Administrationstjänster </t>
  </si>
  <si>
    <t>Faktainsamling</t>
  </si>
  <si>
    <t>Datakommunikation och penningrörelse</t>
  </si>
  <si>
    <t>Försäkringar</t>
  </si>
  <si>
    <t>Kontorstillbehör</t>
  </si>
  <si>
    <t>Mötes- och förhandlingskostnader</t>
  </si>
  <si>
    <t xml:space="preserve"> - dator och datorutrustning (brukstid &lt; 3 år)</t>
  </si>
  <si>
    <t xml:space="preserve"> - datorutrustninghyror och programhyror (Obs. Leasingkostnaderna i punkt 10)</t>
  </si>
  <si>
    <t xml:space="preserve"> - övriga datorutrustning kostnader </t>
  </si>
  <si>
    <t xml:space="preserve"> - TV-, radio- och internetreklam</t>
  </si>
  <si>
    <t xml:space="preserve">Övriga lönebikostnader </t>
  </si>
  <si>
    <t>Utgifter för bilar/arbetsmaskiner (affärsbruk)</t>
  </si>
  <si>
    <t>Forsknings- och produktutvecklingskostnader</t>
  </si>
  <si>
    <t xml:space="preserve">Datakommunikation och penningrörelse </t>
  </si>
  <si>
    <t xml:space="preserve">Försäkringar </t>
  </si>
  <si>
    <t xml:space="preserve">Kontorstillbehör </t>
  </si>
  <si>
    <t>FöPL - penninglön brutto</t>
  </si>
  <si>
    <t>FöPL- naturaförmån</t>
  </si>
  <si>
    <t>Brutto penninglön / arbetstagarna</t>
  </si>
  <si>
    <t>Naturaförmån / arbetstagarna</t>
  </si>
  <si>
    <t>ArPL- och arbetslöshetsavg./arbetstagarna</t>
  </si>
  <si>
    <t xml:space="preserve"> Inventarieanskaffningar</t>
  </si>
  <si>
    <t xml:space="preserve"> Dator och datorutrustning </t>
  </si>
  <si>
    <t>y</t>
  </si>
  <si>
    <t xml:space="preserve"> - försäljningspris / st. Inklusive moms</t>
  </si>
  <si>
    <t xml:space="preserve"> - produktens totalförsäljning utan moms</t>
  </si>
  <si>
    <t xml:space="preserve"> - inköps-/självkostnadspris inklusive moms</t>
  </si>
  <si>
    <t xml:space="preserve"> - inköpspris moms 0 %/st. inklusive svinn</t>
  </si>
  <si>
    <t xml:space="preserve"> - Inköp slgt moms 0 %</t>
  </si>
  <si>
    <t>Titel</t>
  </si>
  <si>
    <t>FINANSIERINGSBEHOV (inklusive moms)</t>
  </si>
  <si>
    <t xml:space="preserve"> 4. Immateriella ja utvecklingsinv. moms 0 % </t>
  </si>
  <si>
    <t xml:space="preserve"> 5. Utvecklingsinvesteringar inkl. moms</t>
  </si>
  <si>
    <r>
      <t>RISKANALYS</t>
    </r>
    <r>
      <rPr>
        <b/>
        <sz val="9"/>
        <color theme="1"/>
        <rFont val="Verdana"/>
        <family val="2"/>
      </rPr>
      <t xml:space="preserve"> </t>
    </r>
    <r>
      <rPr>
        <sz val="9"/>
        <color theme="1"/>
        <rFont val="Calibri"/>
        <family val="2"/>
        <scheme val="minor"/>
      </rPr>
      <t>(omsättningens och utgifternas verkan till lånbetalningsförmåga)</t>
    </r>
  </si>
  <si>
    <t xml:space="preserve"> Investeringar inklusive moms </t>
  </si>
  <si>
    <t xml:space="preserve"> Övriga fasta kostnader inklusive moms</t>
  </si>
  <si>
    <t xml:space="preserve"> Övriga fasta kostnader moms 0 %</t>
  </si>
  <si>
    <t xml:space="preserve"> Investeringar moms 0 %</t>
  </si>
  <si>
    <t xml:space="preserve">Övriga moms-avdragbara affärskostnader </t>
  </si>
  <si>
    <t xml:space="preserve"> - inköpspris/enhet moms 0 %</t>
  </si>
  <si>
    <t xml:space="preserve"> - försäljningspris/enhet moms 0 %</t>
  </si>
  <si>
    <t xml:space="preserve"> FINANSIERINGSBEHOV (inklusive moms)</t>
  </si>
  <si>
    <t xml:space="preserve"> 5. Utvecklingsinvesteringar inklusive moms</t>
  </si>
  <si>
    <t>Bidragen och återbäring av moms, slgt</t>
  </si>
  <si>
    <t xml:space="preserve"> Finnvera </t>
  </si>
  <si>
    <t xml:space="preserve"> - FöPL-företagarnas beskattningsbara inkomster</t>
  </si>
  <si>
    <t xml:space="preserve"> - leasingkostnader (fast månadsbetalning), inventariehyror</t>
  </si>
  <si>
    <t xml:space="preserve"> Arbetsuppgift </t>
  </si>
  <si>
    <t xml:space="preserve"> Vinstmarginalbaserad moms</t>
  </si>
  <si>
    <t>Omsättnings-tillgångar-%</t>
  </si>
  <si>
    <t>Byggnadssnickeriarbeten</t>
  </si>
  <si>
    <t>sis. Alv</t>
  </si>
  <si>
    <t>Business Kristinestad och Dynamo Närpes</t>
  </si>
  <si>
    <t>FASTA KOSTNADER</t>
  </si>
  <si>
    <t xml:space="preserve">FASTA KOSTNADER </t>
  </si>
  <si>
    <t xml:space="preserve"> Försäljning av pres./mat. 1 - 17</t>
  </si>
  <si>
    <t xml:space="preserve"> Omsättning av pres./mat. 1 - 17</t>
  </si>
  <si>
    <t xml:space="preserve"> Materialanvändning Slgt 1 - 17 Moms 0 %</t>
  </si>
  <si>
    <t xml:space="preserve"> Försäljning av pres./mat. 1 - 11</t>
  </si>
  <si>
    <t xml:space="preserve"> Omsättning av pres./mat. 1 - 11</t>
  </si>
  <si>
    <t xml:space="preserve"> Materialanvändning Slgt 1 - 11 Moms 0 %</t>
  </si>
  <si>
    <t xml:space="preserve"> Materialanvändning Slgt 1 -11 inkl. Moms</t>
  </si>
  <si>
    <t xml:space="preserve"> Försäljning av pres./mat. 1 - 5</t>
  </si>
  <si>
    <t xml:space="preserve"> Omsättning av pres./mat. 1 - 5</t>
  </si>
  <si>
    <t xml:space="preserve"> Materialanvändning Slgt 1 - 5 Moms 0 %</t>
  </si>
  <si>
    <t xml:space="preserve"> Materialanvändning Slgt 1 - 5 inkl. Moms</t>
  </si>
  <si>
    <t xml:space="preserve"> - service och reparationer och besiktning</t>
  </si>
  <si>
    <t xml:space="preserve"> - böcker</t>
  </si>
  <si>
    <t xml:space="preserve"> - beställda tidningar </t>
  </si>
  <si>
    <t xml:space="preserve"> - officiella avgifter för varumärken, patenten o.d.</t>
  </si>
  <si>
    <t xml:space="preserve"> - produktutvecklings- och testningstjänster, övriga utvecklingskostnader</t>
  </si>
  <si>
    <t xml:space="preserve"> - produktskydd, certifiering, audition</t>
  </si>
  <si>
    <t>Tilikauden</t>
  </si>
  <si>
    <t>Rahapalkat ja luontaisedut tilikauden mukaan</t>
  </si>
  <si>
    <t>pituus (kk)</t>
  </si>
  <si>
    <t>12 kk palkka</t>
  </si>
  <si>
    <t>12 luont.</t>
  </si>
  <si>
    <t xml:space="preserve"> - K1-taulukko</t>
  </si>
  <si>
    <t xml:space="preserve"> - YP1-taulukko</t>
  </si>
  <si>
    <t xml:space="preserve"> Vuokratyövoima</t>
  </si>
  <si>
    <t xml:space="preserve"> Taloushallintopalvelut, tilintarkastus</t>
  </si>
  <si>
    <t xml:space="preserve"> Laki- ja konsultointipalvelut, muut hallintokulut </t>
  </si>
  <si>
    <t xml:space="preserve"> Patentin, sertifioinnin, auditoinnin yms. hakeminen, ylläpito</t>
  </si>
  <si>
    <t xml:space="preserve"> Tuotekehitys- ja testauspalvelut, muut kehityskulut</t>
  </si>
  <si>
    <t xml:space="preserve"> alv  0</t>
  </si>
  <si>
    <t xml:space="preserve"> Lehdet (alvi 10%)</t>
  </si>
  <si>
    <t xml:space="preserve"> Kirjat</t>
  </si>
  <si>
    <t xml:space="preserve"> Käyttövoimaverot, rekisteröinti- ja vakuutusmaksut </t>
  </si>
  <si>
    <t xml:space="preserve"> Taulukosta K1 tai YP1 kohta 11</t>
  </si>
  <si>
    <t xml:space="preserve"> Tuotekehitys, viranomaismaksut</t>
  </si>
  <si>
    <t xml:space="preserve"> Postikulut</t>
  </si>
  <si>
    <t xml:space="preserve"> Taulukosta K1 tai YP1 kohta 21</t>
  </si>
  <si>
    <t xml:space="preserve"> Rahaliikennekulut</t>
  </si>
  <si>
    <t xml:space="preserve"> Yrityksen rekisteröinti, lainojen toimitusmaksut</t>
  </si>
  <si>
    <t xml:space="preserve"> - lag- och konsulttjänster, övriga administrationskostnader</t>
  </si>
  <si>
    <t xml:space="preserve"> - officiella avgifter och tillstånd</t>
  </si>
  <si>
    <t>Viranomaismaksut ja luvat / Hallinto</t>
  </si>
  <si>
    <t>Yrittäjien jäsenmaksu</t>
  </si>
  <si>
    <t>+</t>
  </si>
  <si>
    <t xml:space="preserve"> - försäkrings- och registreringsavgifter, fordonsskat </t>
  </si>
  <si>
    <t xml:space="preserve"> - postkortnader</t>
  </si>
  <si>
    <t xml:space="preserve">Tele- och datakommunikation </t>
  </si>
  <si>
    <t xml:space="preserve"> Städning- och avfallskostnader, bevakning</t>
  </si>
  <si>
    <t xml:space="preserve"> Resekostnader och reseersättningar</t>
  </si>
  <si>
    <t xml:space="preserve"> Ostot marginaaliverotettavasta myynnistä</t>
  </si>
  <si>
    <t xml:space="preserve"> Varulager i början , garantiförskott inkl. Moms</t>
  </si>
  <si>
    <t xml:space="preserve"> Varulager i början , garantiförskott  Moms. 0 %</t>
  </si>
  <si>
    <t xml:space="preserve"> Vinstmarginalbaserade inköpen</t>
  </si>
  <si>
    <t>Ostojen %-osuus kokonaism.</t>
  </si>
  <si>
    <t>Ainekäyttö-% ilman marg.veroa liikevaihdosta</t>
  </si>
  <si>
    <t>Käteisostot alv 0 % marginaalialv</t>
  </si>
  <si>
    <t>sis. Kaikki Alvit</t>
  </si>
  <si>
    <t>sis. Kaikki Alv 0 %</t>
  </si>
  <si>
    <t>1. Muut kiinteät kulut sis. Alv</t>
  </si>
  <si>
    <t>2. Muut kiinteät kulut sis. Alv</t>
  </si>
  <si>
    <t>3. Muut kiinteät kulut sis. Alv</t>
  </si>
  <si>
    <t>Muut kiinteät kulut sis. 1 + 2 + 3</t>
  </si>
  <si>
    <t xml:space="preserve"> Mervärdesskatt</t>
  </si>
  <si>
    <t xml:space="preserve"> Faktureringspris/enhet moms 0 %</t>
  </si>
  <si>
    <t xml:space="preserve"> Antal (t.ex. Faktureringstimmar)</t>
  </si>
  <si>
    <t xml:space="preserve"> Antal (t.ex. Faktureringstimmar) </t>
  </si>
  <si>
    <t xml:space="preserve"> Produkt-/underleverans försälj. 1</t>
  </si>
  <si>
    <t xml:space="preserve"> Produkt-/underleverans försälj.</t>
  </si>
  <si>
    <t xml:space="preserve"> Tomt, anslutningar, lägenhetsandel</t>
  </si>
  <si>
    <t xml:space="preserve"> Byggd fastighet eller konstruktion</t>
  </si>
  <si>
    <t xml:space="preserve"> Nybyggnation, renovering av lokaler</t>
  </si>
  <si>
    <t xml:space="preserve"> Varulager/förvärv av affärsverksamheten</t>
  </si>
  <si>
    <t xml:space="preserve"> Varulager i början, garantihyra</t>
  </si>
  <si>
    <t xml:space="preserve"> Skattefria anskaffning., affärsvärde</t>
  </si>
  <si>
    <t xml:space="preserve"> Övriga bidragen t.ex. BusinessFinland</t>
  </si>
  <si>
    <t xml:space="preserve"> Övriga bidragen t.ex. marknadsföring.</t>
  </si>
  <si>
    <t xml:space="preserve"> Företagarnas placeringar</t>
  </si>
  <si>
    <t xml:space="preserve"> Företagarlån från Finnvera</t>
  </si>
  <si>
    <t xml:space="preserve"> 4. Immateriella och utvecklingsinv. moms 0 % </t>
  </si>
  <si>
    <t xml:space="preserve"> Övriga bidragen t.ex. Marknadsföring</t>
  </si>
  <si>
    <t xml:space="preserve"> Låneamorteringar och avbetalningsrater slgt
 (borde vara mindre än punkt 11. Finansieringsresultat)</t>
  </si>
  <si>
    <t xml:space="preserve"> Offentl. investeringsstöd </t>
  </si>
  <si>
    <r>
      <t xml:space="preserve"> Låneamorteringar och avbetalningsrater slgt
</t>
    </r>
    <r>
      <rPr>
        <b/>
        <sz val="8"/>
        <rFont val="Arial"/>
        <family val="2"/>
      </rPr>
      <t xml:space="preserve"> (borde vara mindre än punkt 11. Finansieringsresultat)</t>
    </r>
  </si>
  <si>
    <t>Uppdateringsdatum 2026 (15.12.2025)</t>
  </si>
  <si>
    <t>0,0 %</t>
  </si>
  <si>
    <t>Ekonomiska parametrar (medianvärde) i företagen i förhållande till omsättningen inom vissa branscher. Källa Finnvera Oyj/ Toimiala Online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</si>
</sst>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0\ &quot;€&quot;;[Red]\-#,##0\ &quot;€&quot;"/>
    <numFmt numFmtId="8" formatCode="#,##0.00\ &quot;€&quot;;[Red]\-#,##0.00\ &quot;€&quot;"/>
    <numFmt numFmtId="164" formatCode="0.0\ %"/>
    <numFmt numFmtId="165" formatCode="#,##0_ ;[Red]\-#,##0\ "/>
    <numFmt numFmtId="166" formatCode="0.0"/>
    <numFmt numFmtId="167" formatCode="#,##0.0"/>
    <numFmt numFmtId="168" formatCode="#,##0;[Red]#,##0"/>
    <numFmt numFmtId="169" formatCode="0;[Red]0"/>
    <numFmt numFmtId="170" formatCode="#,##0\ &quot;€&quot;"/>
    <numFmt numFmtId="171" formatCode="0.0;[Red]0.0"/>
    <numFmt numFmtId="172" formatCode="#,##0\ [$€-40B]"/>
  </numFmts>
  <fonts count="126" x14ac:knownFonts="1">
    <font>
      <sz val="10"/>
      <name val="Arial"/>
    </font>
    <font>
      <sz val="9"/>
      <color theme="1"/>
      <name val="Arial"/>
      <family val="2"/>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0"/>
      <name val="Arial"/>
      <family val="2"/>
    </font>
    <font>
      <b/>
      <sz val="8"/>
      <name val="Arial"/>
      <family val="2"/>
    </font>
    <font>
      <sz val="10"/>
      <name val="Arial"/>
      <family val="2"/>
    </font>
    <font>
      <b/>
      <sz val="10"/>
      <name val="Arial"/>
      <family val="2"/>
    </font>
    <font>
      <sz val="8"/>
      <name val="Arial"/>
      <family val="2"/>
    </font>
    <font>
      <b/>
      <sz val="12"/>
      <name val="Arial"/>
      <family val="2"/>
    </font>
    <font>
      <b/>
      <i/>
      <sz val="8"/>
      <name val="Arial"/>
      <family val="2"/>
    </font>
    <font>
      <u/>
      <sz val="10"/>
      <color indexed="12"/>
      <name val="Arial"/>
      <family val="2"/>
    </font>
    <font>
      <b/>
      <sz val="10"/>
      <color indexed="10"/>
      <name val="Arial"/>
      <family val="2"/>
    </font>
    <font>
      <b/>
      <sz val="10"/>
      <color indexed="81"/>
      <name val="Tahoma"/>
      <family val="2"/>
    </font>
    <font>
      <b/>
      <i/>
      <sz val="8"/>
      <color indexed="12"/>
      <name val="Arial"/>
      <family val="2"/>
    </font>
    <font>
      <b/>
      <sz val="10"/>
      <color indexed="12"/>
      <name val="Arial"/>
      <family val="2"/>
    </font>
    <font>
      <b/>
      <sz val="9"/>
      <name val="Arial"/>
      <family val="2"/>
    </font>
    <font>
      <sz val="9"/>
      <name val="Arial"/>
      <family val="2"/>
    </font>
    <font>
      <b/>
      <i/>
      <sz val="10"/>
      <color indexed="8"/>
      <name val="Arial"/>
      <family val="2"/>
    </font>
    <font>
      <b/>
      <i/>
      <sz val="8"/>
      <color indexed="8"/>
      <name val="Arial"/>
      <family val="2"/>
    </font>
    <font>
      <sz val="9"/>
      <color indexed="81"/>
      <name val="Tahoma"/>
      <family val="2"/>
    </font>
    <font>
      <b/>
      <sz val="9"/>
      <color indexed="81"/>
      <name val="Tahoma"/>
      <family val="2"/>
    </font>
    <font>
      <i/>
      <sz val="8"/>
      <name val="Arial"/>
      <family val="2"/>
    </font>
    <font>
      <b/>
      <u/>
      <sz val="10"/>
      <color indexed="12"/>
      <name val="Arial"/>
      <family val="2"/>
    </font>
    <font>
      <b/>
      <u/>
      <sz val="12"/>
      <color indexed="12"/>
      <name val="Arial"/>
      <family val="2"/>
    </font>
    <font>
      <sz val="10"/>
      <color indexed="30"/>
      <name val="Arial"/>
      <family val="2"/>
    </font>
    <font>
      <sz val="10"/>
      <color indexed="10"/>
      <name val="Arial"/>
      <family val="2"/>
    </font>
    <font>
      <sz val="12"/>
      <color indexed="10"/>
      <name val="Arial"/>
      <family val="2"/>
    </font>
    <font>
      <b/>
      <sz val="12"/>
      <color indexed="9"/>
      <name val="Arial"/>
      <family val="2"/>
    </font>
    <font>
      <b/>
      <sz val="14"/>
      <color indexed="9"/>
      <name val="Arial"/>
      <family val="2"/>
    </font>
    <font>
      <sz val="8"/>
      <name val="Arial"/>
      <family val="2"/>
    </font>
    <font>
      <b/>
      <u/>
      <sz val="10"/>
      <name val="Arial"/>
      <family val="2"/>
    </font>
    <font>
      <u/>
      <sz val="10"/>
      <name val="Arial"/>
      <family val="2"/>
    </font>
    <font>
      <b/>
      <i/>
      <sz val="10"/>
      <name val="Arial"/>
      <family val="2"/>
    </font>
    <font>
      <b/>
      <sz val="8"/>
      <color indexed="12"/>
      <name val="Arial"/>
      <family val="2"/>
    </font>
    <font>
      <sz val="8"/>
      <color indexed="12"/>
      <name val="Arial"/>
      <family val="2"/>
    </font>
    <font>
      <sz val="10"/>
      <name val="Arial"/>
      <family val="2"/>
    </font>
    <font>
      <b/>
      <i/>
      <sz val="11"/>
      <name val="Arial"/>
      <family val="2"/>
    </font>
    <font>
      <sz val="16"/>
      <name val="Arial"/>
      <family val="2"/>
    </font>
    <font>
      <sz val="11"/>
      <name val="Arial"/>
      <family val="2"/>
    </font>
    <font>
      <sz val="11"/>
      <color indexed="18"/>
      <name val="Arial"/>
      <family val="2"/>
    </font>
    <font>
      <sz val="10"/>
      <color indexed="18"/>
      <name val="Arial"/>
      <family val="2"/>
    </font>
    <font>
      <b/>
      <i/>
      <sz val="10"/>
      <name val="Verdana"/>
      <family val="2"/>
    </font>
    <font>
      <b/>
      <sz val="8"/>
      <name val="Verdana"/>
      <family val="2"/>
    </font>
    <font>
      <b/>
      <sz val="10"/>
      <name val="Tahoma"/>
      <family val="2"/>
    </font>
    <font>
      <sz val="10"/>
      <color indexed="12"/>
      <name val="Arial"/>
      <family val="2"/>
    </font>
    <font>
      <sz val="10"/>
      <name val="Verdana"/>
      <family val="2"/>
    </font>
    <font>
      <sz val="9"/>
      <color indexed="18"/>
      <name val="Arial"/>
      <family val="2"/>
    </font>
    <font>
      <i/>
      <sz val="9"/>
      <name val="Arial"/>
      <family val="2"/>
    </font>
    <font>
      <i/>
      <sz val="12"/>
      <color indexed="18"/>
      <name val="Arial"/>
      <family val="2"/>
    </font>
    <font>
      <i/>
      <sz val="10"/>
      <name val="Arial"/>
      <family val="2"/>
    </font>
    <font>
      <i/>
      <sz val="9"/>
      <color indexed="18"/>
      <name val="Arial"/>
      <family val="2"/>
    </font>
    <font>
      <b/>
      <sz val="9"/>
      <color indexed="18"/>
      <name val="Arial"/>
      <family val="2"/>
    </font>
    <font>
      <b/>
      <u/>
      <sz val="8"/>
      <name val="Arial"/>
      <family val="2"/>
    </font>
    <font>
      <sz val="9"/>
      <color indexed="30"/>
      <name val="Arial"/>
      <family val="2"/>
    </font>
    <font>
      <strike/>
      <sz val="10"/>
      <name val="Arial"/>
      <family val="2"/>
    </font>
    <font>
      <b/>
      <sz val="11"/>
      <name val="Arial"/>
      <family val="2"/>
    </font>
    <font>
      <b/>
      <sz val="10"/>
      <color rgb="FFFF0000"/>
      <name val="Arial"/>
      <family val="2"/>
    </font>
    <font>
      <b/>
      <sz val="9"/>
      <color rgb="FFFF0000"/>
      <name val="Arial"/>
      <family val="2"/>
    </font>
    <font>
      <b/>
      <sz val="9"/>
      <color rgb="FFFFFFFF"/>
      <name val="Verdana"/>
      <family val="2"/>
    </font>
    <font>
      <sz val="9"/>
      <color rgb="FF000080"/>
      <name val="Arial"/>
      <family val="2"/>
    </font>
    <font>
      <sz val="10"/>
      <color rgb="FFFF0000"/>
      <name val="Arial"/>
      <family val="2"/>
    </font>
    <font>
      <sz val="10"/>
      <color theme="1"/>
      <name val="Verdana"/>
      <family val="2"/>
    </font>
    <font>
      <b/>
      <sz val="12"/>
      <color theme="1"/>
      <name val="Verdana"/>
      <family val="2"/>
    </font>
    <font>
      <b/>
      <sz val="10"/>
      <color theme="1"/>
      <name val="Verdana"/>
      <family val="2"/>
    </font>
    <font>
      <sz val="12"/>
      <color rgb="FFFF0000"/>
      <name val="Arial"/>
      <family val="2"/>
    </font>
    <font>
      <i/>
      <sz val="9"/>
      <color rgb="FF000080"/>
      <name val="Arial"/>
      <family val="2"/>
    </font>
    <font>
      <b/>
      <sz val="8"/>
      <color rgb="FF1F497D"/>
      <name val="Arial"/>
      <family val="2"/>
    </font>
    <font>
      <i/>
      <sz val="9"/>
      <color rgb="FF0070C0"/>
      <name val="Arial"/>
      <family val="2"/>
    </font>
    <font>
      <b/>
      <sz val="14"/>
      <color theme="3"/>
      <name val="Calibri"/>
      <family val="2"/>
      <scheme val="minor"/>
    </font>
    <font>
      <b/>
      <i/>
      <sz val="14"/>
      <color theme="3"/>
      <name val="Calibri"/>
      <family val="2"/>
      <scheme val="minor"/>
    </font>
    <font>
      <b/>
      <sz val="10"/>
      <color theme="3"/>
      <name val="Arial"/>
      <family val="2"/>
    </font>
    <font>
      <sz val="9"/>
      <color rgb="FFFF0000"/>
      <name val="Arial"/>
      <family val="2"/>
    </font>
    <font>
      <b/>
      <sz val="11"/>
      <color theme="1"/>
      <name val="Verdana"/>
      <family val="2"/>
    </font>
    <font>
      <b/>
      <sz val="9"/>
      <color theme="1"/>
      <name val="Verdana"/>
      <family val="2"/>
    </font>
    <font>
      <b/>
      <sz val="10"/>
      <color theme="1"/>
      <name val="Arial"/>
      <family val="2"/>
    </font>
    <font>
      <b/>
      <sz val="10"/>
      <color rgb="FF00B0F0"/>
      <name val="Arial"/>
      <family val="2"/>
    </font>
    <font>
      <sz val="10"/>
      <color theme="5"/>
      <name val="Arial"/>
      <family val="2"/>
    </font>
    <font>
      <sz val="10"/>
      <color rgb="FF0053A3"/>
      <name val="Arial"/>
      <family val="2"/>
    </font>
    <font>
      <b/>
      <sz val="10"/>
      <color theme="5"/>
      <name val="Arial"/>
      <family val="2"/>
    </font>
    <font>
      <sz val="11"/>
      <color indexed="8"/>
      <name val="Calibri"/>
      <family val="2"/>
      <scheme val="minor"/>
    </font>
    <font>
      <sz val="11"/>
      <name val="Calibri"/>
      <family val="2"/>
      <scheme val="minor"/>
    </font>
    <font>
      <b/>
      <sz val="11"/>
      <color theme="3"/>
      <name val="Calibri"/>
      <family val="2"/>
      <scheme val="minor"/>
    </font>
    <font>
      <sz val="11"/>
      <color theme="3"/>
      <name val="Calibri"/>
      <family val="2"/>
      <scheme val="minor"/>
    </font>
    <font>
      <b/>
      <sz val="12"/>
      <color rgb="FFFF0000"/>
      <name val="Arial"/>
      <family val="2"/>
    </font>
    <font>
      <b/>
      <sz val="11"/>
      <color theme="1"/>
      <name val="Calibri"/>
      <family val="2"/>
      <scheme val="minor"/>
    </font>
    <font>
      <b/>
      <sz val="11"/>
      <color indexed="8"/>
      <name val="Calibri"/>
      <family val="2"/>
      <scheme val="minor"/>
    </font>
    <font>
      <b/>
      <sz val="12"/>
      <color rgb="FFFF0000"/>
      <name val="Calibri"/>
      <family val="2"/>
      <scheme val="minor"/>
    </font>
    <font>
      <sz val="12"/>
      <name val="Calibri"/>
      <family val="2"/>
      <scheme val="minor"/>
    </font>
    <font>
      <b/>
      <sz val="9"/>
      <color theme="0"/>
      <name val="Arial"/>
      <family val="2"/>
    </font>
    <font>
      <b/>
      <sz val="11"/>
      <color rgb="FFFF0000"/>
      <name val="Arial"/>
      <family val="2"/>
    </font>
    <font>
      <sz val="11"/>
      <color rgb="FFFF0000"/>
      <name val="Calibri"/>
      <family val="2"/>
      <scheme val="minor"/>
    </font>
    <font>
      <sz val="10"/>
      <color indexed="81"/>
      <name val="Tahoma"/>
      <family val="2"/>
    </font>
    <font>
      <b/>
      <i/>
      <sz val="10"/>
      <color indexed="81"/>
      <name val="Tahoma"/>
      <family val="2"/>
    </font>
    <font>
      <b/>
      <sz val="14"/>
      <color theme="4" tint="-0.249977111117893"/>
      <name val="Calibri"/>
      <family val="2"/>
      <scheme val="minor"/>
    </font>
    <font>
      <b/>
      <sz val="10"/>
      <color theme="4" tint="-0.249977111117893"/>
      <name val="Arial"/>
      <family val="2"/>
    </font>
    <font>
      <b/>
      <sz val="10"/>
      <color theme="0"/>
      <name val="Calibri"/>
      <family val="2"/>
      <scheme val="minor"/>
    </font>
    <font>
      <sz val="9"/>
      <color indexed="8"/>
      <name val="Calibri"/>
      <family val="2"/>
      <scheme val="minor"/>
    </font>
    <font>
      <sz val="9"/>
      <name val="Calibri"/>
      <family val="2"/>
      <scheme val="minor"/>
    </font>
    <font>
      <sz val="10"/>
      <color indexed="8"/>
      <name val="Tahoma"/>
      <family val="2"/>
    </font>
    <font>
      <b/>
      <sz val="10"/>
      <color theme="0"/>
      <name val="Arial"/>
      <family val="2"/>
    </font>
    <font>
      <sz val="10"/>
      <color theme="0"/>
      <name val="Arial"/>
      <family val="2"/>
    </font>
    <font>
      <b/>
      <sz val="12"/>
      <color theme="0"/>
      <name val="Arial"/>
      <family val="2"/>
    </font>
    <font>
      <sz val="9"/>
      <color theme="0"/>
      <name val="Arial"/>
      <family val="2"/>
    </font>
    <font>
      <b/>
      <sz val="12"/>
      <color theme="0"/>
      <name val="Calibri"/>
      <family val="2"/>
      <scheme val="minor"/>
    </font>
    <font>
      <sz val="10"/>
      <name val="Calibri"/>
      <family val="2"/>
      <scheme val="minor"/>
    </font>
    <font>
      <b/>
      <sz val="10"/>
      <color theme="1"/>
      <name val="Calibri"/>
      <family val="2"/>
      <scheme val="minor"/>
    </font>
    <font>
      <sz val="10"/>
      <color theme="3"/>
      <name val="Arial"/>
      <family val="2"/>
    </font>
    <font>
      <b/>
      <sz val="8"/>
      <color theme="0"/>
      <name val="Arial"/>
      <family val="2"/>
    </font>
    <font>
      <b/>
      <sz val="9"/>
      <color rgb="FF00B0F0"/>
      <name val="Arial"/>
      <family val="2"/>
    </font>
    <font>
      <sz val="9"/>
      <color rgb="FF00B0F0"/>
      <name val="Arial"/>
      <family val="2"/>
    </font>
    <font>
      <sz val="14"/>
      <name val="Arial"/>
      <family val="2"/>
    </font>
    <font>
      <b/>
      <u/>
      <sz val="9"/>
      <color indexed="12"/>
      <name val="Arial"/>
      <family val="2"/>
    </font>
    <font>
      <b/>
      <sz val="12"/>
      <color theme="1"/>
      <name val="Arial"/>
      <family val="2"/>
    </font>
    <font>
      <b/>
      <sz val="16"/>
      <name val="Arial"/>
      <family val="2"/>
    </font>
    <font>
      <sz val="9"/>
      <color theme="1"/>
      <name val="Verdana"/>
      <family val="2"/>
    </font>
    <font>
      <b/>
      <sz val="11"/>
      <color theme="0"/>
      <name val="Calibri"/>
      <family val="2"/>
      <scheme val="minor"/>
    </font>
    <font>
      <sz val="9"/>
      <color theme="1"/>
      <name val="Arial"/>
      <family val="2"/>
    </font>
    <font>
      <i/>
      <sz val="9"/>
      <color theme="1"/>
      <name val="Arial"/>
      <family val="2"/>
    </font>
    <font>
      <sz val="9"/>
      <color theme="1"/>
      <name val="Calibri"/>
      <family val="2"/>
      <scheme val="minor"/>
    </font>
    <font>
      <i/>
      <sz val="9"/>
      <color rgb="FFFF0000"/>
      <name val="Arial"/>
      <family val="2"/>
    </font>
    <font>
      <b/>
      <sz val="10"/>
      <color indexed="18"/>
      <name val="Arial"/>
      <family val="2"/>
    </font>
    <font>
      <sz val="8"/>
      <name val="Arial"/>
      <family val="2"/>
    </font>
    <font>
      <b/>
      <sz val="10"/>
      <color rgb="FF0152A1"/>
      <name val="Arial"/>
      <family val="2"/>
    </font>
  </fonts>
  <fills count="33">
    <fill>
      <patternFill patternType="none"/>
    </fill>
    <fill>
      <patternFill patternType="gray125"/>
    </fill>
    <fill>
      <patternFill patternType="solid">
        <fgColor indexed="43"/>
        <bgColor indexed="64"/>
      </patternFill>
    </fill>
    <fill>
      <patternFill patternType="solid">
        <fgColor indexed="9"/>
        <bgColor indexed="64"/>
      </patternFill>
    </fill>
    <fill>
      <patternFill patternType="solid">
        <fgColor rgb="FFFFFF99"/>
        <bgColor indexed="64"/>
      </patternFill>
    </fill>
    <fill>
      <patternFill patternType="solid">
        <fgColor rgb="FFFFC000"/>
        <bgColor indexed="64"/>
      </patternFill>
    </fill>
    <fill>
      <patternFill patternType="solid">
        <fgColor rgb="FFFF0000"/>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rgb="FFFFFF00"/>
        <bgColor indexed="64"/>
      </patternFill>
    </fill>
    <fill>
      <patternFill patternType="solid">
        <fgColor rgb="FFFFFFCC"/>
        <bgColor indexed="64"/>
      </patternFill>
    </fill>
    <fill>
      <patternFill patternType="solid">
        <fgColor theme="0"/>
        <bgColor indexed="64"/>
      </patternFill>
    </fill>
    <fill>
      <patternFill patternType="solid">
        <fgColor theme="8" tint="0.79998168889431442"/>
        <bgColor indexed="64"/>
      </patternFill>
    </fill>
    <fill>
      <patternFill patternType="solid">
        <fgColor theme="3" tint="0.59999389629810485"/>
        <bgColor indexed="64"/>
      </patternFill>
    </fill>
    <fill>
      <patternFill patternType="solid">
        <fgColor theme="0"/>
        <bgColor indexed="46"/>
      </patternFill>
    </fill>
    <fill>
      <patternFill patternType="solid">
        <fgColor theme="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2" tint="-0.249977111117893"/>
        <bgColor indexed="64"/>
      </patternFill>
    </fill>
    <fill>
      <patternFill patternType="solid">
        <fgColor theme="3" tint="0.39997558519241921"/>
        <bgColor indexed="64"/>
      </patternFill>
    </fill>
    <fill>
      <patternFill patternType="solid">
        <fgColor theme="2" tint="-0.499984740745262"/>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6"/>
        <bgColor indexed="64"/>
      </patternFill>
    </fill>
    <fill>
      <patternFill patternType="solid">
        <fgColor theme="9"/>
        <bgColor indexed="64"/>
      </patternFill>
    </fill>
    <fill>
      <patternFill patternType="solid">
        <fgColor rgb="FFFFCC66"/>
        <bgColor indexed="64"/>
      </patternFill>
    </fill>
    <fill>
      <patternFill patternType="solid">
        <fgColor rgb="FF0152A1"/>
        <bgColor indexed="64"/>
      </patternFill>
    </fill>
    <fill>
      <patternFill patternType="solid">
        <fgColor rgb="FF0152A1"/>
        <bgColor indexed="21"/>
      </patternFill>
    </fill>
    <fill>
      <patternFill patternType="solid">
        <fgColor rgb="FF0152A1"/>
        <bgColor indexed="13"/>
      </patternFill>
    </fill>
  </fills>
  <borders count="140">
    <border>
      <left/>
      <right/>
      <top/>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35"/>
      </top>
      <bottom style="thin">
        <color indexed="35"/>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style="thin">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35"/>
      </top>
      <bottom/>
      <diagonal/>
    </border>
    <border>
      <left style="thin">
        <color indexed="64"/>
      </left>
      <right style="thin">
        <color indexed="64"/>
      </right>
      <top/>
      <bottom style="thin">
        <color indexed="35"/>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double">
        <color indexed="64"/>
      </top>
      <bottom style="double">
        <color indexed="64"/>
      </bottom>
      <diagonal/>
    </border>
    <border>
      <left/>
      <right style="thin">
        <color indexed="64"/>
      </right>
      <top style="double">
        <color indexed="64"/>
      </top>
      <bottom style="double">
        <color indexed="64"/>
      </bottom>
      <diagonal/>
    </border>
    <border>
      <left/>
      <right style="thin">
        <color indexed="64"/>
      </right>
      <top/>
      <bottom style="double">
        <color indexed="64"/>
      </bottom>
      <diagonal/>
    </border>
    <border>
      <left style="thin">
        <color indexed="64"/>
      </left>
      <right style="thin">
        <color indexed="64"/>
      </right>
      <top/>
      <bottom style="thin">
        <color indexed="64"/>
      </bottom>
      <diagonal/>
    </border>
    <border>
      <left style="thin">
        <color indexed="64"/>
      </left>
      <right style="thin">
        <color indexed="64"/>
      </right>
      <top/>
      <bottom style="double">
        <color indexed="64"/>
      </bottom>
      <diagonal/>
    </border>
    <border>
      <left style="medium">
        <color indexed="64"/>
      </left>
      <right/>
      <top style="thin">
        <color indexed="64"/>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right style="thin">
        <color indexed="64"/>
      </right>
      <top style="thin">
        <color indexed="64"/>
      </top>
      <bottom style="double">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double">
        <color indexed="64"/>
      </top>
      <bottom style="double">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thin">
        <color indexed="64"/>
      </bottom>
      <diagonal/>
    </border>
    <border>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top style="double">
        <color indexed="64"/>
      </top>
      <bottom style="double">
        <color indexed="64"/>
      </bottom>
      <diagonal/>
    </border>
    <border>
      <left style="medium">
        <color indexed="64"/>
      </left>
      <right style="thin">
        <color indexed="64"/>
      </right>
      <top style="thin">
        <color rgb="FF99CCFF"/>
      </top>
      <bottom style="thin">
        <color rgb="FF99CCFF"/>
      </bottom>
      <diagonal/>
    </border>
    <border>
      <left style="medium">
        <color indexed="64"/>
      </left>
      <right style="medium">
        <color indexed="64"/>
      </right>
      <top style="thin">
        <color rgb="FF99CCFF"/>
      </top>
      <bottom style="thin">
        <color rgb="FF99CCFF"/>
      </bottom>
      <diagonal/>
    </border>
    <border>
      <left/>
      <right/>
      <top style="thin">
        <color rgb="FF99CCFF"/>
      </top>
      <bottom style="thin">
        <color rgb="FF99CCFF"/>
      </bottom>
      <diagonal/>
    </border>
    <border>
      <left/>
      <right style="medium">
        <color indexed="64"/>
      </right>
      <top style="thin">
        <color rgb="FF99CCFF"/>
      </top>
      <bottom style="thin">
        <color rgb="FF99CCFF"/>
      </bottom>
      <diagonal/>
    </border>
    <border>
      <left style="thin">
        <color indexed="64"/>
      </left>
      <right/>
      <top style="thin">
        <color rgb="FF99CCFF"/>
      </top>
      <bottom style="thin">
        <color rgb="FF99CCFF"/>
      </bottom>
      <diagonal/>
    </border>
    <border>
      <left style="medium">
        <color indexed="64"/>
      </left>
      <right/>
      <top style="medium">
        <color theme="3" tint="0.79998168889431442"/>
      </top>
      <bottom style="medium">
        <color theme="3" tint="0.79998168889431442"/>
      </bottom>
      <diagonal/>
    </border>
    <border>
      <left/>
      <right/>
      <top style="medium">
        <color theme="3" tint="0.79998168889431442"/>
      </top>
      <bottom style="medium">
        <color theme="3" tint="0.79998168889431442"/>
      </bottom>
      <diagonal/>
    </border>
    <border>
      <left style="thin">
        <color indexed="64"/>
      </left>
      <right style="thin">
        <color indexed="64"/>
      </right>
      <top style="medium">
        <color theme="3" tint="0.79998168889431442"/>
      </top>
      <bottom style="medium">
        <color theme="3" tint="0.79998168889431442"/>
      </bottom>
      <diagonal/>
    </border>
    <border>
      <left style="medium">
        <color indexed="64"/>
      </left>
      <right/>
      <top/>
      <bottom style="thin">
        <color theme="3" tint="0.59996337778862885"/>
      </bottom>
      <diagonal/>
    </border>
    <border>
      <left/>
      <right style="thin">
        <color indexed="64"/>
      </right>
      <top style="medium">
        <color theme="3" tint="0.79998168889431442"/>
      </top>
      <bottom style="thin">
        <color theme="3" tint="0.59996337778862885"/>
      </bottom>
      <diagonal/>
    </border>
    <border>
      <left style="thin">
        <color indexed="64"/>
      </left>
      <right style="thin">
        <color indexed="64"/>
      </right>
      <top style="medium">
        <color theme="3" tint="0.79998168889431442"/>
      </top>
      <bottom style="thin">
        <color theme="3" tint="0.59996337778862885"/>
      </bottom>
      <diagonal/>
    </border>
    <border>
      <left style="medium">
        <color indexed="64"/>
      </left>
      <right/>
      <top style="thin">
        <color theme="3" tint="0.59996337778862885"/>
      </top>
      <bottom style="medium">
        <color indexed="64"/>
      </bottom>
      <diagonal/>
    </border>
    <border>
      <left style="thin">
        <color indexed="64"/>
      </left>
      <right style="thin">
        <color indexed="64"/>
      </right>
      <top style="thin">
        <color theme="3" tint="0.59996337778862885"/>
      </top>
      <bottom style="medium">
        <color indexed="64"/>
      </bottom>
      <diagonal/>
    </border>
    <border>
      <left/>
      <right style="medium">
        <color indexed="64"/>
      </right>
      <top style="thin">
        <color theme="3" tint="0.59996337778862885"/>
      </top>
      <bottom style="medium">
        <color indexed="64"/>
      </bottom>
      <diagonal/>
    </border>
    <border>
      <left/>
      <right style="thin">
        <color indexed="64"/>
      </right>
      <top style="thin">
        <color theme="3" tint="0.59996337778862885"/>
      </top>
      <bottom style="medium">
        <color indexed="64"/>
      </bottom>
      <diagonal/>
    </border>
    <border>
      <left/>
      <right style="thin">
        <color indexed="64"/>
      </right>
      <top style="thin">
        <color theme="4" tint="0.59996337778862885"/>
      </top>
      <bottom style="thin">
        <color theme="4" tint="0.59996337778862885"/>
      </bottom>
      <diagonal/>
    </border>
    <border>
      <left style="thin">
        <color indexed="64"/>
      </left>
      <right style="thin">
        <color indexed="64"/>
      </right>
      <top style="thin">
        <color theme="3" tint="0.59996337778862885"/>
      </top>
      <bottom/>
      <diagonal/>
    </border>
    <border>
      <left style="thin">
        <color indexed="64"/>
      </left>
      <right style="thin">
        <color indexed="64"/>
      </right>
      <top/>
      <bottom style="thin">
        <color theme="3" tint="0.59996337778862885"/>
      </bottom>
      <diagonal/>
    </border>
    <border>
      <left style="thin">
        <color indexed="64"/>
      </left>
      <right/>
      <top style="thin">
        <color theme="3" tint="0.59996337778862885"/>
      </top>
      <bottom/>
      <diagonal/>
    </border>
    <border>
      <left style="medium">
        <color indexed="64"/>
      </left>
      <right style="medium">
        <color indexed="64"/>
      </right>
      <top/>
      <bottom style="thin">
        <color rgb="FF99CCFF"/>
      </bottom>
      <diagonal/>
    </border>
    <border>
      <left style="hair">
        <color indexed="8"/>
      </left>
      <right style="hair">
        <color indexed="8"/>
      </right>
      <top/>
      <bottom/>
      <diagonal/>
    </border>
    <border>
      <left style="hair">
        <color indexed="8"/>
      </left>
      <right/>
      <top/>
      <bottom/>
      <diagonal/>
    </border>
    <border>
      <left style="hair">
        <color indexed="8"/>
      </left>
      <right/>
      <top/>
      <bottom style="thin">
        <color indexed="64"/>
      </bottom>
      <diagonal/>
    </border>
    <border>
      <left style="hair">
        <color indexed="8"/>
      </left>
      <right style="hair">
        <color indexed="8"/>
      </right>
      <top/>
      <bottom style="thin">
        <color indexed="64"/>
      </bottom>
      <diagonal/>
    </border>
    <border>
      <left style="hair">
        <color indexed="8"/>
      </left>
      <right style="thin">
        <color indexed="64"/>
      </right>
      <top/>
      <bottom/>
      <diagonal/>
    </border>
    <border>
      <left style="hair">
        <color indexed="8"/>
      </left>
      <right style="thin">
        <color indexed="64"/>
      </right>
      <top/>
      <bottom style="thin">
        <color indexed="64"/>
      </bottom>
      <diagonal/>
    </border>
    <border>
      <left/>
      <right style="hair">
        <color indexed="8"/>
      </right>
      <top/>
      <bottom/>
      <diagonal/>
    </border>
    <border>
      <left/>
      <right style="hair">
        <color indexed="8"/>
      </right>
      <top/>
      <bottom style="thin">
        <color indexed="64"/>
      </bottom>
      <diagonal/>
    </border>
    <border>
      <left style="thin">
        <color theme="0" tint="-0.24994659260841701"/>
      </left>
      <right style="thin">
        <color indexed="64"/>
      </right>
      <top style="thin">
        <color indexed="64"/>
      </top>
      <bottom style="thin">
        <color indexed="64"/>
      </bottom>
      <diagonal/>
    </border>
    <border>
      <left style="thin">
        <color auto="1"/>
      </left>
      <right/>
      <top style="thin">
        <color auto="1"/>
      </top>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thin">
        <color rgb="FF99CCFF"/>
      </bottom>
      <diagonal/>
    </border>
    <border>
      <left style="thin">
        <color indexed="64"/>
      </left>
      <right style="medium">
        <color indexed="64"/>
      </right>
      <top style="thin">
        <color indexed="64"/>
      </top>
      <bottom/>
      <diagonal/>
    </border>
    <border>
      <left/>
      <right/>
      <top style="dashed">
        <color indexed="64"/>
      </top>
      <bottom style="dashed">
        <color indexed="64"/>
      </bottom>
      <diagonal/>
    </border>
    <border>
      <left style="medium">
        <color indexed="64"/>
      </left>
      <right style="medium">
        <color indexed="64"/>
      </right>
      <top style="thin">
        <color rgb="FF99CCFF"/>
      </top>
      <bottom/>
      <diagonal/>
    </border>
    <border>
      <left/>
      <right/>
      <top/>
      <bottom style="thin">
        <color rgb="FF99CCFF"/>
      </bottom>
      <diagonal/>
    </border>
    <border>
      <left/>
      <right/>
      <top style="thin">
        <color theme="0" tint="-0.34998626667073579"/>
      </top>
      <bottom style="thin">
        <color theme="0" tint="-0.34998626667073579"/>
      </bottom>
      <diagonal/>
    </border>
    <border>
      <left/>
      <right/>
      <top/>
      <bottom style="thin">
        <color theme="0" tint="-0.34998626667073579"/>
      </bottom>
      <diagonal/>
    </border>
    <border>
      <left style="thin">
        <color theme="0" tint="-0.34998626667073579"/>
      </left>
      <right style="thin">
        <color theme="0" tint="-0.34998626667073579"/>
      </right>
      <top style="thin">
        <color indexed="64"/>
      </top>
      <bottom/>
      <diagonal/>
    </border>
    <border>
      <left style="thin">
        <color theme="0" tint="-0.34998626667073579"/>
      </left>
      <right style="thin">
        <color theme="0" tint="-0.34998626667073579"/>
      </right>
      <top style="thin">
        <color indexed="64"/>
      </top>
      <bottom style="thin">
        <color indexed="64"/>
      </bottom>
      <diagonal/>
    </border>
    <border>
      <left style="thin">
        <color theme="0" tint="-0.34998626667073579"/>
      </left>
      <right style="thin">
        <color theme="0" tint="-0.34998626667073579"/>
      </right>
      <top/>
      <bottom style="thin">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n">
        <color theme="3" tint="0.59996337778862885"/>
      </bottom>
      <diagonal/>
    </border>
    <border>
      <left/>
      <right style="thin">
        <color indexed="64"/>
      </right>
      <top style="thin">
        <color auto="1"/>
      </top>
      <bottom/>
      <diagonal/>
    </border>
    <border>
      <left style="thin">
        <color auto="1"/>
      </left>
      <right/>
      <top style="thin">
        <color auto="1"/>
      </top>
      <bottom/>
      <diagonal/>
    </border>
  </borders>
  <cellStyleXfs count="4">
    <xf numFmtId="0" fontId="0" fillId="0" borderId="0"/>
    <xf numFmtId="0" fontId="13" fillId="0" borderId="0" applyNumberFormat="0" applyFill="0" applyBorder="0" applyAlignment="0" applyProtection="0">
      <alignment vertical="top"/>
      <protection locked="0"/>
    </xf>
    <xf numFmtId="9" fontId="6" fillId="0" borderId="0" applyFont="0" applyFill="0" applyBorder="0" applyAlignment="0" applyProtection="0"/>
    <xf numFmtId="0" fontId="6" fillId="0" borderId="0"/>
  </cellStyleXfs>
  <cellXfs count="1962">
    <xf numFmtId="0" fontId="0" fillId="0" borderId="0" xfId="0"/>
    <xf numFmtId="0" fontId="8" fillId="0" borderId="0" xfId="0" applyFont="1"/>
    <xf numFmtId="0" fontId="9" fillId="0" borderId="0" xfId="0" applyFont="1"/>
    <xf numFmtId="3" fontId="9" fillId="0" borderId="0" xfId="0" applyNumberFormat="1" applyFont="1"/>
    <xf numFmtId="4" fontId="0" fillId="0" borderId="0" xfId="0" applyNumberFormat="1"/>
    <xf numFmtId="3" fontId="9" fillId="0" borderId="0" xfId="0" applyNumberFormat="1" applyFont="1" applyProtection="1">
      <protection hidden="1"/>
    </xf>
    <xf numFmtId="0" fontId="9" fillId="0" borderId="0" xfId="0" applyFont="1" applyProtection="1">
      <protection hidden="1"/>
    </xf>
    <xf numFmtId="4" fontId="0" fillId="0" borderId="0" xfId="0" applyNumberFormat="1" applyProtection="1">
      <protection hidden="1"/>
    </xf>
    <xf numFmtId="0" fontId="19" fillId="0" borderId="0" xfId="0" applyFont="1"/>
    <xf numFmtId="0" fontId="7" fillId="0" borderId="2" xfId="0" applyFont="1" applyBorder="1" applyAlignment="1">
      <alignment horizontal="right"/>
    </xf>
    <xf numFmtId="0" fontId="7" fillId="0" borderId="3" xfId="0" applyFont="1" applyBorder="1" applyAlignment="1">
      <alignment horizontal="right"/>
    </xf>
    <xf numFmtId="4" fontId="9" fillId="2" borderId="5" xfId="0" applyNumberFormat="1" applyFont="1" applyFill="1" applyBorder="1" applyProtection="1">
      <protection hidden="1"/>
    </xf>
    <xf numFmtId="0" fontId="11" fillId="0" borderId="0" xfId="0" applyFont="1"/>
    <xf numFmtId="14" fontId="9" fillId="0" borderId="0" xfId="0" applyNumberFormat="1" applyFont="1" applyAlignment="1">
      <alignment horizontal="center"/>
    </xf>
    <xf numFmtId="0" fontId="9" fillId="0" borderId="0" xfId="0" applyFont="1" applyAlignment="1">
      <alignment horizontal="center"/>
    </xf>
    <xf numFmtId="0" fontId="7" fillId="0" borderId="1" xfId="0" applyFont="1" applyBorder="1" applyAlignment="1">
      <alignment horizontal="center"/>
    </xf>
    <xf numFmtId="0" fontId="7" fillId="0" borderId="6" xfId="0" applyFont="1" applyBorder="1" applyAlignment="1">
      <alignment horizontal="center"/>
    </xf>
    <xf numFmtId="3" fontId="8" fillId="0" borderId="0" xfId="0" applyNumberFormat="1" applyFont="1" applyProtection="1">
      <protection hidden="1"/>
    </xf>
    <xf numFmtId="0" fontId="7" fillId="0" borderId="0" xfId="0" applyFont="1" applyAlignment="1">
      <alignment horizontal="right"/>
    </xf>
    <xf numFmtId="0" fontId="0" fillId="3" borderId="0" xfId="0" applyFill="1"/>
    <xf numFmtId="3" fontId="9" fillId="3" borderId="0" xfId="0" applyNumberFormat="1" applyFont="1" applyFill="1" applyProtection="1">
      <protection hidden="1"/>
    </xf>
    <xf numFmtId="4" fontId="8" fillId="3" borderId="0" xfId="0" applyNumberFormat="1" applyFont="1" applyFill="1" applyProtection="1">
      <protection hidden="1"/>
    </xf>
    <xf numFmtId="3" fontId="8" fillId="3" borderId="0" xfId="0" applyNumberFormat="1" applyFont="1" applyFill="1" applyProtection="1">
      <protection hidden="1"/>
    </xf>
    <xf numFmtId="164" fontId="8" fillId="3" borderId="0" xfId="0" applyNumberFormat="1" applyFont="1" applyFill="1" applyProtection="1">
      <protection hidden="1"/>
    </xf>
    <xf numFmtId="4" fontId="9" fillId="3" borderId="0" xfId="0" applyNumberFormat="1" applyFont="1" applyFill="1" applyProtection="1">
      <protection hidden="1"/>
    </xf>
    <xf numFmtId="3" fontId="0" fillId="3" borderId="0" xfId="0" applyNumberFormat="1" applyFill="1" applyProtection="1">
      <protection hidden="1"/>
    </xf>
    <xf numFmtId="167" fontId="9" fillId="3" borderId="0" xfId="0" applyNumberFormat="1" applyFont="1" applyFill="1" applyProtection="1">
      <protection hidden="1"/>
    </xf>
    <xf numFmtId="14" fontId="0" fillId="0" borderId="0" xfId="0" applyNumberFormat="1"/>
    <xf numFmtId="0" fontId="24" fillId="0" borderId="0" xfId="0" applyFont="1"/>
    <xf numFmtId="0" fontId="8" fillId="3" borderId="0" xfId="0" applyFont="1" applyFill="1"/>
    <xf numFmtId="14" fontId="9" fillId="0" borderId="0" xfId="0" applyNumberFormat="1" applyFont="1" applyAlignment="1" applyProtection="1">
      <alignment horizontal="right"/>
      <protection hidden="1"/>
    </xf>
    <xf numFmtId="1" fontId="0" fillId="0" borderId="0" xfId="0" applyNumberFormat="1"/>
    <xf numFmtId="0" fontId="0" fillId="3" borderId="0" xfId="0" applyFill="1" applyProtection="1">
      <protection hidden="1"/>
    </xf>
    <xf numFmtId="0" fontId="10" fillId="0" borderId="0" xfId="0" applyFont="1" applyAlignment="1">
      <alignment horizontal="right" vertical="top" wrapText="1"/>
    </xf>
    <xf numFmtId="3" fontId="8" fillId="3" borderId="0" xfId="0" applyNumberFormat="1" applyFont="1" applyFill="1" applyAlignment="1" applyProtection="1">
      <alignment horizontal="right"/>
      <protection hidden="1"/>
    </xf>
    <xf numFmtId="4" fontId="8" fillId="3" borderId="0" xfId="0" applyNumberFormat="1" applyFont="1" applyFill="1" applyAlignment="1" applyProtection="1">
      <alignment horizontal="right"/>
      <protection hidden="1"/>
    </xf>
    <xf numFmtId="0" fontId="0" fillId="0" borderId="0" xfId="0" applyAlignment="1">
      <alignment horizontal="right" vertical="top" wrapText="1"/>
    </xf>
    <xf numFmtId="3" fontId="18" fillId="0" borderId="0" xfId="0" applyNumberFormat="1" applyFont="1" applyProtection="1">
      <protection hidden="1"/>
    </xf>
    <xf numFmtId="0" fontId="12" fillId="3" borderId="0" xfId="0" applyFont="1" applyFill="1"/>
    <xf numFmtId="14" fontId="10" fillId="0" borderId="0" xfId="0" applyNumberFormat="1" applyFont="1"/>
    <xf numFmtId="0" fontId="28" fillId="0" borderId="0" xfId="0" applyFont="1" applyAlignment="1">
      <alignment horizontal="center"/>
    </xf>
    <xf numFmtId="0" fontId="12" fillId="0" borderId="0" xfId="0" applyFont="1" applyAlignment="1">
      <alignment horizontal="right"/>
    </xf>
    <xf numFmtId="0" fontId="8" fillId="0" borderId="0" xfId="0" applyFont="1" applyAlignment="1">
      <alignment horizontal="right" vertical="top" wrapText="1"/>
    </xf>
    <xf numFmtId="165" fontId="9" fillId="0" borderId="0" xfId="0" applyNumberFormat="1" applyFont="1" applyProtection="1">
      <protection hidden="1"/>
    </xf>
    <xf numFmtId="3" fontId="8" fillId="0" borderId="0" xfId="0" applyNumberFormat="1" applyFont="1"/>
    <xf numFmtId="0" fontId="7" fillId="0" borderId="0" xfId="0" applyFont="1" applyAlignment="1">
      <alignment horizontal="center"/>
    </xf>
    <xf numFmtId="1" fontId="9" fillId="0" borderId="0" xfId="0" applyNumberFormat="1" applyFont="1" applyAlignment="1">
      <alignment horizontal="center"/>
    </xf>
    <xf numFmtId="167" fontId="8" fillId="0" borderId="0" xfId="0" applyNumberFormat="1" applyFont="1"/>
    <xf numFmtId="164" fontId="8" fillId="0" borderId="0" xfId="0" applyNumberFormat="1" applyFont="1"/>
    <xf numFmtId="2" fontId="8" fillId="0" borderId="0" xfId="0" applyNumberFormat="1" applyFont="1"/>
    <xf numFmtId="3" fontId="0" fillId="0" borderId="0" xfId="0" applyNumberFormat="1"/>
    <xf numFmtId="0" fontId="0" fillId="0" borderId="0" xfId="0" applyAlignment="1">
      <alignment horizontal="right"/>
    </xf>
    <xf numFmtId="0" fontId="0" fillId="0" borderId="0" xfId="0" applyProtection="1">
      <protection hidden="1"/>
    </xf>
    <xf numFmtId="0" fontId="12" fillId="0" borderId="0" xfId="0" applyFont="1" applyProtection="1">
      <protection hidden="1"/>
    </xf>
    <xf numFmtId="0" fontId="0" fillId="0" borderId="0" xfId="0" applyAlignment="1" applyProtection="1">
      <alignment horizontal="right"/>
      <protection hidden="1"/>
    </xf>
    <xf numFmtId="0" fontId="19" fillId="0" borderId="84" xfId="0" applyFont="1" applyBorder="1" applyProtection="1">
      <protection hidden="1"/>
    </xf>
    <xf numFmtId="3" fontId="19" fillId="0" borderId="85" xfId="0" applyNumberFormat="1" applyFont="1" applyBorder="1" applyProtection="1">
      <protection hidden="1"/>
    </xf>
    <xf numFmtId="0" fontId="19" fillId="0" borderId="86" xfId="0" applyFont="1" applyBorder="1" applyProtection="1">
      <protection hidden="1"/>
    </xf>
    <xf numFmtId="0" fontId="19" fillId="0" borderId="87" xfId="0" applyFont="1" applyBorder="1" applyProtection="1">
      <protection hidden="1"/>
    </xf>
    <xf numFmtId="0" fontId="19" fillId="0" borderId="88" xfId="0" applyFont="1" applyBorder="1" applyProtection="1">
      <protection hidden="1"/>
    </xf>
    <xf numFmtId="0" fontId="19" fillId="0" borderId="0" xfId="0" applyFont="1" applyProtection="1">
      <protection hidden="1"/>
    </xf>
    <xf numFmtId="0" fontId="18" fillId="0" borderId="0" xfId="0" applyFont="1" applyProtection="1">
      <protection hidden="1"/>
    </xf>
    <xf numFmtId="0" fontId="19" fillId="0" borderId="10" xfId="0" applyFont="1" applyBorder="1"/>
    <xf numFmtId="0" fontId="18" fillId="0" borderId="0" xfId="0" applyFont="1"/>
    <xf numFmtId="3" fontId="19" fillId="0" borderId="0" xfId="0" applyNumberFormat="1" applyFont="1" applyProtection="1">
      <protection hidden="1"/>
    </xf>
    <xf numFmtId="164" fontId="19" fillId="0" borderId="85" xfId="0" applyNumberFormat="1" applyFont="1" applyBorder="1" applyProtection="1">
      <protection hidden="1"/>
    </xf>
    <xf numFmtId="0" fontId="8" fillId="0" borderId="0" xfId="0" applyFont="1" applyProtection="1">
      <protection hidden="1"/>
    </xf>
    <xf numFmtId="164" fontId="19" fillId="4" borderId="85" xfId="0" applyNumberFormat="1" applyFont="1" applyFill="1" applyBorder="1" applyProtection="1">
      <protection hidden="1"/>
    </xf>
    <xf numFmtId="164" fontId="19" fillId="4" borderId="0" xfId="0" applyNumberFormat="1" applyFont="1" applyFill="1" applyProtection="1">
      <protection hidden="1"/>
    </xf>
    <xf numFmtId="3" fontId="19" fillId="0" borderId="0" xfId="0" applyNumberFormat="1" applyFont="1"/>
    <xf numFmtId="164" fontId="19" fillId="0" borderId="0" xfId="0" applyNumberFormat="1" applyFont="1"/>
    <xf numFmtId="0" fontId="12" fillId="0" borderId="0" xfId="0" applyFont="1"/>
    <xf numFmtId="0" fontId="7" fillId="0" borderId="0" xfId="0" applyFont="1" applyProtection="1">
      <protection hidden="1"/>
    </xf>
    <xf numFmtId="4" fontId="7" fillId="3" borderId="0" xfId="0" applyNumberFormat="1" applyFont="1" applyFill="1" applyAlignment="1">
      <alignment horizontal="center"/>
    </xf>
    <xf numFmtId="4" fontId="18" fillId="3" borderId="0" xfId="0" applyNumberFormat="1" applyFont="1" applyFill="1" applyAlignment="1">
      <alignment horizontal="center"/>
    </xf>
    <xf numFmtId="166" fontId="8" fillId="3" borderId="0" xfId="0" applyNumberFormat="1" applyFont="1" applyFill="1" applyAlignment="1">
      <alignment horizontal="right"/>
    </xf>
    <xf numFmtId="9" fontId="8" fillId="3" borderId="0" xfId="0" applyNumberFormat="1" applyFont="1" applyFill="1" applyAlignment="1">
      <alignment horizontal="right"/>
    </xf>
    <xf numFmtId="166" fontId="8" fillId="3" borderId="0" xfId="0" applyNumberFormat="1" applyFont="1" applyFill="1"/>
    <xf numFmtId="9" fontId="8" fillId="3" borderId="0" xfId="0" applyNumberFormat="1" applyFont="1" applyFill="1"/>
    <xf numFmtId="49" fontId="8" fillId="3" borderId="0" xfId="0" applyNumberFormat="1" applyFont="1" applyFill="1" applyAlignment="1">
      <alignment horizontal="right"/>
    </xf>
    <xf numFmtId="0" fontId="9" fillId="3" borderId="0" xfId="0" applyFont="1" applyFill="1"/>
    <xf numFmtId="0" fontId="9" fillId="3" borderId="0" xfId="0" applyFont="1" applyFill="1" applyAlignment="1">
      <alignment horizontal="right"/>
    </xf>
    <xf numFmtId="49" fontId="9" fillId="3" borderId="0" xfId="0" applyNumberFormat="1" applyFont="1" applyFill="1" applyAlignment="1">
      <alignment horizontal="right"/>
    </xf>
    <xf numFmtId="167" fontId="8" fillId="3" borderId="0" xfId="0" applyNumberFormat="1" applyFont="1" applyFill="1"/>
    <xf numFmtId="166" fontId="9" fillId="3" borderId="0" xfId="0" applyNumberFormat="1" applyFont="1" applyFill="1"/>
    <xf numFmtId="3" fontId="8" fillId="3" borderId="0" xfId="0" applyNumberFormat="1" applyFont="1" applyFill="1"/>
    <xf numFmtId="0" fontId="18" fillId="0" borderId="8" xfId="0" applyFont="1" applyBorder="1" applyProtection="1">
      <protection hidden="1"/>
    </xf>
    <xf numFmtId="0" fontId="10" fillId="0" borderId="14" xfId="0" applyFont="1" applyBorder="1" applyAlignment="1" applyProtection="1">
      <alignment horizontal="center"/>
      <protection hidden="1"/>
    </xf>
    <xf numFmtId="0" fontId="8" fillId="0" borderId="0" xfId="0" applyFont="1" applyAlignment="1" applyProtection="1">
      <alignment horizontal="center" vertical="center"/>
      <protection hidden="1"/>
    </xf>
    <xf numFmtId="3" fontId="59" fillId="0" borderId="0" xfId="0" applyNumberFormat="1" applyFont="1" applyAlignment="1" applyProtection="1">
      <alignment horizontal="right" vertical="center"/>
      <protection hidden="1"/>
    </xf>
    <xf numFmtId="2" fontId="0" fillId="0" borderId="0" xfId="0" applyNumberFormat="1"/>
    <xf numFmtId="0" fontId="8" fillId="0" borderId="0" xfId="0" applyFont="1" applyAlignment="1" applyProtection="1">
      <alignment horizontal="center"/>
      <protection hidden="1"/>
    </xf>
    <xf numFmtId="2" fontId="0" fillId="0" borderId="0" xfId="0" applyNumberFormat="1" applyProtection="1">
      <protection hidden="1"/>
    </xf>
    <xf numFmtId="3" fontId="0" fillId="0" borderId="0" xfId="0" applyNumberFormat="1" applyProtection="1">
      <protection hidden="1"/>
    </xf>
    <xf numFmtId="0" fontId="10" fillId="0" borderId="0" xfId="0" applyFont="1" applyAlignment="1">
      <alignment horizontal="right" vertical="top"/>
    </xf>
    <xf numFmtId="0" fontId="0" fillId="0" borderId="0" xfId="0" applyAlignment="1">
      <alignment horizontal="center"/>
    </xf>
    <xf numFmtId="0" fontId="19" fillId="0" borderId="0" xfId="0" applyFont="1" applyAlignment="1">
      <alignment horizontal="center"/>
    </xf>
    <xf numFmtId="0" fontId="0" fillId="3" borderId="0" xfId="0" applyFill="1" applyAlignment="1">
      <alignment horizontal="center"/>
    </xf>
    <xf numFmtId="0" fontId="9" fillId="3" borderId="0" xfId="0" applyFont="1" applyFill="1" applyAlignment="1">
      <alignment horizontal="center"/>
    </xf>
    <xf numFmtId="0" fontId="14" fillId="0" borderId="0" xfId="0" applyFont="1" applyAlignment="1">
      <alignment horizontal="left"/>
    </xf>
    <xf numFmtId="167" fontId="9" fillId="0" borderId="0" xfId="0" applyNumberFormat="1" applyFont="1" applyAlignment="1">
      <alignment horizontal="center"/>
    </xf>
    <xf numFmtId="0" fontId="7" fillId="0" borderId="0" xfId="0" applyFont="1"/>
    <xf numFmtId="0" fontId="10" fillId="0" borderId="0" xfId="0" applyFont="1"/>
    <xf numFmtId="0" fontId="7" fillId="0" borderId="0" xfId="0" quotePrefix="1" applyFont="1" applyAlignment="1">
      <alignment horizontal="right"/>
    </xf>
    <xf numFmtId="16" fontId="7" fillId="0" borderId="21" xfId="0" quotePrefix="1" applyNumberFormat="1" applyFont="1" applyBorder="1" applyAlignment="1">
      <alignment horizontal="right"/>
    </xf>
    <xf numFmtId="1" fontId="0" fillId="0" borderId="22" xfId="0" applyNumberFormat="1" applyBorder="1"/>
    <xf numFmtId="1" fontId="0" fillId="0" borderId="7" xfId="0" applyNumberFormat="1" applyBorder="1"/>
    <xf numFmtId="0" fontId="7" fillId="0" borderId="23" xfId="0" applyFont="1" applyBorder="1" applyAlignment="1">
      <alignment horizontal="right"/>
    </xf>
    <xf numFmtId="0" fontId="7" fillId="0" borderId="24" xfId="0" applyFont="1" applyBorder="1" applyAlignment="1">
      <alignment horizontal="right"/>
    </xf>
    <xf numFmtId="0" fontId="7" fillId="0" borderId="25" xfId="0" applyFont="1" applyBorder="1" applyAlignment="1">
      <alignment horizontal="right"/>
    </xf>
    <xf numFmtId="0" fontId="7" fillId="0" borderId="21" xfId="0" applyFont="1" applyBorder="1" applyAlignment="1">
      <alignment horizontal="right"/>
    </xf>
    <xf numFmtId="0" fontId="8" fillId="0" borderId="21" xfId="0" quotePrefix="1" applyFont="1" applyBorder="1" applyAlignment="1">
      <alignment horizontal="right"/>
    </xf>
    <xf numFmtId="0" fontId="10" fillId="0" borderId="0" xfId="0" applyFont="1" applyAlignment="1">
      <alignment horizontal="right"/>
    </xf>
    <xf numFmtId="0" fontId="8" fillId="0" borderId="0" xfId="0" applyFont="1" applyAlignment="1">
      <alignment horizontal="right" vertical="top"/>
    </xf>
    <xf numFmtId="10" fontId="0" fillId="0" borderId="0" xfId="0" applyNumberFormat="1"/>
    <xf numFmtId="0" fontId="19" fillId="0" borderId="15" xfId="0" applyFont="1" applyBorder="1" applyAlignment="1">
      <alignment horizontal="left"/>
    </xf>
    <xf numFmtId="9" fontId="0" fillId="0" borderId="0" xfId="2" applyFont="1"/>
    <xf numFmtId="164" fontId="0" fillId="0" borderId="0" xfId="2" applyNumberFormat="1" applyFont="1"/>
    <xf numFmtId="165" fontId="0" fillId="0" borderId="0" xfId="0" applyNumberFormat="1"/>
    <xf numFmtId="9" fontId="0" fillId="0" borderId="0" xfId="0" applyNumberFormat="1"/>
    <xf numFmtId="9" fontId="8" fillId="0" borderId="0" xfId="0" applyNumberFormat="1" applyFont="1"/>
    <xf numFmtId="1" fontId="9" fillId="0" borderId="0" xfId="0" applyNumberFormat="1" applyFont="1"/>
    <xf numFmtId="0" fontId="8" fillId="0" borderId="0" xfId="0" applyFont="1" applyAlignment="1">
      <alignment horizontal="center"/>
    </xf>
    <xf numFmtId="9" fontId="19" fillId="0" borderId="10" xfId="2" applyFont="1" applyBorder="1" applyAlignment="1">
      <alignment horizontal="right"/>
    </xf>
    <xf numFmtId="0" fontId="0" fillId="0" borderId="27" xfId="0" applyBorder="1"/>
    <xf numFmtId="0" fontId="11" fillId="0" borderId="28" xfId="0" applyFont="1" applyBorder="1"/>
    <xf numFmtId="0" fontId="0" fillId="0" borderId="28" xfId="0" applyBorder="1"/>
    <xf numFmtId="0" fontId="0" fillId="0" borderId="13" xfId="0" applyBorder="1"/>
    <xf numFmtId="0" fontId="0" fillId="0" borderId="19" xfId="0" applyBorder="1"/>
    <xf numFmtId="10" fontId="0" fillId="0" borderId="0" xfId="2" applyNumberFormat="1" applyFont="1"/>
    <xf numFmtId="0" fontId="0" fillId="0" borderId="29" xfId="0" applyBorder="1"/>
    <xf numFmtId="8" fontId="0" fillId="0" borderId="0" xfId="0" applyNumberFormat="1"/>
    <xf numFmtId="0" fontId="8" fillId="0" borderId="19" xfId="0" applyFont="1" applyBorder="1"/>
    <xf numFmtId="0" fontId="0" fillId="0" borderId="30" xfId="0" applyBorder="1"/>
    <xf numFmtId="0" fontId="0" fillId="0" borderId="31" xfId="0" applyBorder="1"/>
    <xf numFmtId="0" fontId="0" fillId="0" borderId="32" xfId="0" applyBorder="1"/>
    <xf numFmtId="0" fontId="11" fillId="0" borderId="19" xfId="0" applyFont="1" applyBorder="1"/>
    <xf numFmtId="0" fontId="8" fillId="0" borderId="28" xfId="0" applyFont="1" applyBorder="1"/>
    <xf numFmtId="0" fontId="0" fillId="0" borderId="19" xfId="0" applyBorder="1" applyProtection="1">
      <protection hidden="1"/>
    </xf>
    <xf numFmtId="3" fontId="0" fillId="0" borderId="29" xfId="0" applyNumberFormat="1" applyBorder="1"/>
    <xf numFmtId="0" fontId="8" fillId="0" borderId="0" xfId="0" applyFont="1" applyAlignment="1">
      <alignment horizontal="left" vertical="center"/>
    </xf>
    <xf numFmtId="0" fontId="11" fillId="0" borderId="28" xfId="0" applyFont="1" applyBorder="1" applyProtection="1">
      <protection hidden="1"/>
    </xf>
    <xf numFmtId="0" fontId="11" fillId="0" borderId="0" xfId="0" applyFont="1" applyProtection="1">
      <protection hidden="1"/>
    </xf>
    <xf numFmtId="0" fontId="59" fillId="0" borderId="0" xfId="0" applyFont="1"/>
    <xf numFmtId="1" fontId="0" fillId="6" borderId="0" xfId="0" applyNumberFormat="1" applyFill="1"/>
    <xf numFmtId="3" fontId="0" fillId="6" borderId="0" xfId="0" applyNumberFormat="1" applyFill="1"/>
    <xf numFmtId="165" fontId="8" fillId="0" borderId="0" xfId="0" applyNumberFormat="1" applyFont="1" applyAlignment="1">
      <alignment horizontal="center"/>
    </xf>
    <xf numFmtId="3" fontId="0" fillId="6" borderId="0" xfId="0" applyNumberFormat="1" applyFill="1" applyProtection="1">
      <protection hidden="1"/>
    </xf>
    <xf numFmtId="0" fontId="39" fillId="0" borderId="0" xfId="0" applyFont="1" applyAlignment="1">
      <alignment horizontal="right" vertical="center"/>
    </xf>
    <xf numFmtId="14" fontId="39" fillId="0" borderId="0" xfId="0" applyNumberFormat="1" applyFont="1" applyAlignment="1">
      <alignment horizontal="right" vertical="center"/>
    </xf>
    <xf numFmtId="0" fontId="39" fillId="0" borderId="0" xfId="0" applyFont="1" applyAlignment="1" applyProtection="1">
      <alignment horizontal="right"/>
      <protection hidden="1"/>
    </xf>
    <xf numFmtId="0" fontId="0" fillId="0" borderId="6" xfId="0" applyBorder="1"/>
    <xf numFmtId="0" fontId="0" fillId="0" borderId="20" xfId="0" applyBorder="1"/>
    <xf numFmtId="0" fontId="0" fillId="0" borderId="9" xfId="0" applyBorder="1"/>
    <xf numFmtId="3" fontId="19" fillId="0" borderId="33" xfId="0" applyNumberFormat="1" applyFont="1" applyBorder="1" applyAlignment="1">
      <alignment horizontal="center"/>
    </xf>
    <xf numFmtId="3" fontId="19" fillId="0" borderId="10" xfId="0" applyNumberFormat="1" applyFont="1" applyBorder="1" applyAlignment="1">
      <alignment horizontal="center"/>
    </xf>
    <xf numFmtId="3" fontId="19" fillId="0" borderId="12" xfId="0" applyNumberFormat="1" applyFont="1" applyBorder="1" applyAlignment="1">
      <alignment horizontal="center"/>
    </xf>
    <xf numFmtId="0" fontId="18" fillId="0" borderId="0" xfId="0" applyFont="1" applyAlignment="1">
      <alignment horizontal="center" vertical="center"/>
    </xf>
    <xf numFmtId="0" fontId="18" fillId="7" borderId="19" xfId="0" applyFont="1" applyFill="1" applyBorder="1" applyAlignment="1" applyProtection="1">
      <alignment vertical="center"/>
      <protection hidden="1"/>
    </xf>
    <xf numFmtId="0" fontId="0" fillId="0" borderId="11" xfId="0" applyBorder="1"/>
    <xf numFmtId="0" fontId="0" fillId="0" borderId="8" xfId="0" applyBorder="1"/>
    <xf numFmtId="0" fontId="19" fillId="0" borderId="0" xfId="0" applyFont="1" applyAlignment="1" applyProtection="1">
      <alignment vertical="center"/>
      <protection hidden="1"/>
    </xf>
    <xf numFmtId="0" fontId="0" fillId="0" borderId="0" xfId="0" applyAlignment="1">
      <alignment vertical="center"/>
    </xf>
    <xf numFmtId="0" fontId="61" fillId="0" borderId="0" xfId="0" applyFont="1" applyAlignment="1">
      <alignment horizontal="center" vertical="center"/>
    </xf>
    <xf numFmtId="0" fontId="40" fillId="3" borderId="0" xfId="0" applyFont="1" applyFill="1"/>
    <xf numFmtId="0" fontId="41" fillId="3" borderId="0" xfId="0" applyFont="1" applyFill="1"/>
    <xf numFmtId="49" fontId="8" fillId="3" borderId="0" xfId="0" applyNumberFormat="1" applyFont="1" applyFill="1" applyAlignment="1">
      <alignment horizontal="right" vertical="center"/>
    </xf>
    <xf numFmtId="0" fontId="44" fillId="0" borderId="0" xfId="0" applyFont="1"/>
    <xf numFmtId="3" fontId="45" fillId="0" borderId="0" xfId="0" applyNumberFormat="1" applyFont="1"/>
    <xf numFmtId="3" fontId="8" fillId="0" borderId="0" xfId="0" applyNumberFormat="1" applyFont="1" applyAlignment="1">
      <alignment horizontal="right"/>
    </xf>
    <xf numFmtId="3" fontId="7" fillId="0" borderId="0" xfId="0" applyNumberFormat="1" applyFont="1" applyAlignment="1">
      <alignment horizontal="right"/>
    </xf>
    <xf numFmtId="0" fontId="46" fillId="0" borderId="0" xfId="0" applyFont="1" applyAlignment="1">
      <alignment horizontal="center"/>
    </xf>
    <xf numFmtId="0" fontId="35" fillId="0" borderId="0" xfId="0" applyFont="1" applyAlignment="1">
      <alignment horizontal="right"/>
    </xf>
    <xf numFmtId="0" fontId="8" fillId="8" borderId="36" xfId="0" applyFont="1" applyFill="1" applyBorder="1" applyProtection="1">
      <protection hidden="1"/>
    </xf>
    <xf numFmtId="0" fontId="8" fillId="8" borderId="37" xfId="0" applyFont="1" applyFill="1" applyBorder="1" applyAlignment="1" applyProtection="1">
      <alignment horizontal="center" vertical="center"/>
      <protection hidden="1"/>
    </xf>
    <xf numFmtId="0" fontId="0" fillId="8" borderId="38" xfId="0" applyFill="1" applyBorder="1" applyAlignment="1" applyProtection="1">
      <alignment horizontal="center"/>
      <protection hidden="1"/>
    </xf>
    <xf numFmtId="0" fontId="8" fillId="0" borderId="18" xfId="0" applyFont="1" applyBorder="1" applyProtection="1">
      <protection hidden="1"/>
    </xf>
    <xf numFmtId="3" fontId="0" fillId="0" borderId="39" xfId="0" applyNumberFormat="1" applyBorder="1" applyAlignment="1" applyProtection="1">
      <alignment horizontal="right"/>
      <protection hidden="1"/>
    </xf>
    <xf numFmtId="166" fontId="8" fillId="0" borderId="0" xfId="0" applyNumberFormat="1" applyFont="1" applyAlignment="1" applyProtection="1">
      <alignment horizontal="center" vertical="center"/>
      <protection hidden="1"/>
    </xf>
    <xf numFmtId="0" fontId="8" fillId="0" borderId="18" xfId="0" applyFont="1" applyBorder="1" applyAlignment="1" applyProtection="1">
      <alignment horizontal="left"/>
      <protection hidden="1"/>
    </xf>
    <xf numFmtId="3" fontId="47" fillId="0" borderId="39" xfId="0" applyNumberFormat="1" applyFont="1" applyBorder="1" applyAlignment="1" applyProtection="1">
      <alignment horizontal="right"/>
      <protection hidden="1"/>
    </xf>
    <xf numFmtId="3" fontId="0" fillId="0" borderId="20" xfId="0" applyNumberFormat="1" applyBorder="1" applyAlignment="1" applyProtection="1">
      <alignment horizontal="right"/>
      <protection hidden="1"/>
    </xf>
    <xf numFmtId="3" fontId="47" fillId="0" borderId="39" xfId="0" applyNumberFormat="1" applyFont="1" applyBorder="1" applyProtection="1">
      <protection hidden="1"/>
    </xf>
    <xf numFmtId="3" fontId="0" fillId="0" borderId="20" xfId="0" applyNumberFormat="1" applyBorder="1" applyProtection="1">
      <protection hidden="1"/>
    </xf>
    <xf numFmtId="0" fontId="8" fillId="0" borderId="22" xfId="0" applyFont="1" applyBorder="1" applyAlignment="1" applyProtection="1">
      <alignment horizontal="left"/>
      <protection hidden="1"/>
    </xf>
    <xf numFmtId="166" fontId="8" fillId="0" borderId="22" xfId="0" applyNumberFormat="1" applyFont="1" applyBorder="1" applyAlignment="1" applyProtection="1">
      <alignment horizontal="center"/>
      <protection hidden="1"/>
    </xf>
    <xf numFmtId="3" fontId="47" fillId="0" borderId="22" xfId="0" applyNumberFormat="1" applyFont="1" applyBorder="1" applyProtection="1">
      <protection hidden="1"/>
    </xf>
    <xf numFmtId="3" fontId="0" fillId="0" borderId="22" xfId="0" applyNumberFormat="1" applyBorder="1" applyProtection="1">
      <protection hidden="1"/>
    </xf>
    <xf numFmtId="3" fontId="8" fillId="0" borderId="39" xfId="0" applyNumberFormat="1" applyFont="1" applyBorder="1" applyAlignment="1" applyProtection="1">
      <alignment horizontal="right"/>
      <protection hidden="1"/>
    </xf>
    <xf numFmtId="0" fontId="8" fillId="0" borderId="89" xfId="0" applyFont="1" applyBorder="1" applyProtection="1">
      <protection hidden="1"/>
    </xf>
    <xf numFmtId="2" fontId="8" fillId="0" borderId="90" xfId="0" applyNumberFormat="1" applyFont="1" applyBorder="1" applyAlignment="1" applyProtection="1">
      <alignment horizontal="center" vertical="center"/>
      <protection hidden="1"/>
    </xf>
    <xf numFmtId="3" fontId="0" fillId="0" borderId="91" xfId="0" applyNumberFormat="1" applyBorder="1" applyAlignment="1" applyProtection="1">
      <alignment horizontal="right"/>
      <protection hidden="1"/>
    </xf>
    <xf numFmtId="0" fontId="8" fillId="0" borderId="92" xfId="0" applyFont="1" applyBorder="1" applyAlignment="1" applyProtection="1">
      <alignment horizontal="left"/>
      <protection hidden="1"/>
    </xf>
    <xf numFmtId="166" fontId="0" fillId="0" borderId="93" xfId="0" applyNumberFormat="1" applyBorder="1" applyAlignment="1" applyProtection="1">
      <alignment horizontal="center"/>
      <protection hidden="1"/>
    </xf>
    <xf numFmtId="3" fontId="0" fillId="0" borderId="94" xfId="0" applyNumberFormat="1" applyBorder="1" applyProtection="1">
      <protection hidden="1"/>
    </xf>
    <xf numFmtId="0" fontId="8" fillId="0" borderId="95" xfId="0" applyFont="1" applyBorder="1" applyAlignment="1" applyProtection="1">
      <alignment horizontal="left"/>
      <protection hidden="1"/>
    </xf>
    <xf numFmtId="3" fontId="47" fillId="0" borderId="96" xfId="0" applyNumberFormat="1" applyFont="1" applyBorder="1" applyProtection="1">
      <protection hidden="1"/>
    </xf>
    <xf numFmtId="3" fontId="0" fillId="0" borderId="97" xfId="0" applyNumberFormat="1" applyBorder="1" applyProtection="1">
      <protection hidden="1"/>
    </xf>
    <xf numFmtId="0" fontId="8" fillId="9" borderId="40" xfId="0" applyFont="1" applyFill="1" applyBorder="1" applyProtection="1">
      <protection hidden="1"/>
    </xf>
    <xf numFmtId="166" fontId="8" fillId="9" borderId="41" xfId="0" applyNumberFormat="1" applyFont="1" applyFill="1" applyBorder="1" applyAlignment="1" applyProtection="1">
      <alignment horizontal="center"/>
      <protection hidden="1"/>
    </xf>
    <xf numFmtId="3" fontId="47" fillId="9" borderId="42" xfId="0" applyNumberFormat="1" applyFont="1" applyFill="1" applyBorder="1" applyAlignment="1" applyProtection="1">
      <alignment horizontal="center"/>
      <protection hidden="1"/>
    </xf>
    <xf numFmtId="0" fontId="0" fillId="0" borderId="43" xfId="0" applyBorder="1" applyProtection="1">
      <protection hidden="1"/>
    </xf>
    <xf numFmtId="0" fontId="8" fillId="0" borderId="44" xfId="0" applyFont="1" applyBorder="1" applyProtection="1">
      <protection hidden="1"/>
    </xf>
    <xf numFmtId="166" fontId="0" fillId="0" borderId="31" xfId="0" applyNumberFormat="1" applyBorder="1" applyAlignment="1" applyProtection="1">
      <alignment horizontal="center"/>
      <protection hidden="1"/>
    </xf>
    <xf numFmtId="166" fontId="0" fillId="0" borderId="0" xfId="0" applyNumberFormat="1" applyAlignment="1" applyProtection="1">
      <alignment horizontal="center"/>
      <protection hidden="1"/>
    </xf>
    <xf numFmtId="3" fontId="47" fillId="0" borderId="0" xfId="0" applyNumberFormat="1" applyFont="1" applyProtection="1">
      <protection hidden="1"/>
    </xf>
    <xf numFmtId="0" fontId="8" fillId="0" borderId="16" xfId="0" applyFont="1" applyBorder="1" applyProtection="1">
      <protection hidden="1"/>
    </xf>
    <xf numFmtId="166" fontId="0" fillId="0" borderId="8" xfId="0" applyNumberFormat="1" applyBorder="1" applyAlignment="1" applyProtection="1">
      <alignment horizontal="center"/>
      <protection hidden="1"/>
    </xf>
    <xf numFmtId="0" fontId="0" fillId="9" borderId="6" xfId="0" applyFill="1" applyBorder="1" applyAlignment="1" applyProtection="1">
      <alignment horizontal="center"/>
      <protection hidden="1"/>
    </xf>
    <xf numFmtId="0" fontId="43" fillId="0" borderId="45" xfId="0" applyFont="1" applyBorder="1" applyProtection="1">
      <protection hidden="1"/>
    </xf>
    <xf numFmtId="166" fontId="43" fillId="0" borderId="27" xfId="0" applyNumberFormat="1" applyFont="1" applyBorder="1" applyAlignment="1" applyProtection="1">
      <alignment horizontal="center"/>
      <protection hidden="1"/>
    </xf>
    <xf numFmtId="0" fontId="43" fillId="0" borderId="46" xfId="0" applyFont="1" applyBorder="1" applyProtection="1">
      <protection hidden="1"/>
    </xf>
    <xf numFmtId="166" fontId="43" fillId="0" borderId="30" xfId="0" applyNumberFormat="1" applyFont="1" applyBorder="1" applyAlignment="1" applyProtection="1">
      <alignment horizontal="center"/>
      <protection hidden="1"/>
    </xf>
    <xf numFmtId="0" fontId="43" fillId="0" borderId="18" xfId="0" applyFont="1" applyBorder="1" applyProtection="1">
      <protection hidden="1"/>
    </xf>
    <xf numFmtId="166" fontId="43" fillId="0" borderId="19" xfId="0" applyNumberFormat="1" applyFont="1" applyBorder="1" applyAlignment="1" applyProtection="1">
      <alignment horizontal="center"/>
      <protection hidden="1"/>
    </xf>
    <xf numFmtId="0" fontId="0" fillId="0" borderId="8" xfId="0" applyBorder="1" applyProtection="1">
      <protection hidden="1"/>
    </xf>
    <xf numFmtId="0" fontId="43" fillId="0" borderId="0" xfId="0" applyFont="1" applyProtection="1">
      <protection hidden="1"/>
    </xf>
    <xf numFmtId="0" fontId="8" fillId="7" borderId="0" xfId="0" applyFont="1" applyFill="1" applyAlignment="1" applyProtection="1">
      <alignment horizontal="center" vertical="center"/>
      <protection hidden="1"/>
    </xf>
    <xf numFmtId="3" fontId="62" fillId="0" borderId="0" xfId="0" applyNumberFormat="1" applyFont="1" applyProtection="1">
      <protection hidden="1"/>
    </xf>
    <xf numFmtId="0" fontId="8" fillId="0" borderId="14" xfId="0" applyFont="1" applyBorder="1"/>
    <xf numFmtId="0" fontId="0" fillId="0" borderId="14" xfId="0" applyBorder="1"/>
    <xf numFmtId="3" fontId="0" fillId="0" borderId="14" xfId="0" applyNumberFormat="1" applyBorder="1"/>
    <xf numFmtId="3" fontId="8" fillId="0" borderId="14" xfId="0" applyNumberFormat="1" applyFont="1" applyBorder="1"/>
    <xf numFmtId="3" fontId="47" fillId="0" borderId="0" xfId="0" applyNumberFormat="1" applyFont="1" applyAlignment="1" applyProtection="1">
      <alignment horizontal="right"/>
      <protection hidden="1"/>
    </xf>
    <xf numFmtId="0" fontId="8" fillId="7" borderId="99" xfId="0" applyFont="1" applyFill="1" applyBorder="1" applyAlignment="1" applyProtection="1">
      <alignment horizontal="center" vertical="center"/>
      <protection hidden="1"/>
    </xf>
    <xf numFmtId="166" fontId="8" fillId="0" borderId="99" xfId="0" applyNumberFormat="1" applyFont="1" applyBorder="1" applyAlignment="1" applyProtection="1">
      <alignment horizontal="center" vertical="center"/>
      <protection hidden="1"/>
    </xf>
    <xf numFmtId="2" fontId="8" fillId="10" borderId="99" xfId="0" applyNumberFormat="1" applyFont="1" applyFill="1" applyBorder="1" applyAlignment="1" applyProtection="1">
      <alignment horizontal="center" vertical="center"/>
      <protection hidden="1"/>
    </xf>
    <xf numFmtId="166" fontId="43" fillId="0" borderId="0" xfId="0" applyNumberFormat="1" applyFont="1" applyAlignment="1" applyProtection="1">
      <alignment horizontal="center"/>
      <protection hidden="1"/>
    </xf>
    <xf numFmtId="3" fontId="47" fillId="0" borderId="0" xfId="0" applyNumberFormat="1" applyFont="1" applyAlignment="1" applyProtection="1">
      <alignment horizontal="center"/>
      <protection hidden="1"/>
    </xf>
    <xf numFmtId="166" fontId="43" fillId="0" borderId="18" xfId="0" applyNumberFormat="1" applyFont="1" applyBorder="1" applyAlignment="1" applyProtection="1">
      <alignment horizontal="center"/>
      <protection hidden="1"/>
    </xf>
    <xf numFmtId="167" fontId="47" fillId="0" borderId="0" xfId="0" applyNumberFormat="1" applyFont="1" applyProtection="1">
      <protection hidden="1"/>
    </xf>
    <xf numFmtId="167" fontId="0" fillId="0" borderId="0" xfId="0" applyNumberFormat="1" applyProtection="1">
      <protection hidden="1"/>
    </xf>
    <xf numFmtId="0" fontId="40" fillId="0" borderId="0" xfId="0" applyFont="1"/>
    <xf numFmtId="0" fontId="19" fillId="0" borderId="14" xfId="0" applyFont="1" applyBorder="1" applyAlignment="1">
      <alignment horizontal="left"/>
    </xf>
    <xf numFmtId="0" fontId="0" fillId="0" borderId="40" xfId="0" applyBorder="1"/>
    <xf numFmtId="0" fontId="0" fillId="0" borderId="18" xfId="0" applyBorder="1"/>
    <xf numFmtId="3" fontId="0" fillId="0" borderId="18" xfId="0" applyNumberFormat="1" applyBorder="1"/>
    <xf numFmtId="0" fontId="8" fillId="0" borderId="18" xfId="0" applyFont="1" applyBorder="1"/>
    <xf numFmtId="0" fontId="9" fillId="0" borderId="16" xfId="0" applyFont="1" applyBorder="1"/>
    <xf numFmtId="3" fontId="9" fillId="0" borderId="8" xfId="0" applyNumberFormat="1" applyFont="1" applyBorder="1"/>
    <xf numFmtId="49" fontId="8" fillId="0" borderId="0" xfId="0" applyNumberFormat="1" applyFont="1" applyAlignment="1">
      <alignment horizontal="right" vertical="center"/>
    </xf>
    <xf numFmtId="0" fontId="8" fillId="0" borderId="0" xfId="0" applyFont="1" applyAlignment="1">
      <alignment horizontal="center" vertical="center"/>
    </xf>
    <xf numFmtId="167" fontId="8" fillId="0" borderId="0" xfId="0" applyNumberFormat="1" applyFont="1" applyAlignment="1">
      <alignment horizontal="center" vertical="center"/>
    </xf>
    <xf numFmtId="9" fontId="19" fillId="0" borderId="14" xfId="2" applyFont="1" applyBorder="1" applyAlignment="1">
      <alignment horizontal="right"/>
    </xf>
    <xf numFmtId="1" fontId="0" fillId="6" borderId="14" xfId="0" applyNumberFormat="1" applyFill="1" applyBorder="1"/>
    <xf numFmtId="10" fontId="0" fillId="0" borderId="14" xfId="0" applyNumberFormat="1" applyBorder="1"/>
    <xf numFmtId="3" fontId="0" fillId="6" borderId="14" xfId="0" applyNumberFormat="1" applyFill="1" applyBorder="1"/>
    <xf numFmtId="1" fontId="0" fillId="0" borderId="14" xfId="0" applyNumberFormat="1" applyBorder="1"/>
    <xf numFmtId="10" fontId="8" fillId="0" borderId="14" xfId="0" applyNumberFormat="1" applyFont="1" applyBorder="1"/>
    <xf numFmtId="0" fontId="8" fillId="0" borderId="14" xfId="0" applyFont="1" applyBorder="1" applyAlignment="1">
      <alignment horizontal="right"/>
    </xf>
    <xf numFmtId="164" fontId="38" fillId="6" borderId="14" xfId="2" applyNumberFormat="1" applyFont="1" applyFill="1" applyBorder="1"/>
    <xf numFmtId="3" fontId="9" fillId="0" borderId="14" xfId="0" applyNumberFormat="1" applyFont="1" applyBorder="1"/>
    <xf numFmtId="1" fontId="9" fillId="0" borderId="14" xfId="0" applyNumberFormat="1" applyFont="1" applyBorder="1"/>
    <xf numFmtId="9" fontId="0" fillId="0" borderId="14" xfId="2" applyFont="1" applyBorder="1"/>
    <xf numFmtId="0" fontId="63" fillId="0" borderId="14" xfId="0" applyFont="1" applyBorder="1"/>
    <xf numFmtId="1" fontId="63" fillId="0" borderId="14" xfId="0" applyNumberFormat="1" applyFont="1" applyBorder="1"/>
    <xf numFmtId="0" fontId="64" fillId="0" borderId="0" xfId="0" applyFont="1"/>
    <xf numFmtId="0" fontId="65" fillId="0" borderId="0" xfId="0" applyFont="1"/>
    <xf numFmtId="0" fontId="48" fillId="0" borderId="0" xfId="0" applyFont="1"/>
    <xf numFmtId="0" fontId="67" fillId="0" borderId="0" xfId="0" applyFont="1" applyAlignment="1">
      <alignment horizontal="center"/>
    </xf>
    <xf numFmtId="0" fontId="9" fillId="0" borderId="0" xfId="0" applyFont="1" applyAlignment="1" applyProtection="1">
      <alignment horizontal="right"/>
      <protection hidden="1"/>
    </xf>
    <xf numFmtId="164" fontId="19" fillId="11" borderId="14" xfId="0" applyNumberFormat="1" applyFont="1" applyFill="1" applyBorder="1" applyAlignment="1" applyProtection="1">
      <alignment horizontal="center"/>
      <protection locked="0"/>
    </xf>
    <xf numFmtId="3" fontId="19" fillId="11" borderId="14" xfId="0" applyNumberFormat="1" applyFont="1" applyFill="1" applyBorder="1" applyAlignment="1" applyProtection="1">
      <alignment horizontal="center"/>
      <protection locked="0"/>
    </xf>
    <xf numFmtId="0" fontId="19" fillId="0" borderId="33" xfId="0" applyFont="1" applyBorder="1" applyAlignment="1" applyProtection="1">
      <alignment vertical="center"/>
      <protection hidden="1"/>
    </xf>
    <xf numFmtId="0" fontId="19" fillId="0" borderId="12" xfId="0" applyFont="1" applyBorder="1" applyAlignment="1" applyProtection="1">
      <alignment vertical="center"/>
      <protection hidden="1"/>
    </xf>
    <xf numFmtId="0" fontId="18" fillId="7" borderId="33" xfId="0" applyFont="1" applyFill="1" applyBorder="1" applyAlignment="1" applyProtection="1">
      <alignment vertical="center"/>
      <protection hidden="1"/>
    </xf>
    <xf numFmtId="0" fontId="18" fillId="7" borderId="12" xfId="0" applyFont="1" applyFill="1" applyBorder="1" applyAlignment="1" applyProtection="1">
      <alignment vertical="center"/>
      <protection hidden="1"/>
    </xf>
    <xf numFmtId="0" fontId="18" fillId="0" borderId="12" xfId="0" applyFont="1" applyBorder="1" applyAlignment="1" applyProtection="1">
      <alignment vertical="center"/>
      <protection hidden="1"/>
    </xf>
    <xf numFmtId="0" fontId="19" fillId="0" borderId="10" xfId="0" applyFont="1" applyBorder="1" applyAlignment="1" applyProtection="1">
      <alignment vertical="center"/>
      <protection hidden="1"/>
    </xf>
    <xf numFmtId="0" fontId="18" fillId="7" borderId="53" xfId="0" applyFont="1" applyFill="1" applyBorder="1" applyAlignment="1" applyProtection="1">
      <alignment vertical="center"/>
      <protection hidden="1"/>
    </xf>
    <xf numFmtId="0" fontId="18" fillId="7" borderId="54" xfId="0" applyFont="1" applyFill="1" applyBorder="1" applyAlignment="1" applyProtection="1">
      <alignment vertical="center"/>
      <protection hidden="1"/>
    </xf>
    <xf numFmtId="0" fontId="9" fillId="0" borderId="0" xfId="0" applyFont="1" applyAlignment="1">
      <alignment vertical="center"/>
    </xf>
    <xf numFmtId="1" fontId="0" fillId="0" borderId="0" xfId="0" applyNumberFormat="1" applyAlignment="1" applyProtection="1">
      <alignment horizontal="center"/>
      <protection hidden="1"/>
    </xf>
    <xf numFmtId="167" fontId="0" fillId="0" borderId="0" xfId="0" applyNumberFormat="1"/>
    <xf numFmtId="3" fontId="62" fillId="0" borderId="0" xfId="0" applyNumberFormat="1" applyFont="1" applyAlignment="1" applyProtection="1">
      <alignment vertical="top"/>
      <protection hidden="1"/>
    </xf>
    <xf numFmtId="0" fontId="49" fillId="0" borderId="10" xfId="0" applyFont="1" applyBorder="1" applyAlignment="1">
      <alignment horizontal="left"/>
    </xf>
    <xf numFmtId="0" fontId="49" fillId="0" borderId="33" xfId="0" applyFont="1" applyBorder="1" applyAlignment="1">
      <alignment horizontal="center"/>
    </xf>
    <xf numFmtId="3" fontId="19" fillId="0" borderId="14" xfId="0" applyNumberFormat="1" applyFont="1" applyBorder="1" applyProtection="1">
      <protection hidden="1"/>
    </xf>
    <xf numFmtId="3" fontId="68" fillId="7" borderId="14" xfId="0" applyNumberFormat="1" applyFont="1" applyFill="1" applyBorder="1" applyProtection="1">
      <protection hidden="1"/>
    </xf>
    <xf numFmtId="3" fontId="68" fillId="7" borderId="39" xfId="0" applyNumberFormat="1" applyFont="1" applyFill="1" applyBorder="1" applyProtection="1">
      <protection hidden="1"/>
    </xf>
    <xf numFmtId="164" fontId="19" fillId="0" borderId="14" xfId="0" applyNumberFormat="1" applyFont="1" applyBorder="1" applyAlignment="1">
      <alignment horizontal="center"/>
    </xf>
    <xf numFmtId="0" fontId="19" fillId="0" borderId="14" xfId="0" applyFont="1" applyBorder="1" applyProtection="1">
      <protection hidden="1"/>
    </xf>
    <xf numFmtId="0" fontId="0" fillId="0" borderId="0" xfId="0" applyAlignment="1">
      <alignment horizontal="left"/>
    </xf>
    <xf numFmtId="3" fontId="8" fillId="0" borderId="14" xfId="0" applyNumberFormat="1" applyFont="1" applyBorder="1" applyProtection="1">
      <protection hidden="1"/>
    </xf>
    <xf numFmtId="0" fontId="51" fillId="3" borderId="0" xfId="0" applyFont="1" applyFill="1" applyAlignment="1" applyProtection="1">
      <alignment horizontal="left" vertical="center"/>
      <protection hidden="1"/>
    </xf>
    <xf numFmtId="0" fontId="64" fillId="0" borderId="0" xfId="0" applyFont="1" applyAlignment="1">
      <alignment horizontal="center"/>
    </xf>
    <xf numFmtId="0" fontId="6" fillId="0" borderId="0" xfId="0" applyFont="1"/>
    <xf numFmtId="0" fontId="9" fillId="0" borderId="0" xfId="0" applyFont="1" applyAlignment="1">
      <alignment horizontal="left"/>
    </xf>
    <xf numFmtId="0" fontId="9" fillId="0" borderId="0" xfId="0" applyFont="1" applyAlignment="1">
      <alignment horizontal="left" vertical="center"/>
    </xf>
    <xf numFmtId="14" fontId="9" fillId="0" borderId="0" xfId="0" applyNumberFormat="1" applyFont="1" applyAlignment="1">
      <alignment horizontal="right"/>
    </xf>
    <xf numFmtId="0" fontId="52" fillId="0" borderId="0" xfId="0" applyFont="1" applyProtection="1">
      <protection hidden="1"/>
    </xf>
    <xf numFmtId="0" fontId="52" fillId="0" borderId="0" xfId="0" applyFont="1"/>
    <xf numFmtId="0" fontId="18" fillId="0" borderId="0" xfId="0" applyFont="1" applyAlignment="1">
      <alignment horizontal="right"/>
    </xf>
    <xf numFmtId="0" fontId="69" fillId="0" borderId="0" xfId="0" applyFont="1" applyAlignment="1">
      <alignment horizontal="center"/>
    </xf>
    <xf numFmtId="0" fontId="6" fillId="0" borderId="14" xfId="0" applyFont="1" applyBorder="1" applyProtection="1">
      <protection hidden="1"/>
    </xf>
    <xf numFmtId="3" fontId="50" fillId="8" borderId="14" xfId="0" applyNumberFormat="1" applyFont="1" applyFill="1" applyBorder="1" applyProtection="1">
      <protection locked="0"/>
    </xf>
    <xf numFmtId="3" fontId="50" fillId="8" borderId="100" xfId="0" applyNumberFormat="1" applyFont="1" applyFill="1" applyBorder="1" applyProtection="1">
      <protection locked="0"/>
    </xf>
    <xf numFmtId="0" fontId="50" fillId="0" borderId="14" xfId="0" applyFont="1" applyBorder="1" applyAlignment="1">
      <alignment horizontal="right"/>
    </xf>
    <xf numFmtId="3" fontId="50" fillId="8" borderId="101" xfId="0" applyNumberFormat="1" applyFont="1" applyFill="1" applyBorder="1" applyProtection="1">
      <protection locked="0"/>
    </xf>
    <xf numFmtId="3" fontId="47" fillId="0" borderId="2" xfId="0" applyNumberFormat="1" applyFont="1" applyBorder="1" applyProtection="1">
      <protection hidden="1"/>
    </xf>
    <xf numFmtId="3" fontId="0" fillId="0" borderId="65" xfId="0" applyNumberFormat="1" applyBorder="1" applyProtection="1">
      <protection hidden="1"/>
    </xf>
    <xf numFmtId="3" fontId="47" fillId="0" borderId="62" xfId="0" applyNumberFormat="1" applyFont="1" applyBorder="1" applyProtection="1">
      <protection hidden="1"/>
    </xf>
    <xf numFmtId="3" fontId="0" fillId="0" borderId="66" xfId="0" applyNumberFormat="1" applyBorder="1" applyProtection="1">
      <protection hidden="1"/>
    </xf>
    <xf numFmtId="3" fontId="47" fillId="0" borderId="8" xfId="0" applyNumberFormat="1" applyFont="1" applyBorder="1" applyProtection="1">
      <protection hidden="1"/>
    </xf>
    <xf numFmtId="3" fontId="0" fillId="0" borderId="2" xfId="0" applyNumberFormat="1" applyBorder="1" applyProtection="1">
      <protection hidden="1"/>
    </xf>
    <xf numFmtId="3" fontId="0" fillId="0" borderId="67" xfId="0" applyNumberFormat="1" applyBorder="1" applyProtection="1">
      <protection hidden="1"/>
    </xf>
    <xf numFmtId="3" fontId="0" fillId="0" borderId="39" xfId="0" applyNumberFormat="1" applyBorder="1" applyProtection="1">
      <protection hidden="1"/>
    </xf>
    <xf numFmtId="3" fontId="0" fillId="0" borderId="68" xfId="0" applyNumberFormat="1" applyBorder="1" applyProtection="1">
      <protection hidden="1"/>
    </xf>
    <xf numFmtId="3" fontId="0" fillId="0" borderId="48" xfId="0" applyNumberFormat="1" applyBorder="1" applyProtection="1">
      <protection hidden="1"/>
    </xf>
    <xf numFmtId="3" fontId="0" fillId="0" borderId="17" xfId="0" applyNumberFormat="1" applyBorder="1" applyProtection="1">
      <protection hidden="1"/>
    </xf>
    <xf numFmtId="0" fontId="18" fillId="0" borderId="0" xfId="0" applyFont="1" applyAlignment="1">
      <alignment horizontal="center"/>
    </xf>
    <xf numFmtId="3" fontId="9" fillId="0" borderId="0" xfId="0" applyNumberFormat="1" applyFont="1" applyAlignment="1" applyProtection="1">
      <alignment vertical="center"/>
      <protection hidden="1"/>
    </xf>
    <xf numFmtId="0" fontId="18" fillId="0" borderId="8" xfId="0" applyFont="1" applyBorder="1" applyAlignment="1">
      <alignment horizontal="center"/>
    </xf>
    <xf numFmtId="1" fontId="18" fillId="0" borderId="14" xfId="0" applyNumberFormat="1" applyFont="1" applyBorder="1" applyAlignment="1">
      <alignment horizontal="center"/>
    </xf>
    <xf numFmtId="0" fontId="18" fillId="0" borderId="14" xfId="0" applyFont="1" applyBorder="1" applyAlignment="1">
      <alignment horizontal="center"/>
    </xf>
    <xf numFmtId="0" fontId="19" fillId="0" borderId="12" xfId="0" applyFont="1" applyBorder="1" applyAlignment="1">
      <alignment horizontal="left" vertical="center"/>
    </xf>
    <xf numFmtId="3" fontId="9" fillId="3" borderId="0" xfId="0" applyNumberFormat="1" applyFont="1" applyFill="1"/>
    <xf numFmtId="49" fontId="6" fillId="3" borderId="0" xfId="0" applyNumberFormat="1" applyFont="1" applyFill="1" applyAlignment="1">
      <alignment horizontal="left"/>
    </xf>
    <xf numFmtId="3" fontId="9" fillId="3" borderId="0" xfId="0" applyNumberFormat="1" applyFont="1" applyFill="1" applyAlignment="1">
      <alignment horizontal="right"/>
    </xf>
    <xf numFmtId="3" fontId="6" fillId="3" borderId="0" xfId="0" applyNumberFormat="1" applyFont="1" applyFill="1"/>
    <xf numFmtId="3" fontId="19" fillId="0" borderId="0" xfId="0" applyNumberFormat="1" applyFont="1" applyAlignment="1" applyProtection="1">
      <alignment vertical="center"/>
      <protection hidden="1"/>
    </xf>
    <xf numFmtId="3" fontId="6" fillId="3" borderId="0" xfId="0" applyNumberFormat="1" applyFont="1" applyFill="1" applyAlignment="1">
      <alignment horizontal="right"/>
    </xf>
    <xf numFmtId="0" fontId="19" fillId="7" borderId="0" xfId="0" applyFont="1" applyFill="1" applyProtection="1">
      <protection hidden="1"/>
    </xf>
    <xf numFmtId="0" fontId="19" fillId="7" borderId="0" xfId="0" applyFont="1" applyFill="1" applyAlignment="1" applyProtection="1">
      <alignment vertical="center"/>
      <protection hidden="1"/>
    </xf>
    <xf numFmtId="0" fontId="19" fillId="7" borderId="0" xfId="0" applyFont="1" applyFill="1"/>
    <xf numFmtId="0" fontId="19" fillId="0" borderId="31" xfId="0" applyFont="1" applyBorder="1" applyAlignment="1" applyProtection="1">
      <alignment vertical="center"/>
      <protection hidden="1"/>
    </xf>
    <xf numFmtId="0" fontId="19" fillId="0" borderId="32" xfId="0" applyFont="1" applyBorder="1" applyAlignment="1" applyProtection="1">
      <alignment vertical="center"/>
      <protection hidden="1"/>
    </xf>
    <xf numFmtId="167" fontId="59" fillId="0" borderId="0" xfId="0" applyNumberFormat="1" applyFont="1" applyAlignment="1">
      <alignment horizontal="center" vertical="center"/>
    </xf>
    <xf numFmtId="0" fontId="19" fillId="3" borderId="0" xfId="0" applyFont="1" applyFill="1"/>
    <xf numFmtId="0" fontId="50" fillId="0" borderId="33" xfId="0" applyFont="1" applyBorder="1" applyAlignment="1">
      <alignment horizontal="left"/>
    </xf>
    <xf numFmtId="0" fontId="50" fillId="0" borderId="33" xfId="0" applyFont="1" applyBorder="1" applyAlignment="1" applyProtection="1">
      <alignment horizontal="left"/>
      <protection hidden="1"/>
    </xf>
    <xf numFmtId="0" fontId="50" fillId="0" borderId="27" xfId="0" applyFont="1" applyBorder="1" applyAlignment="1">
      <alignment horizontal="left"/>
    </xf>
    <xf numFmtId="49" fontId="6" fillId="3" borderId="0" xfId="0" applyNumberFormat="1" applyFont="1" applyFill="1"/>
    <xf numFmtId="0" fontId="6" fillId="3" borderId="0" xfId="0" applyFont="1" applyFill="1"/>
    <xf numFmtId="3" fontId="18" fillId="0" borderId="11" xfId="0" applyNumberFormat="1" applyFont="1" applyBorder="1" applyAlignment="1">
      <alignment vertical="center"/>
    </xf>
    <xf numFmtId="0" fontId="19" fillId="0" borderId="8" xfId="0" applyFont="1" applyBorder="1" applyAlignment="1">
      <alignment vertical="center"/>
    </xf>
    <xf numFmtId="3" fontId="19" fillId="11" borderId="70" xfId="0" applyNumberFormat="1" applyFont="1" applyFill="1" applyBorder="1" applyAlignment="1" applyProtection="1">
      <alignment horizontal="center" vertical="center"/>
      <protection locked="0"/>
    </xf>
    <xf numFmtId="164" fontId="10" fillId="11" borderId="33" xfId="0" applyNumberFormat="1" applyFont="1" applyFill="1" applyBorder="1" applyAlignment="1" applyProtection="1">
      <alignment horizontal="center" vertical="center"/>
      <protection locked="0"/>
    </xf>
    <xf numFmtId="164" fontId="10" fillId="11" borderId="14" xfId="0" applyNumberFormat="1" applyFont="1" applyFill="1" applyBorder="1" applyAlignment="1" applyProtection="1">
      <alignment horizontal="center" vertical="center"/>
      <protection locked="0"/>
    </xf>
    <xf numFmtId="0" fontId="10" fillId="0" borderId="0" xfId="0" applyFont="1" applyAlignment="1">
      <alignment horizontal="center" vertical="center"/>
    </xf>
    <xf numFmtId="1" fontId="7" fillId="0" borderId="31" xfId="0" applyNumberFormat="1" applyFont="1" applyBorder="1" applyAlignment="1">
      <alignment horizontal="center" vertical="center"/>
    </xf>
    <xf numFmtId="0" fontId="37" fillId="3" borderId="0" xfId="0" applyFont="1" applyFill="1" applyAlignment="1">
      <alignment horizontal="center" vertical="center"/>
    </xf>
    <xf numFmtId="0" fontId="19" fillId="0" borderId="54" xfId="0" applyFont="1" applyBorder="1" applyAlignment="1">
      <alignment vertical="center"/>
    </xf>
    <xf numFmtId="0" fontId="19" fillId="0" borderId="12" xfId="0" applyFont="1" applyBorder="1" applyAlignment="1">
      <alignment vertical="center"/>
    </xf>
    <xf numFmtId="0" fontId="19" fillId="0" borderId="54" xfId="0" applyFont="1" applyBorder="1" applyAlignment="1">
      <alignment horizontal="left" vertical="center"/>
    </xf>
    <xf numFmtId="0" fontId="18" fillId="0" borderId="0" xfId="0" applyFont="1" applyAlignment="1">
      <alignment vertical="center"/>
    </xf>
    <xf numFmtId="0" fontId="19" fillId="0" borderId="0" xfId="0" applyFont="1" applyAlignment="1">
      <alignment horizontal="center" vertical="center"/>
    </xf>
    <xf numFmtId="0" fontId="18" fillId="0" borderId="7" xfId="0" applyFont="1" applyBorder="1" applyAlignment="1">
      <alignment vertical="center"/>
    </xf>
    <xf numFmtId="0" fontId="19" fillId="0" borderId="79" xfId="0" applyFont="1" applyBorder="1" applyAlignment="1">
      <alignment vertical="center"/>
    </xf>
    <xf numFmtId="0" fontId="18" fillId="0" borderId="8" xfId="0" applyFont="1" applyBorder="1" applyAlignment="1">
      <alignment horizontal="center" vertical="center"/>
    </xf>
    <xf numFmtId="0" fontId="18" fillId="0" borderId="22" xfId="0" applyFont="1" applyBorder="1" applyAlignment="1">
      <alignment horizontal="center" vertical="center"/>
    </xf>
    <xf numFmtId="0" fontId="18" fillId="0" borderId="22" xfId="0" applyFont="1" applyBorder="1" applyAlignment="1">
      <alignment vertical="center"/>
    </xf>
    <xf numFmtId="0" fontId="33" fillId="0" borderId="0" xfId="0" applyFont="1"/>
    <xf numFmtId="0" fontId="55" fillId="0" borderId="0" xfId="0" applyFont="1"/>
    <xf numFmtId="0" fontId="59" fillId="0" borderId="0" xfId="0" applyFont="1" applyProtection="1">
      <protection hidden="1"/>
    </xf>
    <xf numFmtId="0" fontId="19" fillId="0" borderId="0" xfId="0" applyFont="1" applyAlignment="1">
      <alignment horizontal="left" vertical="center"/>
    </xf>
    <xf numFmtId="0" fontId="27" fillId="3" borderId="0" xfId="0" applyFont="1" applyFill="1" applyProtection="1">
      <protection hidden="1"/>
    </xf>
    <xf numFmtId="164" fontId="8" fillId="0" borderId="0" xfId="0" applyNumberFormat="1" applyFont="1" applyProtection="1">
      <protection hidden="1"/>
    </xf>
    <xf numFmtId="0" fontId="14" fillId="3" borderId="0" xfId="0" applyFont="1" applyFill="1" applyProtection="1">
      <protection hidden="1"/>
    </xf>
    <xf numFmtId="167" fontId="8" fillId="3" borderId="0" xfId="0" applyNumberFormat="1" applyFont="1" applyFill="1" applyProtection="1">
      <protection hidden="1"/>
    </xf>
    <xf numFmtId="49" fontId="19" fillId="0" borderId="0" xfId="0" applyNumberFormat="1" applyFont="1" applyAlignment="1">
      <alignment horizontal="left"/>
    </xf>
    <xf numFmtId="0" fontId="10" fillId="0" borderId="0" xfId="0" applyFont="1" applyAlignment="1">
      <alignment horizontal="left" vertical="center"/>
    </xf>
    <xf numFmtId="0" fontId="10" fillId="0" borderId="0" xfId="0" applyFont="1" applyAlignment="1">
      <alignment vertical="center"/>
    </xf>
    <xf numFmtId="166" fontId="8" fillId="3" borderId="0" xfId="0" applyNumberFormat="1" applyFont="1" applyFill="1" applyProtection="1">
      <protection hidden="1"/>
    </xf>
    <xf numFmtId="0" fontId="10" fillId="0" borderId="14" xfId="0" applyFont="1" applyBorder="1" applyAlignment="1">
      <alignment vertical="center"/>
    </xf>
    <xf numFmtId="0" fontId="37" fillId="0" borderId="0" xfId="0" applyFont="1" applyAlignment="1">
      <alignment vertical="center"/>
    </xf>
    <xf numFmtId="0" fontId="0" fillId="0" borderId="0" xfId="0" applyAlignment="1">
      <alignment horizontal="left" vertical="center"/>
    </xf>
    <xf numFmtId="0" fontId="7" fillId="11" borderId="14" xfId="0" applyFont="1" applyFill="1" applyBorder="1" applyAlignment="1" applyProtection="1">
      <alignment vertical="center"/>
      <protection locked="0"/>
    </xf>
    <xf numFmtId="0" fontId="10" fillId="3" borderId="28" xfId="0" applyFont="1" applyFill="1" applyBorder="1" applyAlignment="1">
      <alignment vertical="center"/>
    </xf>
    <xf numFmtId="0" fontId="7" fillId="3" borderId="0" xfId="0" applyFont="1" applyFill="1" applyAlignment="1">
      <alignment vertical="center"/>
    </xf>
    <xf numFmtId="1" fontId="7" fillId="3" borderId="0" xfId="0" applyNumberFormat="1" applyFont="1" applyFill="1" applyAlignment="1" applyProtection="1">
      <alignment horizontal="center" vertical="center"/>
      <protection hidden="1"/>
    </xf>
    <xf numFmtId="0" fontId="7" fillId="0" borderId="0" xfId="0" applyFont="1" applyAlignment="1" applyProtection="1">
      <alignment vertical="center"/>
      <protection hidden="1"/>
    </xf>
    <xf numFmtId="0" fontId="18" fillId="7" borderId="33" xfId="0" applyFont="1" applyFill="1" applyBorder="1" applyAlignment="1">
      <alignment horizontal="center" vertical="center"/>
    </xf>
    <xf numFmtId="0" fontId="19" fillId="7" borderId="14" xfId="0" applyFont="1" applyFill="1" applyBorder="1" applyProtection="1">
      <protection hidden="1"/>
    </xf>
    <xf numFmtId="0" fontId="6" fillId="0" borderId="0" xfId="0" applyFont="1" applyAlignment="1" applyProtection="1">
      <alignment horizontal="left"/>
      <protection hidden="1"/>
    </xf>
    <xf numFmtId="164" fontId="6" fillId="0" borderId="0" xfId="2" applyNumberFormat="1" applyAlignment="1" applyProtection="1">
      <alignment horizontal="center"/>
      <protection hidden="1"/>
    </xf>
    <xf numFmtId="3" fontId="0" fillId="0" borderId="16" xfId="0" applyNumberFormat="1" applyBorder="1"/>
    <xf numFmtId="3" fontId="0" fillId="0" borderId="9" xfId="0" applyNumberFormat="1" applyBorder="1"/>
    <xf numFmtId="17" fontId="0" fillId="8" borderId="49" xfId="0" applyNumberFormat="1" applyFill="1" applyBorder="1" applyAlignment="1" applyProtection="1">
      <alignment horizontal="center"/>
      <protection hidden="1"/>
    </xf>
    <xf numFmtId="17" fontId="47" fillId="9" borderId="47" xfId="0" applyNumberFormat="1" applyFont="1" applyFill="1" applyBorder="1" applyAlignment="1" applyProtection="1">
      <alignment horizontal="center"/>
      <protection hidden="1"/>
    </xf>
    <xf numFmtId="17" fontId="0" fillId="9" borderId="11" xfId="0" applyNumberFormat="1" applyFill="1" applyBorder="1" applyAlignment="1" applyProtection="1">
      <alignment horizontal="center"/>
      <protection hidden="1"/>
    </xf>
    <xf numFmtId="0" fontId="0" fillId="0" borderId="0" xfId="0" applyProtection="1">
      <protection locked="0"/>
    </xf>
    <xf numFmtId="0" fontId="35" fillId="0" borderId="0" xfId="0" applyFont="1" applyProtection="1">
      <protection locked="0"/>
    </xf>
    <xf numFmtId="0" fontId="12" fillId="15" borderId="0" xfId="0" applyFont="1" applyFill="1"/>
    <xf numFmtId="0" fontId="0" fillId="12" borderId="0" xfId="0" applyFill="1"/>
    <xf numFmtId="14" fontId="12" fillId="15" borderId="0" xfId="0" applyNumberFormat="1" applyFont="1" applyFill="1" applyAlignment="1">
      <alignment horizontal="left"/>
    </xf>
    <xf numFmtId="0" fontId="16" fillId="15" borderId="0" xfId="0" applyFont="1" applyFill="1"/>
    <xf numFmtId="0" fontId="16" fillId="12" borderId="0" xfId="0" applyFont="1" applyFill="1"/>
    <xf numFmtId="0" fontId="20" fillId="12" borderId="0" xfId="0" applyFont="1" applyFill="1"/>
    <xf numFmtId="0" fontId="21" fillId="12" borderId="0" xfId="0" applyFont="1" applyFill="1" applyAlignment="1">
      <alignment horizontal="right"/>
    </xf>
    <xf numFmtId="0" fontId="30" fillId="12" borderId="0" xfId="0" applyFont="1" applyFill="1" applyAlignment="1">
      <alignment horizontal="center"/>
    </xf>
    <xf numFmtId="0" fontId="31" fillId="12" borderId="0" xfId="0" applyFont="1" applyFill="1" applyAlignment="1">
      <alignment horizontal="center"/>
    </xf>
    <xf numFmtId="0" fontId="9" fillId="12" borderId="0" xfId="0" applyFont="1" applyFill="1"/>
    <xf numFmtId="0" fontId="7" fillId="12" borderId="0" xfId="0" applyFont="1" applyFill="1"/>
    <xf numFmtId="14" fontId="0" fillId="12" borderId="0" xfId="0" applyNumberFormat="1" applyFill="1"/>
    <xf numFmtId="1" fontId="9" fillId="11" borderId="4" xfId="0" applyNumberFormat="1" applyFont="1" applyFill="1" applyBorder="1" applyAlignment="1" applyProtection="1">
      <alignment horizontal="center"/>
      <protection locked="0"/>
    </xf>
    <xf numFmtId="0" fontId="18" fillId="0" borderId="0" xfId="0" applyFont="1" applyAlignment="1" applyProtection="1">
      <alignment horizontal="left" vertical="center"/>
      <protection hidden="1"/>
    </xf>
    <xf numFmtId="0" fontId="9" fillId="7" borderId="0" xfId="0" applyFont="1" applyFill="1" applyAlignment="1">
      <alignment horizontal="left" vertical="center"/>
    </xf>
    <xf numFmtId="0" fontId="19" fillId="7" borderId="29" xfId="0" applyFont="1" applyFill="1" applyBorder="1" applyAlignment="1" applyProtection="1">
      <alignment horizontal="left" vertical="center"/>
      <protection hidden="1"/>
    </xf>
    <xf numFmtId="0" fontId="19" fillId="7" borderId="39" xfId="0" applyFont="1" applyFill="1" applyBorder="1" applyAlignment="1" applyProtection="1">
      <alignment horizontal="left" vertical="center"/>
      <protection hidden="1"/>
    </xf>
    <xf numFmtId="0" fontId="0" fillId="0" borderId="0" xfId="0" applyAlignment="1">
      <alignment horizontal="center" vertical="center"/>
    </xf>
    <xf numFmtId="166" fontId="6" fillId="0" borderId="99" xfId="0" applyNumberFormat="1" applyFont="1" applyBorder="1" applyAlignment="1" applyProtection="1">
      <alignment horizontal="center"/>
      <protection hidden="1"/>
    </xf>
    <xf numFmtId="0" fontId="57" fillId="0" borderId="0" xfId="0" applyFont="1"/>
    <xf numFmtId="1" fontId="57" fillId="0" borderId="0" xfId="0" applyNumberFormat="1" applyFont="1"/>
    <xf numFmtId="0" fontId="57" fillId="0" borderId="0" xfId="0" applyFont="1" applyAlignment="1">
      <alignment horizontal="center"/>
    </xf>
    <xf numFmtId="0" fontId="0" fillId="0" borderId="0" xfId="0" applyAlignment="1" applyProtection="1">
      <alignment vertical="center"/>
      <protection hidden="1"/>
    </xf>
    <xf numFmtId="3" fontId="18" fillId="0" borderId="0" xfId="0" applyNumberFormat="1" applyFont="1"/>
    <xf numFmtId="0" fontId="60" fillId="0" borderId="0" xfId="0" applyFont="1" applyAlignment="1">
      <alignment horizontal="left" vertical="center"/>
    </xf>
    <xf numFmtId="164" fontId="9" fillId="0" borderId="0" xfId="0" applyNumberFormat="1" applyFont="1" applyProtection="1">
      <protection hidden="1"/>
    </xf>
    <xf numFmtId="0" fontId="52" fillId="0" borderId="0" xfId="0" applyFont="1" applyAlignment="1">
      <alignment horizontal="right" vertical="top"/>
    </xf>
    <xf numFmtId="0" fontId="18" fillId="3" borderId="0" xfId="0" applyFont="1" applyFill="1" applyAlignment="1">
      <alignment horizontal="center" vertical="center"/>
    </xf>
    <xf numFmtId="0" fontId="19" fillId="3" borderId="0" xfId="0" applyFont="1" applyFill="1" applyAlignment="1">
      <alignment vertical="center"/>
    </xf>
    <xf numFmtId="0" fontId="19" fillId="0" borderId="0" xfId="0" applyFont="1" applyAlignment="1">
      <alignment vertical="center"/>
    </xf>
    <xf numFmtId="0" fontId="8" fillId="3" borderId="0" xfId="0" applyFont="1" applyFill="1" applyAlignment="1" applyProtection="1">
      <alignment vertical="center"/>
      <protection hidden="1"/>
    </xf>
    <xf numFmtId="0" fontId="8" fillId="3" borderId="0" xfId="0" applyFont="1" applyFill="1" applyAlignment="1">
      <alignment vertical="center"/>
    </xf>
    <xf numFmtId="0" fontId="0" fillId="3" borderId="0" xfId="0" applyFill="1" applyAlignment="1">
      <alignment vertical="center"/>
    </xf>
    <xf numFmtId="3" fontId="59" fillId="0" borderId="0" xfId="0" applyNumberFormat="1" applyFont="1" applyAlignment="1">
      <alignment horizontal="right" vertical="center"/>
    </xf>
    <xf numFmtId="3" fontId="18" fillId="0" borderId="0" xfId="0" applyNumberFormat="1" applyFont="1" applyAlignment="1">
      <alignment vertical="center"/>
    </xf>
    <xf numFmtId="3" fontId="18" fillId="0" borderId="0" xfId="0" applyNumberFormat="1" applyFont="1" applyAlignment="1">
      <alignment horizontal="right" vertical="center"/>
    </xf>
    <xf numFmtId="14" fontId="9" fillId="0" borderId="0" xfId="0" applyNumberFormat="1" applyFont="1" applyAlignment="1">
      <alignment horizontal="center" vertical="center"/>
    </xf>
    <xf numFmtId="0" fontId="35" fillId="12" borderId="0" xfId="0" applyFont="1" applyFill="1" applyAlignment="1">
      <alignment horizontal="left"/>
    </xf>
    <xf numFmtId="0" fontId="6" fillId="12" borderId="0" xfId="0" applyFont="1" applyFill="1"/>
    <xf numFmtId="0" fontId="71" fillId="0" borderId="0" xfId="0" applyFont="1" applyAlignment="1">
      <alignment horizontal="center" vertical="center"/>
    </xf>
    <xf numFmtId="0" fontId="9" fillId="7" borderId="15" xfId="0" applyFont="1" applyFill="1" applyBorder="1" applyAlignment="1" applyProtection="1">
      <alignment horizontal="left"/>
      <protection hidden="1"/>
    </xf>
    <xf numFmtId="166" fontId="6" fillId="7" borderId="14" xfId="0" applyNumberFormat="1" applyFont="1" applyFill="1" applyBorder="1" applyAlignment="1" applyProtection="1">
      <alignment horizontal="center"/>
      <protection hidden="1"/>
    </xf>
    <xf numFmtId="3" fontId="47" fillId="7" borderId="14" xfId="0" applyNumberFormat="1" applyFont="1" applyFill="1" applyBorder="1" applyProtection="1">
      <protection hidden="1"/>
    </xf>
    <xf numFmtId="3" fontId="6" fillId="7" borderId="17" xfId="0" applyNumberFormat="1" applyFont="1" applyFill="1" applyBorder="1" applyProtection="1">
      <protection hidden="1"/>
    </xf>
    <xf numFmtId="0" fontId="9" fillId="7" borderId="18" xfId="0" applyFont="1" applyFill="1" applyBorder="1" applyAlignment="1">
      <alignment horizontal="center" vertical="center"/>
    </xf>
    <xf numFmtId="0" fontId="9" fillId="7" borderId="20" xfId="0" applyFont="1" applyFill="1" applyBorder="1" applyAlignment="1">
      <alignment horizontal="center" vertical="center"/>
    </xf>
    <xf numFmtId="0" fontId="6" fillId="0" borderId="15" xfId="0" applyFont="1" applyBorder="1" applyAlignment="1" applyProtection="1">
      <alignment horizontal="left"/>
      <protection hidden="1"/>
    </xf>
    <xf numFmtId="0" fontId="6" fillId="0" borderId="14" xfId="0" applyFont="1" applyBorder="1"/>
    <xf numFmtId="3" fontId="47" fillId="0" borderId="14" xfId="0" applyNumberFormat="1" applyFont="1" applyBorder="1" applyProtection="1">
      <protection hidden="1"/>
    </xf>
    <xf numFmtId="3" fontId="6" fillId="0" borderId="17" xfId="0" applyNumberFormat="1" applyFont="1" applyBorder="1" applyProtection="1">
      <protection hidden="1"/>
    </xf>
    <xf numFmtId="166" fontId="6" fillId="0" borderId="14" xfId="0" applyNumberFormat="1" applyFont="1" applyBorder="1" applyAlignment="1" applyProtection="1">
      <alignment horizontal="center"/>
      <protection hidden="1"/>
    </xf>
    <xf numFmtId="3" fontId="6" fillId="0" borderId="14" xfId="0" applyNumberFormat="1" applyFont="1" applyBorder="1" applyProtection="1">
      <protection hidden="1"/>
    </xf>
    <xf numFmtId="3" fontId="6" fillId="0" borderId="52" xfId="0" applyNumberFormat="1" applyFont="1" applyBorder="1" applyProtection="1">
      <protection hidden="1"/>
    </xf>
    <xf numFmtId="0" fontId="9" fillId="0" borderId="64" xfId="0" applyFont="1" applyBorder="1" applyAlignment="1" applyProtection="1">
      <alignment horizontal="left"/>
      <protection hidden="1"/>
    </xf>
    <xf numFmtId="164" fontId="9" fillId="0" borderId="50" xfId="2" applyNumberFormat="1" applyFont="1" applyBorder="1" applyAlignment="1" applyProtection="1">
      <alignment horizontal="center"/>
      <protection hidden="1"/>
    </xf>
    <xf numFmtId="3" fontId="9" fillId="0" borderId="50" xfId="0" applyNumberFormat="1" applyFont="1" applyBorder="1" applyProtection="1">
      <protection hidden="1"/>
    </xf>
    <xf numFmtId="3" fontId="47" fillId="0" borderId="50" xfId="0" applyNumberFormat="1" applyFont="1" applyBorder="1" applyProtection="1">
      <protection hidden="1"/>
    </xf>
    <xf numFmtId="3" fontId="6" fillId="0" borderId="34" xfId="0" applyNumberFormat="1" applyFont="1" applyBorder="1" applyProtection="1">
      <protection hidden="1"/>
    </xf>
    <xf numFmtId="3" fontId="9" fillId="0" borderId="35" xfId="0" applyNumberFormat="1" applyFont="1" applyBorder="1" applyProtection="1">
      <protection hidden="1"/>
    </xf>
    <xf numFmtId="3" fontId="9" fillId="0" borderId="34" xfId="0" applyNumberFormat="1" applyFont="1" applyBorder="1" applyProtection="1">
      <protection hidden="1"/>
    </xf>
    <xf numFmtId="3" fontId="6" fillId="0" borderId="16" xfId="0" applyNumberFormat="1" applyFont="1" applyBorder="1"/>
    <xf numFmtId="3" fontId="6" fillId="0" borderId="9" xfId="0" applyNumberFormat="1" applyFont="1" applyBorder="1"/>
    <xf numFmtId="3" fontId="6" fillId="7" borderId="33" xfId="0" applyNumberFormat="1" applyFont="1" applyFill="1" applyBorder="1" applyProtection="1">
      <protection hidden="1"/>
    </xf>
    <xf numFmtId="3" fontId="6" fillId="0" borderId="14" xfId="0" applyNumberFormat="1" applyFont="1" applyBorder="1"/>
    <xf numFmtId="3" fontId="6" fillId="0" borderId="33" xfId="0" applyNumberFormat="1" applyFont="1" applyBorder="1" applyProtection="1">
      <protection hidden="1"/>
    </xf>
    <xf numFmtId="3" fontId="6" fillId="0" borderId="52" xfId="0" applyNumberFormat="1" applyFont="1" applyBorder="1"/>
    <xf numFmtId="3" fontId="47" fillId="0" borderId="17" xfId="0" applyNumberFormat="1" applyFont="1" applyBorder="1" applyProtection="1">
      <protection hidden="1"/>
    </xf>
    <xf numFmtId="1" fontId="6" fillId="0" borderId="14" xfId="0" applyNumberFormat="1" applyFont="1" applyBorder="1"/>
    <xf numFmtId="3" fontId="6" fillId="0" borderId="56" xfId="0" applyNumberFormat="1" applyFont="1" applyBorder="1" applyProtection="1">
      <protection hidden="1"/>
    </xf>
    <xf numFmtId="166" fontId="6" fillId="7" borderId="33" xfId="0" applyNumberFormat="1" applyFont="1" applyFill="1" applyBorder="1" applyAlignment="1" applyProtection="1">
      <alignment horizontal="center"/>
      <protection hidden="1"/>
    </xf>
    <xf numFmtId="164" fontId="6" fillId="10" borderId="33" xfId="2" applyNumberFormat="1" applyFill="1" applyBorder="1" applyAlignment="1" applyProtection="1">
      <alignment horizontal="center"/>
      <protection hidden="1"/>
    </xf>
    <xf numFmtId="166" fontId="6" fillId="0" borderId="33" xfId="0" applyNumberFormat="1" applyFont="1" applyBorder="1" applyAlignment="1" applyProtection="1">
      <alignment horizontal="center"/>
      <protection hidden="1"/>
    </xf>
    <xf numFmtId="164" fontId="9" fillId="0" borderId="56" xfId="2" applyNumberFormat="1" applyFont="1" applyBorder="1" applyAlignment="1" applyProtection="1">
      <alignment horizontal="center"/>
      <protection hidden="1"/>
    </xf>
    <xf numFmtId="3" fontId="47" fillId="0" borderId="10" xfId="0" applyNumberFormat="1" applyFont="1" applyBorder="1" applyProtection="1">
      <protection hidden="1"/>
    </xf>
    <xf numFmtId="3" fontId="9" fillId="0" borderId="58" xfId="0" applyNumberFormat="1" applyFont="1" applyBorder="1" applyProtection="1">
      <protection hidden="1"/>
    </xf>
    <xf numFmtId="3" fontId="9" fillId="7" borderId="38" xfId="0" applyNumberFormat="1" applyFont="1" applyFill="1" applyBorder="1" applyAlignment="1" applyProtection="1">
      <alignment horizontal="center"/>
      <protection hidden="1"/>
    </xf>
    <xf numFmtId="0" fontId="6" fillId="0" borderId="52" xfId="0" applyFont="1" applyBorder="1"/>
    <xf numFmtId="3" fontId="47" fillId="7" borderId="10" xfId="0" applyNumberFormat="1" applyFont="1" applyFill="1" applyBorder="1" applyProtection="1">
      <protection hidden="1"/>
    </xf>
    <xf numFmtId="3" fontId="47" fillId="0" borderId="52" xfId="0" applyNumberFormat="1" applyFont="1" applyBorder="1" applyProtection="1">
      <protection hidden="1"/>
    </xf>
    <xf numFmtId="0" fontId="8" fillId="0" borderId="0" xfId="0" applyFont="1" applyAlignment="1" applyProtection="1">
      <alignment horizontal="left"/>
      <protection hidden="1"/>
    </xf>
    <xf numFmtId="17" fontId="18" fillId="0" borderId="0" xfId="0" applyNumberFormat="1" applyFont="1"/>
    <xf numFmtId="1" fontId="18" fillId="0" borderId="0" xfId="0" applyNumberFormat="1" applyFont="1"/>
    <xf numFmtId="0" fontId="19" fillId="16" borderId="0" xfId="0" applyFont="1" applyFill="1"/>
    <xf numFmtId="3" fontId="19" fillId="16" borderId="0" xfId="0" applyNumberFormat="1" applyFont="1" applyFill="1"/>
    <xf numFmtId="1" fontId="18" fillId="11" borderId="5" xfId="0" applyNumberFormat="1" applyFont="1" applyFill="1" applyBorder="1" applyAlignment="1" applyProtection="1">
      <alignment horizontal="center" vertical="center"/>
      <protection locked="0"/>
    </xf>
    <xf numFmtId="164" fontId="19" fillId="11" borderId="14" xfId="0" applyNumberFormat="1" applyFont="1" applyFill="1" applyBorder="1" applyAlignment="1" applyProtection="1">
      <alignment horizontal="center" vertical="center"/>
      <protection locked="0"/>
    </xf>
    <xf numFmtId="0" fontId="10" fillId="0" borderId="14" xfId="0" applyFont="1" applyBorder="1" applyAlignment="1" applyProtection="1">
      <alignment horizontal="center" vertical="center"/>
      <protection hidden="1"/>
    </xf>
    <xf numFmtId="164" fontId="19" fillId="0" borderId="14" xfId="0" applyNumberFormat="1" applyFont="1" applyBorder="1" applyAlignment="1">
      <alignment horizontal="center" vertical="center"/>
    </xf>
    <xf numFmtId="0" fontId="0" fillId="0" borderId="16" xfId="0" applyBorder="1"/>
    <xf numFmtId="3" fontId="7" fillId="0" borderId="0" xfId="0" applyNumberFormat="1" applyFont="1" applyAlignment="1" applyProtection="1">
      <alignment horizontal="right"/>
      <protection hidden="1"/>
    </xf>
    <xf numFmtId="0" fontId="66" fillId="0" borderId="0" xfId="0" applyFont="1" applyAlignment="1">
      <alignment horizontal="right"/>
    </xf>
    <xf numFmtId="0" fontId="58" fillId="0" borderId="0" xfId="0" applyFont="1" applyAlignment="1">
      <alignment horizontal="right" vertical="center"/>
    </xf>
    <xf numFmtId="0" fontId="72" fillId="0" borderId="0" xfId="0" applyFont="1" applyAlignment="1">
      <alignment horizontal="center"/>
    </xf>
    <xf numFmtId="4" fontId="9" fillId="3" borderId="0" xfId="0" applyNumberFormat="1" applyFont="1" applyFill="1" applyAlignment="1">
      <alignment horizontal="left"/>
    </xf>
    <xf numFmtId="0" fontId="17" fillId="3" borderId="0" xfId="0" applyFont="1" applyFill="1"/>
    <xf numFmtId="0" fontId="58" fillId="0" borderId="0" xfId="0" applyFont="1" applyAlignment="1">
      <alignment horizontal="left" vertical="center"/>
    </xf>
    <xf numFmtId="0" fontId="7" fillId="0" borderId="0" xfId="0" applyFont="1" applyAlignment="1">
      <alignment vertical="center"/>
    </xf>
    <xf numFmtId="0" fontId="7" fillId="0" borderId="0" xfId="0" applyFont="1" applyAlignment="1">
      <alignment horizontal="left" vertical="center"/>
    </xf>
    <xf numFmtId="0" fontId="19" fillId="0" borderId="22" xfId="0" applyFont="1" applyBorder="1" applyAlignment="1">
      <alignment vertical="center"/>
    </xf>
    <xf numFmtId="3" fontId="0" fillId="0" borderId="34" xfId="0" applyNumberFormat="1" applyBorder="1" applyProtection="1">
      <protection hidden="1"/>
    </xf>
    <xf numFmtId="0" fontId="12" fillId="0" borderId="0" xfId="1" applyFont="1" applyAlignment="1" applyProtection="1">
      <alignment horizontal="center" vertical="center" wrapText="1"/>
      <protection hidden="1"/>
    </xf>
    <xf numFmtId="0" fontId="0" fillId="0" borderId="0" xfId="0" applyAlignment="1">
      <alignment horizontal="center" wrapText="1"/>
    </xf>
    <xf numFmtId="0" fontId="11" fillId="0" borderId="0" xfId="0" applyFont="1" applyAlignment="1">
      <alignment horizontal="left"/>
    </xf>
    <xf numFmtId="0" fontId="24" fillId="0" borderId="0" xfId="0" applyFont="1" applyAlignment="1">
      <alignment horizontal="right"/>
    </xf>
    <xf numFmtId="0" fontId="7" fillId="0" borderId="0" xfId="0" applyFont="1" applyAlignment="1">
      <alignment horizontal="left"/>
    </xf>
    <xf numFmtId="0" fontId="7" fillId="0" borderId="0" xfId="0" applyFont="1" applyAlignment="1" applyProtection="1">
      <alignment horizontal="left"/>
      <protection hidden="1"/>
    </xf>
    <xf numFmtId="0" fontId="10" fillId="0" borderId="0" xfId="0" applyFont="1" applyAlignment="1">
      <alignment horizontal="right" vertical="center"/>
    </xf>
    <xf numFmtId="0" fontId="24" fillId="0" borderId="0" xfId="0" applyFont="1" applyProtection="1">
      <protection hidden="1"/>
    </xf>
    <xf numFmtId="0" fontId="10" fillId="0" borderId="0" xfId="0" applyFont="1" applyAlignment="1">
      <alignment horizontal="right" wrapText="1"/>
    </xf>
    <xf numFmtId="0" fontId="75" fillId="0" borderId="0" xfId="0" applyFont="1" applyAlignment="1">
      <alignment vertical="center"/>
    </xf>
    <xf numFmtId="0" fontId="75" fillId="0" borderId="0" xfId="0" applyFont="1"/>
    <xf numFmtId="0" fontId="0" fillId="0" borderId="0" xfId="0" applyAlignment="1">
      <alignment vertical="top"/>
    </xf>
    <xf numFmtId="0" fontId="19" fillId="0" borderId="0" xfId="0" applyFont="1" applyAlignment="1" applyProtection="1">
      <alignment vertical="top"/>
      <protection hidden="1"/>
    </xf>
    <xf numFmtId="0" fontId="75" fillId="0" borderId="0" xfId="0" applyFont="1" applyAlignment="1">
      <alignment vertical="top"/>
    </xf>
    <xf numFmtId="3" fontId="6" fillId="3" borderId="0" xfId="0" applyNumberFormat="1" applyFont="1" applyFill="1" applyAlignment="1">
      <alignment vertical="top"/>
    </xf>
    <xf numFmtId="49" fontId="6" fillId="3" borderId="0" xfId="0" applyNumberFormat="1" applyFont="1" applyFill="1" applyAlignment="1">
      <alignment horizontal="left" vertical="top"/>
    </xf>
    <xf numFmtId="3" fontId="19" fillId="0" borderId="0" xfId="0" applyNumberFormat="1" applyFont="1" applyAlignment="1" applyProtection="1">
      <alignment vertical="top"/>
      <protection hidden="1"/>
    </xf>
    <xf numFmtId="3" fontId="6" fillId="3" borderId="0" xfId="0" applyNumberFormat="1" applyFont="1" applyFill="1" applyAlignment="1">
      <alignment horizontal="right" vertical="top"/>
    </xf>
    <xf numFmtId="0" fontId="72" fillId="0" borderId="0" xfId="0" applyFont="1"/>
    <xf numFmtId="164" fontId="6" fillId="0" borderId="14" xfId="2" applyNumberFormat="1" applyBorder="1" applyAlignment="1" applyProtection="1">
      <alignment horizontal="center"/>
      <protection hidden="1"/>
    </xf>
    <xf numFmtId="0" fontId="0" fillId="0" borderId="29" xfId="0" applyBorder="1" applyAlignment="1">
      <alignment vertical="center" wrapText="1"/>
    </xf>
    <xf numFmtId="0" fontId="18" fillId="0" borderId="0" xfId="0" applyFont="1" applyAlignment="1">
      <alignment horizontal="right" vertical="center"/>
    </xf>
    <xf numFmtId="0" fontId="18" fillId="0" borderId="0" xfId="0" applyFont="1" applyAlignment="1">
      <alignment horizontal="left"/>
    </xf>
    <xf numFmtId="0" fontId="6" fillId="0" borderId="0" xfId="0" applyFont="1" applyAlignment="1" applyProtection="1">
      <alignment horizontal="center"/>
      <protection hidden="1"/>
    </xf>
    <xf numFmtId="1" fontId="0" fillId="0" borderId="0" xfId="0" applyNumberFormat="1" applyAlignment="1">
      <alignment horizontal="center" vertical="center"/>
    </xf>
    <xf numFmtId="164" fontId="8" fillId="0" borderId="0" xfId="2" applyNumberFormat="1" applyFont="1" applyProtection="1">
      <protection hidden="1"/>
    </xf>
    <xf numFmtId="164" fontId="0" fillId="0" borderId="0" xfId="2" applyNumberFormat="1" applyFont="1" applyAlignment="1" applyProtection="1">
      <alignment horizontal="center"/>
      <protection hidden="1"/>
    </xf>
    <xf numFmtId="1" fontId="8" fillId="0" borderId="0" xfId="0" applyNumberFormat="1" applyFont="1" applyProtection="1">
      <protection hidden="1"/>
    </xf>
    <xf numFmtId="3" fontId="6" fillId="0" borderId="0" xfId="0" applyNumberFormat="1" applyFont="1" applyProtection="1">
      <protection hidden="1"/>
    </xf>
    <xf numFmtId="3" fontId="78" fillId="0" borderId="0" xfId="0" applyNumberFormat="1" applyFont="1" applyProtection="1">
      <protection hidden="1"/>
    </xf>
    <xf numFmtId="3" fontId="78" fillId="0" borderId="0" xfId="0" applyNumberFormat="1" applyFont="1" applyAlignment="1" applyProtection="1">
      <alignment horizontal="center"/>
      <protection hidden="1"/>
    </xf>
    <xf numFmtId="0" fontId="78" fillId="0" borderId="0" xfId="0" applyFont="1"/>
    <xf numFmtId="0" fontId="6" fillId="0" borderId="19" xfId="0" applyFont="1" applyBorder="1"/>
    <xf numFmtId="0" fontId="6" fillId="0" borderId="29" xfId="0" applyFont="1" applyBorder="1" applyAlignment="1" applyProtection="1">
      <alignment horizontal="center"/>
      <protection hidden="1"/>
    </xf>
    <xf numFmtId="0" fontId="6" fillId="0" borderId="19" xfId="0" applyFont="1" applyBorder="1" applyAlignment="1" applyProtection="1">
      <alignment horizontal="center"/>
      <protection hidden="1"/>
    </xf>
    <xf numFmtId="1" fontId="18" fillId="0" borderId="5" xfId="0" applyNumberFormat="1" applyFont="1" applyBorder="1" applyAlignment="1">
      <alignment horizontal="center" vertical="center"/>
    </xf>
    <xf numFmtId="1" fontId="8" fillId="17" borderId="0" xfId="0" applyNumberFormat="1" applyFont="1" applyFill="1" applyProtection="1">
      <protection hidden="1"/>
    </xf>
    <xf numFmtId="3" fontId="47" fillId="17" borderId="0" xfId="0" applyNumberFormat="1" applyFont="1" applyFill="1" applyProtection="1">
      <protection hidden="1"/>
    </xf>
    <xf numFmtId="1" fontId="0" fillId="18" borderId="0" xfId="0" applyNumberFormat="1" applyFill="1" applyProtection="1">
      <protection hidden="1"/>
    </xf>
    <xf numFmtId="3" fontId="47" fillId="18" borderId="0" xfId="0" applyNumberFormat="1" applyFont="1" applyFill="1" applyProtection="1">
      <protection hidden="1"/>
    </xf>
    <xf numFmtId="3" fontId="6" fillId="20" borderId="0" xfId="0" applyNumberFormat="1" applyFont="1" applyFill="1" applyProtection="1">
      <protection hidden="1"/>
    </xf>
    <xf numFmtId="3" fontId="47" fillId="20" borderId="0" xfId="0" applyNumberFormat="1" applyFont="1" applyFill="1" applyProtection="1">
      <protection hidden="1"/>
    </xf>
    <xf numFmtId="3" fontId="47" fillId="21" borderId="0" xfId="0" applyNumberFormat="1" applyFont="1" applyFill="1" applyProtection="1">
      <protection hidden="1"/>
    </xf>
    <xf numFmtId="3" fontId="6" fillId="21" borderId="0" xfId="0" applyNumberFormat="1" applyFont="1" applyFill="1" applyProtection="1">
      <protection hidden="1"/>
    </xf>
    <xf numFmtId="3" fontId="6" fillId="19" borderId="0" xfId="0" applyNumberFormat="1" applyFont="1" applyFill="1" applyProtection="1">
      <protection hidden="1"/>
    </xf>
    <xf numFmtId="3" fontId="47" fillId="19" borderId="0" xfId="0" applyNumberFormat="1" applyFont="1" applyFill="1" applyProtection="1">
      <protection hidden="1"/>
    </xf>
    <xf numFmtId="3" fontId="47" fillId="22" borderId="0" xfId="0" applyNumberFormat="1" applyFont="1" applyFill="1" applyProtection="1">
      <protection hidden="1"/>
    </xf>
    <xf numFmtId="3" fontId="6" fillId="22" borderId="0" xfId="0" applyNumberFormat="1" applyFont="1" applyFill="1" applyProtection="1">
      <protection hidden="1"/>
    </xf>
    <xf numFmtId="3" fontId="6" fillId="24" borderId="0" xfId="0" applyNumberFormat="1" applyFont="1" applyFill="1" applyProtection="1">
      <protection hidden="1"/>
    </xf>
    <xf numFmtId="3" fontId="47" fillId="24" borderId="0" xfId="0" applyNumberFormat="1" applyFont="1" applyFill="1" applyProtection="1">
      <protection hidden="1"/>
    </xf>
    <xf numFmtId="3" fontId="47" fillId="9" borderId="0" xfId="0" applyNumberFormat="1" applyFont="1" applyFill="1" applyProtection="1">
      <protection hidden="1"/>
    </xf>
    <xf numFmtId="3" fontId="47" fillId="14" borderId="0" xfId="0" applyNumberFormat="1" applyFont="1" applyFill="1" applyProtection="1">
      <protection hidden="1"/>
    </xf>
    <xf numFmtId="3" fontId="47" fillId="23" borderId="0" xfId="0" applyNumberFormat="1" applyFont="1" applyFill="1" applyProtection="1">
      <protection hidden="1"/>
    </xf>
    <xf numFmtId="3" fontId="47" fillId="25" borderId="0" xfId="0" applyNumberFormat="1" applyFont="1" applyFill="1" applyProtection="1">
      <protection hidden="1"/>
    </xf>
    <xf numFmtId="3" fontId="6" fillId="9" borderId="0" xfId="0" applyNumberFormat="1" applyFont="1" applyFill="1" applyProtection="1">
      <protection hidden="1"/>
    </xf>
    <xf numFmtId="3" fontId="6" fillId="14" borderId="0" xfId="0" applyNumberFormat="1" applyFont="1" applyFill="1" applyProtection="1">
      <protection hidden="1"/>
    </xf>
    <xf numFmtId="3" fontId="6" fillId="23" borderId="0" xfId="0" applyNumberFormat="1" applyFont="1" applyFill="1" applyProtection="1">
      <protection hidden="1"/>
    </xf>
    <xf numFmtId="3" fontId="6" fillId="25" borderId="0" xfId="0" applyNumberFormat="1" applyFont="1" applyFill="1" applyProtection="1">
      <protection hidden="1"/>
    </xf>
    <xf numFmtId="3" fontId="47" fillId="26" borderId="0" xfId="0" applyNumberFormat="1" applyFont="1" applyFill="1" applyProtection="1">
      <protection hidden="1"/>
    </xf>
    <xf numFmtId="3" fontId="6" fillId="26" borderId="0" xfId="0" applyNumberFormat="1" applyFont="1" applyFill="1" applyProtection="1">
      <protection hidden="1"/>
    </xf>
    <xf numFmtId="3" fontId="6" fillId="27" borderId="0" xfId="0" applyNumberFormat="1" applyFont="1" applyFill="1" applyProtection="1">
      <protection hidden="1"/>
    </xf>
    <xf numFmtId="3" fontId="47" fillId="27" borderId="0" xfId="0" applyNumberFormat="1" applyFont="1" applyFill="1" applyProtection="1">
      <protection hidden="1"/>
    </xf>
    <xf numFmtId="0" fontId="0" fillId="28" borderId="0" xfId="0" applyFill="1" applyProtection="1">
      <protection hidden="1"/>
    </xf>
    <xf numFmtId="3" fontId="47" fillId="28" borderId="0" xfId="0" applyNumberFormat="1" applyFont="1" applyFill="1" applyProtection="1">
      <protection hidden="1"/>
    </xf>
    <xf numFmtId="3" fontId="0" fillId="28" borderId="0" xfId="0" applyNumberFormat="1" applyFill="1" applyProtection="1">
      <protection hidden="1"/>
    </xf>
    <xf numFmtId="0" fontId="0" fillId="28" borderId="0" xfId="0" applyFill="1"/>
    <xf numFmtId="0" fontId="77" fillId="28" borderId="0" xfId="0" applyFont="1" applyFill="1"/>
    <xf numFmtId="0" fontId="77" fillId="28" borderId="0" xfId="0" applyFont="1" applyFill="1" applyAlignment="1" applyProtection="1">
      <alignment horizontal="center"/>
      <protection hidden="1"/>
    </xf>
    <xf numFmtId="1" fontId="77" fillId="28" borderId="0" xfId="0" applyNumberFormat="1" applyFont="1" applyFill="1" applyAlignment="1" applyProtection="1">
      <alignment horizontal="center"/>
      <protection hidden="1"/>
    </xf>
    <xf numFmtId="0" fontId="78" fillId="0" borderId="40" xfId="0" applyFont="1" applyBorder="1" applyProtection="1">
      <protection hidden="1"/>
    </xf>
    <xf numFmtId="3" fontId="78" fillId="0" borderId="11" xfId="0" applyNumberFormat="1" applyFont="1" applyBorder="1" applyProtection="1">
      <protection hidden="1"/>
    </xf>
    <xf numFmtId="0" fontId="6" fillId="0" borderId="18" xfId="0" applyFont="1" applyBorder="1" applyProtection="1">
      <protection hidden="1"/>
    </xf>
    <xf numFmtId="0" fontId="0" fillId="17" borderId="18" xfId="0" applyFill="1" applyBorder="1" applyProtection="1">
      <protection hidden="1"/>
    </xf>
    <xf numFmtId="0" fontId="6" fillId="18" borderId="18" xfId="0" applyFont="1" applyFill="1" applyBorder="1" applyAlignment="1" applyProtection="1">
      <alignment horizontal="right" vertical="center"/>
      <protection hidden="1"/>
    </xf>
    <xf numFmtId="0" fontId="6" fillId="20" borderId="18" xfId="0" applyFont="1" applyFill="1" applyBorder="1" applyAlignment="1" applyProtection="1">
      <alignment horizontal="right" vertical="center"/>
      <protection hidden="1"/>
    </xf>
    <xf numFmtId="0" fontId="6" fillId="19" borderId="18" xfId="0" applyFont="1" applyFill="1" applyBorder="1" applyAlignment="1" applyProtection="1">
      <alignment horizontal="right" vertical="center"/>
      <protection hidden="1"/>
    </xf>
    <xf numFmtId="0" fontId="6" fillId="22" borderId="18" xfId="0" applyFont="1" applyFill="1" applyBorder="1" applyAlignment="1" applyProtection="1">
      <alignment horizontal="right" vertical="center"/>
      <protection hidden="1"/>
    </xf>
    <xf numFmtId="0" fontId="6" fillId="24" borderId="18" xfId="0" applyFont="1" applyFill="1" applyBorder="1" applyAlignment="1" applyProtection="1">
      <alignment horizontal="right" vertical="center"/>
      <protection hidden="1"/>
    </xf>
    <xf numFmtId="0" fontId="6" fillId="9" borderId="18" xfId="0" applyFont="1" applyFill="1" applyBorder="1" applyAlignment="1" applyProtection="1">
      <alignment horizontal="right" vertical="center"/>
      <protection hidden="1"/>
    </xf>
    <xf numFmtId="0" fontId="6" fillId="14" borderId="18" xfId="0" applyFont="1" applyFill="1" applyBorder="1" applyAlignment="1" applyProtection="1">
      <alignment horizontal="right" vertical="center"/>
      <protection hidden="1"/>
    </xf>
    <xf numFmtId="0" fontId="6" fillId="23" borderId="18" xfId="0" applyFont="1" applyFill="1" applyBorder="1" applyAlignment="1" applyProtection="1">
      <alignment horizontal="right" vertical="center"/>
      <protection hidden="1"/>
    </xf>
    <xf numFmtId="0" fontId="6" fillId="25" borderId="18" xfId="0" applyFont="1" applyFill="1" applyBorder="1" applyAlignment="1" applyProtection="1">
      <alignment horizontal="right" vertical="center"/>
      <protection hidden="1"/>
    </xf>
    <xf numFmtId="0" fontId="6" fillId="26" borderId="18" xfId="0" applyFont="1" applyFill="1" applyBorder="1" applyAlignment="1" applyProtection="1">
      <alignment horizontal="right" vertical="center"/>
      <protection hidden="1"/>
    </xf>
    <xf numFmtId="0" fontId="6" fillId="27" borderId="16" xfId="0" applyFont="1" applyFill="1" applyBorder="1" applyAlignment="1" applyProtection="1">
      <alignment horizontal="right" vertical="center"/>
      <protection hidden="1"/>
    </xf>
    <xf numFmtId="0" fontId="8" fillId="0" borderId="8" xfId="0" applyFont="1" applyBorder="1" applyProtection="1">
      <protection hidden="1"/>
    </xf>
    <xf numFmtId="3" fontId="6" fillId="0" borderId="8" xfId="0" applyNumberFormat="1" applyFont="1" applyBorder="1" applyProtection="1">
      <protection hidden="1"/>
    </xf>
    <xf numFmtId="3" fontId="6" fillId="27" borderId="8" xfId="0" applyNumberFormat="1" applyFont="1" applyFill="1" applyBorder="1" applyProtection="1">
      <protection hidden="1"/>
    </xf>
    <xf numFmtId="3" fontId="0" fillId="0" borderId="8" xfId="0" applyNumberFormat="1" applyBorder="1" applyProtection="1">
      <protection hidden="1"/>
    </xf>
    <xf numFmtId="3" fontId="47" fillId="27" borderId="8" xfId="0" applyNumberFormat="1" applyFont="1" applyFill="1" applyBorder="1" applyProtection="1">
      <protection hidden="1"/>
    </xf>
    <xf numFmtId="3" fontId="47" fillId="27" borderId="9" xfId="0" applyNumberFormat="1" applyFont="1" applyFill="1" applyBorder="1" applyProtection="1">
      <protection hidden="1"/>
    </xf>
    <xf numFmtId="4" fontId="0" fillId="0" borderId="0" xfId="0" applyNumberFormat="1" applyAlignment="1" applyProtection="1">
      <alignment horizontal="center"/>
      <protection hidden="1"/>
    </xf>
    <xf numFmtId="4" fontId="47" fillId="0" borderId="0" xfId="0" applyNumberFormat="1" applyFont="1" applyProtection="1">
      <protection hidden="1"/>
    </xf>
    <xf numFmtId="4" fontId="78" fillId="0" borderId="0" xfId="0" applyNumberFormat="1" applyFont="1" applyAlignment="1" applyProtection="1">
      <alignment horizontal="center"/>
      <protection hidden="1"/>
    </xf>
    <xf numFmtId="1" fontId="6" fillId="17" borderId="0" xfId="0" applyNumberFormat="1" applyFont="1" applyFill="1" applyProtection="1">
      <protection hidden="1"/>
    </xf>
    <xf numFmtId="3" fontId="78" fillId="0" borderId="11" xfId="0" applyNumberFormat="1" applyFont="1" applyBorder="1" applyAlignment="1" applyProtection="1">
      <alignment horizontal="center"/>
      <protection hidden="1"/>
    </xf>
    <xf numFmtId="3" fontId="78" fillId="0" borderId="6" xfId="0" applyNumberFormat="1" applyFont="1" applyBorder="1" applyAlignment="1" applyProtection="1">
      <alignment horizontal="center"/>
      <protection hidden="1"/>
    </xf>
    <xf numFmtId="0" fontId="8" fillId="0" borderId="20" xfId="0" applyFont="1" applyBorder="1" applyProtection="1">
      <protection hidden="1"/>
    </xf>
    <xf numFmtId="164" fontId="0" fillId="0" borderId="20" xfId="2" applyNumberFormat="1" applyFont="1" applyBorder="1" applyAlignment="1" applyProtection="1">
      <alignment horizontal="center"/>
      <protection hidden="1"/>
    </xf>
    <xf numFmtId="1" fontId="8" fillId="0" borderId="20" xfId="0" applyNumberFormat="1" applyFont="1" applyBorder="1" applyProtection="1">
      <protection hidden="1"/>
    </xf>
    <xf numFmtId="0" fontId="6" fillId="0" borderId="19" xfId="0" applyFont="1" applyBorder="1" applyAlignment="1" applyProtection="1">
      <alignment horizontal="left"/>
      <protection hidden="1"/>
    </xf>
    <xf numFmtId="3" fontId="18" fillId="0" borderId="14" xfId="0" applyNumberFormat="1" applyFont="1" applyBorder="1" applyProtection="1">
      <protection hidden="1"/>
    </xf>
    <xf numFmtId="0" fontId="18" fillId="12" borderId="0" xfId="0" applyFont="1" applyFill="1"/>
    <xf numFmtId="0" fontId="18" fillId="0" borderId="30" xfId="0" applyFont="1" applyBorder="1" applyAlignment="1">
      <alignment horizontal="center" vertical="center"/>
    </xf>
    <xf numFmtId="167" fontId="8" fillId="0" borderId="0" xfId="0" applyNumberFormat="1" applyFont="1" applyAlignment="1">
      <alignment vertical="center"/>
    </xf>
    <xf numFmtId="0" fontId="79" fillId="0" borderId="18" xfId="0" applyFont="1" applyBorder="1" applyProtection="1">
      <protection hidden="1"/>
    </xf>
    <xf numFmtId="3" fontId="79" fillId="0" borderId="0" xfId="0" applyNumberFormat="1" applyFont="1" applyProtection="1">
      <protection hidden="1"/>
    </xf>
    <xf numFmtId="0" fontId="79" fillId="0" borderId="0" xfId="0" applyFont="1"/>
    <xf numFmtId="0" fontId="79" fillId="0" borderId="0" xfId="0" applyFont="1" applyAlignment="1" applyProtection="1">
      <alignment horizontal="left" vertical="center" wrapText="1"/>
      <protection hidden="1"/>
    </xf>
    <xf numFmtId="3" fontId="79" fillId="0" borderId="0" xfId="0" applyNumberFormat="1" applyFont="1" applyAlignment="1" applyProtection="1">
      <alignment vertical="center"/>
      <protection hidden="1"/>
    </xf>
    <xf numFmtId="0" fontId="79" fillId="17" borderId="18" xfId="0" applyFont="1" applyFill="1" applyBorder="1" applyProtection="1">
      <protection hidden="1"/>
    </xf>
    <xf numFmtId="3" fontId="80" fillId="17" borderId="0" xfId="0" applyNumberFormat="1" applyFont="1" applyFill="1" applyProtection="1">
      <protection hidden="1"/>
    </xf>
    <xf numFmtId="3" fontId="80" fillId="0" borderId="0" xfId="0" applyNumberFormat="1" applyFont="1" applyAlignment="1" applyProtection="1">
      <alignment vertical="center"/>
      <protection hidden="1"/>
    </xf>
    <xf numFmtId="0" fontId="43" fillId="0" borderId="8" xfId="0" applyFont="1" applyBorder="1" applyProtection="1">
      <protection hidden="1"/>
    </xf>
    <xf numFmtId="166" fontId="43" fillId="0" borderId="8" xfId="0" applyNumberFormat="1" applyFont="1" applyBorder="1" applyAlignment="1" applyProtection="1">
      <alignment horizontal="center"/>
      <protection hidden="1"/>
    </xf>
    <xf numFmtId="4" fontId="0" fillId="0" borderId="8" xfId="0" applyNumberFormat="1" applyBorder="1" applyProtection="1">
      <protection hidden="1"/>
    </xf>
    <xf numFmtId="0" fontId="81" fillId="0" borderId="0" xfId="0" applyFont="1" applyAlignment="1" applyProtection="1">
      <alignment horizontal="left" vertical="center" wrapText="1"/>
      <protection hidden="1"/>
    </xf>
    <xf numFmtId="3" fontId="81" fillId="0" borderId="0" xfId="0" applyNumberFormat="1" applyFont="1" applyAlignment="1" applyProtection="1">
      <alignment vertical="center"/>
      <protection hidden="1"/>
    </xf>
    <xf numFmtId="0" fontId="6" fillId="21" borderId="18" xfId="0" applyFont="1" applyFill="1" applyBorder="1" applyAlignment="1" applyProtection="1">
      <alignment horizontal="right" vertical="center"/>
      <protection hidden="1"/>
    </xf>
    <xf numFmtId="0" fontId="50" fillId="0" borderId="14" xfId="0" applyFont="1" applyBorder="1" applyAlignment="1">
      <alignment horizontal="left"/>
    </xf>
    <xf numFmtId="0" fontId="19" fillId="0" borderId="10" xfId="0" applyFont="1" applyBorder="1" applyAlignment="1">
      <alignment horizontal="left"/>
    </xf>
    <xf numFmtId="0" fontId="73" fillId="0" borderId="0" xfId="0" applyFont="1" applyAlignment="1" applyProtection="1">
      <alignment horizontal="center" vertical="center"/>
      <protection locked="0"/>
    </xf>
    <xf numFmtId="0" fontId="18" fillId="0" borderId="54" xfId="0" applyFont="1" applyBorder="1"/>
    <xf numFmtId="0" fontId="18" fillId="0" borderId="33" xfId="0" applyFont="1" applyBorder="1" applyAlignment="1">
      <alignment vertical="center"/>
    </xf>
    <xf numFmtId="0" fontId="10" fillId="0" borderId="14" xfId="0" applyFont="1" applyBorder="1" applyAlignment="1">
      <alignment horizontal="center" vertical="center"/>
    </xf>
    <xf numFmtId="0" fontId="13" fillId="0" borderId="0" xfId="1" applyAlignment="1" applyProtection="1">
      <alignment horizontal="center" vertical="center" wrapText="1"/>
      <protection hidden="1"/>
    </xf>
    <xf numFmtId="0" fontId="13" fillId="0" borderId="0" xfId="1" applyAlignment="1" applyProtection="1">
      <alignment vertical="center" wrapText="1"/>
    </xf>
    <xf numFmtId="0" fontId="19" fillId="0" borderId="19" xfId="0" applyFont="1" applyBorder="1" applyAlignment="1" applyProtection="1">
      <alignment horizontal="left" vertical="center" wrapText="1"/>
      <protection hidden="1"/>
    </xf>
    <xf numFmtId="0" fontId="0" fillId="0" borderId="0" xfId="0" applyAlignment="1">
      <alignment vertical="center" wrapText="1"/>
    </xf>
    <xf numFmtId="0" fontId="19" fillId="0" borderId="0" xfId="0" applyFont="1" applyAlignment="1" applyProtection="1">
      <alignment horizontal="left" vertical="center" wrapText="1"/>
      <protection hidden="1"/>
    </xf>
    <xf numFmtId="0" fontId="19" fillId="0" borderId="28" xfId="0" applyFont="1" applyBorder="1" applyAlignment="1">
      <alignment horizontal="left" vertical="center" wrapText="1"/>
    </xf>
    <xf numFmtId="0" fontId="19" fillId="0" borderId="28" xfId="0" applyFont="1" applyBorder="1" applyAlignment="1">
      <alignment horizontal="center" vertical="center"/>
    </xf>
    <xf numFmtId="0" fontId="9" fillId="0" borderId="12" xfId="0" applyFont="1" applyBorder="1" applyAlignment="1">
      <alignment horizontal="left" vertical="center"/>
    </xf>
    <xf numFmtId="0" fontId="18" fillId="0" borderId="12" xfId="0" applyFont="1" applyBorder="1" applyAlignment="1" applyProtection="1">
      <alignment horizontal="left"/>
      <protection hidden="1"/>
    </xf>
    <xf numFmtId="0" fontId="18" fillId="7" borderId="62" xfId="0" applyFont="1" applyFill="1" applyBorder="1" applyAlignment="1">
      <alignment horizontal="center" vertical="center"/>
    </xf>
    <xf numFmtId="0" fontId="19" fillId="0" borderId="14" xfId="0" applyFont="1" applyBorder="1" applyAlignment="1" applyProtection="1">
      <alignment vertical="center"/>
      <protection hidden="1"/>
    </xf>
    <xf numFmtId="0" fontId="19" fillId="0" borderId="14" xfId="0" applyFont="1" applyBorder="1" applyAlignment="1">
      <alignment vertical="center"/>
    </xf>
    <xf numFmtId="0" fontId="9" fillId="17" borderId="11" xfId="0" applyFont="1" applyFill="1" applyBorder="1"/>
    <xf numFmtId="0" fontId="43" fillId="17" borderId="11" xfId="0" applyFont="1" applyFill="1" applyBorder="1" applyProtection="1">
      <protection hidden="1"/>
    </xf>
    <xf numFmtId="166" fontId="43" fillId="17" borderId="11" xfId="0" applyNumberFormat="1" applyFont="1" applyFill="1" applyBorder="1" applyAlignment="1" applyProtection="1">
      <alignment horizontal="center"/>
      <protection hidden="1"/>
    </xf>
    <xf numFmtId="4" fontId="0" fillId="17" borderId="11" xfId="0" applyNumberFormat="1" applyFill="1" applyBorder="1" applyProtection="1">
      <protection hidden="1"/>
    </xf>
    <xf numFmtId="0" fontId="0" fillId="17" borderId="11" xfId="0" applyFill="1" applyBorder="1"/>
    <xf numFmtId="1" fontId="9" fillId="17" borderId="18" xfId="0" applyNumberFormat="1" applyFont="1" applyFill="1" applyBorder="1" applyProtection="1">
      <protection hidden="1"/>
    </xf>
    <xf numFmtId="0" fontId="6" fillId="0" borderId="0" xfId="0" applyFont="1" applyProtection="1">
      <protection hidden="1"/>
    </xf>
    <xf numFmtId="3" fontId="6" fillId="0" borderId="20" xfId="0" applyNumberFormat="1" applyFont="1" applyBorder="1" applyProtection="1">
      <protection hidden="1"/>
    </xf>
    <xf numFmtId="0" fontId="6" fillId="0" borderId="8" xfId="0" applyFont="1" applyBorder="1" applyProtection="1">
      <protection hidden="1"/>
    </xf>
    <xf numFmtId="1" fontId="6" fillId="17" borderId="8" xfId="0" applyNumberFormat="1" applyFont="1" applyFill="1" applyBorder="1" applyProtection="1">
      <protection hidden="1"/>
    </xf>
    <xf numFmtId="1" fontId="6" fillId="17" borderId="9" xfId="0" applyNumberFormat="1" applyFont="1" applyFill="1" applyBorder="1" applyProtection="1">
      <protection hidden="1"/>
    </xf>
    <xf numFmtId="0" fontId="9" fillId="17" borderId="40" xfId="0" applyFont="1" applyFill="1" applyBorder="1"/>
    <xf numFmtId="0" fontId="0" fillId="17" borderId="6" xfId="0" applyFill="1" applyBorder="1"/>
    <xf numFmtId="0" fontId="78" fillId="0" borderId="18" xfId="0" applyFont="1" applyBorder="1" applyProtection="1">
      <protection hidden="1"/>
    </xf>
    <xf numFmtId="3" fontId="78" fillId="0" borderId="20" xfId="0" applyNumberFormat="1" applyFont="1" applyBorder="1" applyProtection="1">
      <protection hidden="1"/>
    </xf>
    <xf numFmtId="1" fontId="6" fillId="17" borderId="18" xfId="0" applyNumberFormat="1" applyFont="1" applyFill="1" applyBorder="1" applyProtection="1">
      <protection hidden="1"/>
    </xf>
    <xf numFmtId="3" fontId="78" fillId="0" borderId="0" xfId="0" applyNumberFormat="1" applyFont="1"/>
    <xf numFmtId="3" fontId="78" fillId="0" borderId="20" xfId="0" applyNumberFormat="1" applyFont="1" applyBorder="1"/>
    <xf numFmtId="4" fontId="47" fillId="0" borderId="20" xfId="0" applyNumberFormat="1" applyFont="1" applyBorder="1" applyProtection="1">
      <protection hidden="1"/>
    </xf>
    <xf numFmtId="0" fontId="6" fillId="27" borderId="18" xfId="0" applyFont="1" applyFill="1" applyBorder="1" applyAlignment="1" applyProtection="1">
      <alignment horizontal="right" vertical="center"/>
      <protection hidden="1"/>
    </xf>
    <xf numFmtId="3" fontId="47" fillId="27" borderId="20" xfId="0" applyNumberFormat="1" applyFont="1" applyFill="1" applyBorder="1" applyProtection="1">
      <protection hidden="1"/>
    </xf>
    <xf numFmtId="3" fontId="79" fillId="0" borderId="20" xfId="0" applyNumberFormat="1" applyFont="1" applyBorder="1" applyProtection="1">
      <protection hidden="1"/>
    </xf>
    <xf numFmtId="0" fontId="81" fillId="0" borderId="40" xfId="0" applyFont="1" applyBorder="1" applyAlignment="1" applyProtection="1">
      <alignment horizontal="left" vertical="center" wrapText="1"/>
      <protection hidden="1"/>
    </xf>
    <xf numFmtId="3" fontId="81" fillId="0" borderId="11" xfId="0" applyNumberFormat="1" applyFont="1" applyBorder="1" applyAlignment="1" applyProtection="1">
      <alignment vertical="center"/>
      <protection hidden="1"/>
    </xf>
    <xf numFmtId="3" fontId="81" fillId="0" borderId="6" xfId="0" applyNumberFormat="1" applyFont="1" applyBorder="1" applyAlignment="1" applyProtection="1">
      <alignment vertical="center"/>
      <protection hidden="1"/>
    </xf>
    <xf numFmtId="0" fontId="79" fillId="0" borderId="18" xfId="0" applyFont="1" applyBorder="1" applyAlignment="1" applyProtection="1">
      <alignment horizontal="left" vertical="center" wrapText="1"/>
      <protection hidden="1"/>
    </xf>
    <xf numFmtId="3" fontId="79" fillId="0" borderId="20" xfId="0" applyNumberFormat="1" applyFont="1" applyBorder="1" applyAlignment="1" applyProtection="1">
      <alignment vertical="center"/>
      <protection hidden="1"/>
    </xf>
    <xf numFmtId="0" fontId="77" fillId="28" borderId="40" xfId="0" applyFont="1" applyFill="1" applyBorder="1"/>
    <xf numFmtId="0" fontId="77" fillId="28" borderId="11" xfId="0" applyFont="1" applyFill="1" applyBorder="1" applyAlignment="1" applyProtection="1">
      <alignment horizontal="center"/>
      <protection hidden="1"/>
    </xf>
    <xf numFmtId="1" fontId="77" fillId="28" borderId="11" xfId="0" applyNumberFormat="1" applyFont="1" applyFill="1" applyBorder="1" applyAlignment="1" applyProtection="1">
      <alignment horizontal="center"/>
      <protection hidden="1"/>
    </xf>
    <xf numFmtId="1" fontId="77" fillId="28" borderId="6" xfId="0" applyNumberFormat="1" applyFont="1" applyFill="1" applyBorder="1" applyAlignment="1" applyProtection="1">
      <alignment horizontal="center"/>
      <protection hidden="1"/>
    </xf>
    <xf numFmtId="0" fontId="9" fillId="28" borderId="0" xfId="0" applyFont="1" applyFill="1" applyProtection="1">
      <protection hidden="1"/>
    </xf>
    <xf numFmtId="0" fontId="7" fillId="0" borderId="0" xfId="0" applyFont="1" applyAlignment="1">
      <alignment horizontal="center" vertical="center" wrapText="1"/>
    </xf>
    <xf numFmtId="49" fontId="19" fillId="5" borderId="0" xfId="0" applyNumberFormat="1" applyFont="1" applyFill="1" applyAlignment="1">
      <alignment horizontal="center"/>
    </xf>
    <xf numFmtId="49" fontId="19" fillId="0" borderId="0" xfId="0" applyNumberFormat="1" applyFont="1" applyAlignment="1">
      <alignment horizontal="center"/>
    </xf>
    <xf numFmtId="49" fontId="18" fillId="0" borderId="0" xfId="0" applyNumberFormat="1" applyFont="1" applyAlignment="1">
      <alignment horizontal="center"/>
    </xf>
    <xf numFmtId="49" fontId="19" fillId="5" borderId="0" xfId="0" applyNumberFormat="1" applyFont="1" applyFill="1" applyAlignment="1">
      <alignment horizontal="center" vertical="center"/>
    </xf>
    <xf numFmtId="49" fontId="19" fillId="0" borderId="0" xfId="0" applyNumberFormat="1" applyFont="1" applyAlignment="1">
      <alignment horizontal="center" vertical="center"/>
    </xf>
    <xf numFmtId="49" fontId="18" fillId="0" borderId="0" xfId="0" applyNumberFormat="1" applyFont="1" applyAlignment="1">
      <alignment horizontal="center" vertical="center"/>
    </xf>
    <xf numFmtId="49" fontId="19" fillId="0" borderId="0" xfId="0" applyNumberFormat="1" applyFont="1" applyAlignment="1" applyProtection="1">
      <alignment horizontal="center" vertical="center"/>
      <protection hidden="1"/>
    </xf>
    <xf numFmtId="49" fontId="19" fillId="12" borderId="0" xfId="0" applyNumberFormat="1" applyFont="1" applyFill="1" applyAlignment="1">
      <alignment horizontal="center" vertical="center"/>
    </xf>
    <xf numFmtId="49" fontId="18" fillId="12" borderId="0" xfId="0" applyNumberFormat="1" applyFont="1" applyFill="1" applyAlignment="1">
      <alignment horizontal="center" vertical="center"/>
    </xf>
    <xf numFmtId="0" fontId="19" fillId="0" borderId="9" xfId="0" applyFont="1" applyBorder="1" applyAlignment="1">
      <alignment vertical="center"/>
    </xf>
    <xf numFmtId="0" fontId="19" fillId="0" borderId="31" xfId="0" applyFont="1" applyBorder="1" applyAlignment="1">
      <alignment vertical="center"/>
    </xf>
    <xf numFmtId="0" fontId="18" fillId="0" borderId="22" xfId="0" applyFont="1" applyBorder="1" applyAlignment="1">
      <alignment horizontal="center"/>
    </xf>
    <xf numFmtId="0" fontId="18" fillId="0" borderId="22" xfId="0" applyFont="1" applyBorder="1"/>
    <xf numFmtId="0" fontId="18" fillId="0" borderId="54" xfId="1" applyFont="1" applyBorder="1" applyAlignment="1" applyProtection="1">
      <alignment vertical="center"/>
    </xf>
    <xf numFmtId="0" fontId="18" fillId="0" borderId="54" xfId="0" applyFont="1" applyBorder="1" applyAlignment="1">
      <alignment vertical="center"/>
    </xf>
    <xf numFmtId="0" fontId="18" fillId="0" borderId="31" xfId="0" applyFont="1" applyBorder="1" applyAlignment="1">
      <alignment vertical="center"/>
    </xf>
    <xf numFmtId="0" fontId="19" fillId="0" borderId="31" xfId="0" applyFont="1" applyBorder="1" applyAlignment="1">
      <alignment horizontal="left" vertical="center"/>
    </xf>
    <xf numFmtId="9" fontId="19" fillId="0" borderId="66" xfId="0" applyNumberFormat="1" applyFont="1" applyBorder="1" applyAlignment="1" applyProtection="1">
      <alignment vertical="center"/>
      <protection locked="0"/>
    </xf>
    <xf numFmtId="9" fontId="19" fillId="0" borderId="79" xfId="0" applyNumberFormat="1" applyFont="1" applyBorder="1" applyAlignment="1" applyProtection="1">
      <alignment vertical="center"/>
      <protection locked="0"/>
    </xf>
    <xf numFmtId="9" fontId="19" fillId="0" borderId="9" xfId="0" applyNumberFormat="1" applyFont="1" applyBorder="1" applyAlignment="1" applyProtection="1">
      <alignment vertical="center"/>
      <protection locked="0"/>
    </xf>
    <xf numFmtId="0" fontId="19" fillId="0" borderId="66" xfId="0" applyFont="1" applyBorder="1" applyAlignment="1">
      <alignment vertical="center"/>
    </xf>
    <xf numFmtId="0" fontId="19" fillId="0" borderId="71" xfId="0" applyFont="1" applyBorder="1" applyAlignment="1">
      <alignment vertical="center"/>
    </xf>
    <xf numFmtId="0" fontId="19" fillId="0" borderId="8" xfId="0" applyFont="1" applyBorder="1" applyAlignment="1">
      <alignment horizontal="left" vertical="center"/>
    </xf>
    <xf numFmtId="0" fontId="7" fillId="0" borderId="0" xfId="0" applyFont="1" applyAlignment="1">
      <alignment horizontal="center" wrapText="1"/>
    </xf>
    <xf numFmtId="0" fontId="19" fillId="0" borderId="12" xfId="0" applyFont="1" applyBorder="1"/>
    <xf numFmtId="0" fontId="19" fillId="0" borderId="8" xfId="0" applyFont="1" applyBorder="1"/>
    <xf numFmtId="9" fontId="19" fillId="0" borderId="12" xfId="0" applyNumberFormat="1" applyFont="1" applyBorder="1" applyAlignment="1" applyProtection="1">
      <alignment vertical="center"/>
      <protection locked="0"/>
    </xf>
    <xf numFmtId="9" fontId="19" fillId="0" borderId="8" xfId="0" applyNumberFormat="1" applyFont="1" applyBorder="1" applyAlignment="1" applyProtection="1">
      <alignment vertical="center"/>
      <protection locked="0"/>
    </xf>
    <xf numFmtId="9" fontId="54" fillId="11" borderId="14" xfId="0" applyNumberFormat="1" applyFont="1" applyFill="1" applyBorder="1" applyAlignment="1" applyProtection="1">
      <alignment horizontal="center" vertical="center"/>
      <protection locked="0"/>
    </xf>
    <xf numFmtId="0" fontId="18" fillId="0" borderId="11" xfId="0" applyFont="1" applyBorder="1" applyAlignment="1">
      <alignment horizontal="center"/>
    </xf>
    <xf numFmtId="0" fontId="18" fillId="0" borderId="11" xfId="0" applyFont="1" applyBorder="1" applyAlignment="1">
      <alignment horizontal="center" vertical="center"/>
    </xf>
    <xf numFmtId="0" fontId="83" fillId="0" borderId="12" xfId="0" applyFont="1" applyBorder="1" applyAlignment="1">
      <alignment vertical="center"/>
    </xf>
    <xf numFmtId="0" fontId="83" fillId="0" borderId="0" xfId="0" applyFont="1" applyAlignment="1">
      <alignment horizontal="center" vertical="center"/>
    </xf>
    <xf numFmtId="0" fontId="83" fillId="0" borderId="0" xfId="0" applyFont="1" applyAlignment="1">
      <alignment horizontal="center"/>
    </xf>
    <xf numFmtId="0" fontId="83" fillId="0" borderId="0" xfId="0" applyFont="1"/>
    <xf numFmtId="0" fontId="90" fillId="0" borderId="0" xfId="0" applyFont="1"/>
    <xf numFmtId="0" fontId="6" fillId="10" borderId="0" xfId="0" applyFont="1" applyFill="1" applyAlignment="1">
      <alignment horizontal="center" vertical="center"/>
    </xf>
    <xf numFmtId="0" fontId="0" fillId="10" borderId="0" xfId="0" applyFill="1" applyAlignment="1">
      <alignment horizontal="center" vertical="center"/>
    </xf>
    <xf numFmtId="0" fontId="6" fillId="12" borderId="0" xfId="0" applyFont="1" applyFill="1" applyAlignment="1">
      <alignment horizontal="center" vertical="center"/>
    </xf>
    <xf numFmtId="0" fontId="0" fillId="12" borderId="0" xfId="0" applyFill="1" applyAlignment="1">
      <alignment horizontal="center" vertical="center"/>
    </xf>
    <xf numFmtId="0" fontId="18" fillId="0" borderId="28" xfId="0" applyFont="1" applyBorder="1" applyAlignment="1">
      <alignment horizontal="center" vertical="center"/>
    </xf>
    <xf numFmtId="0" fontId="19" fillId="0" borderId="28" xfId="0" applyFont="1" applyBorder="1" applyProtection="1">
      <protection hidden="1"/>
    </xf>
    <xf numFmtId="0" fontId="19" fillId="0" borderId="31" xfId="0" applyFont="1" applyBorder="1" applyProtection="1">
      <protection hidden="1"/>
    </xf>
    <xf numFmtId="49" fontId="43" fillId="11" borderId="80" xfId="0" applyNumberFormat="1" applyFont="1" applyFill="1" applyBorder="1" applyAlignment="1" applyProtection="1">
      <alignment horizontal="center" vertical="center"/>
      <protection locked="0"/>
    </xf>
    <xf numFmtId="49" fontId="43" fillId="11" borderId="72" xfId="0" applyNumberFormat="1" applyFont="1" applyFill="1" applyBorder="1" applyAlignment="1" applyProtection="1">
      <alignment horizontal="center" vertical="center"/>
      <protection locked="0"/>
    </xf>
    <xf numFmtId="0" fontId="66" fillId="0" borderId="0" xfId="0" applyFont="1" applyAlignment="1">
      <alignment horizontal="center"/>
    </xf>
    <xf numFmtId="49" fontId="18" fillId="0" borderId="22" xfId="0" applyNumberFormat="1" applyFont="1" applyBorder="1" applyAlignment="1">
      <alignment horizontal="left" vertical="center"/>
    </xf>
    <xf numFmtId="49" fontId="18" fillId="0" borderId="7" xfId="0" applyNumberFormat="1" applyFont="1" applyBorder="1" applyAlignment="1">
      <alignment horizontal="left" vertical="center"/>
    </xf>
    <xf numFmtId="3" fontId="6" fillId="0" borderId="0" xfId="0" applyNumberFormat="1" applyFont="1"/>
    <xf numFmtId="0" fontId="19" fillId="0" borderId="19" xfId="0" applyFont="1" applyBorder="1" applyAlignment="1" applyProtection="1">
      <alignment vertical="center"/>
      <protection locked="0"/>
    </xf>
    <xf numFmtId="0" fontId="18" fillId="0" borderId="12" xfId="0" applyFont="1" applyBorder="1" applyAlignment="1">
      <alignment vertical="center"/>
    </xf>
    <xf numFmtId="0" fontId="19" fillId="0" borderId="10" xfId="0" applyFont="1" applyBorder="1" applyAlignment="1">
      <alignment vertical="center"/>
    </xf>
    <xf numFmtId="0" fontId="92" fillId="0" borderId="0" xfId="0" applyFont="1" applyProtection="1">
      <protection locked="0"/>
    </xf>
    <xf numFmtId="0" fontId="5" fillId="0" borderId="12" xfId="0" applyFont="1" applyBorder="1" applyAlignment="1">
      <alignment vertical="center"/>
    </xf>
    <xf numFmtId="3" fontId="18" fillId="0" borderId="0" xfId="0" applyNumberFormat="1" applyFont="1" applyAlignment="1" applyProtection="1">
      <alignment horizontal="center" vertical="center"/>
      <protection hidden="1"/>
    </xf>
    <xf numFmtId="3" fontId="18" fillId="0" borderId="7" xfId="0" applyNumberFormat="1" applyFont="1" applyBorder="1" applyAlignment="1" applyProtection="1">
      <alignment horizontal="center" vertical="center"/>
      <protection hidden="1"/>
    </xf>
    <xf numFmtId="3" fontId="19" fillId="3" borderId="30" xfId="0" applyNumberFormat="1" applyFont="1" applyFill="1" applyBorder="1" applyAlignment="1" applyProtection="1">
      <alignment horizontal="center" vertical="center"/>
      <protection hidden="1"/>
    </xf>
    <xf numFmtId="164" fontId="10" fillId="13" borderId="14" xfId="0" applyNumberFormat="1" applyFont="1" applyFill="1" applyBorder="1" applyAlignment="1" applyProtection="1">
      <alignment horizontal="center" vertical="center"/>
      <protection locked="0"/>
    </xf>
    <xf numFmtId="3" fontId="19" fillId="3" borderId="14" xfId="0" applyNumberFormat="1" applyFont="1" applyFill="1" applyBorder="1" applyAlignment="1" applyProtection="1">
      <alignment horizontal="center"/>
      <protection hidden="1"/>
    </xf>
    <xf numFmtId="3" fontId="18" fillId="0" borderId="5" xfId="0" applyNumberFormat="1" applyFont="1" applyBorder="1" applyAlignment="1" applyProtection="1">
      <alignment horizontal="center" vertical="center"/>
      <protection hidden="1"/>
    </xf>
    <xf numFmtId="3" fontId="19" fillId="3" borderId="26" xfId="0" applyNumberFormat="1" applyFont="1" applyFill="1" applyBorder="1" applyAlignment="1" applyProtection="1">
      <alignment horizontal="center" vertical="center"/>
      <protection hidden="1"/>
    </xf>
    <xf numFmtId="3" fontId="18" fillId="7" borderId="1" xfId="0" applyNumberFormat="1" applyFont="1" applyFill="1" applyBorder="1" applyAlignment="1" applyProtection="1">
      <alignment horizontal="center" vertical="center"/>
      <protection hidden="1"/>
    </xf>
    <xf numFmtId="3" fontId="18" fillId="7" borderId="26" xfId="0" applyNumberFormat="1" applyFont="1" applyFill="1" applyBorder="1" applyAlignment="1" applyProtection="1">
      <alignment horizontal="center" vertical="center"/>
      <protection hidden="1"/>
    </xf>
    <xf numFmtId="3" fontId="19" fillId="7" borderId="69" xfId="0" applyNumberFormat="1" applyFont="1" applyFill="1" applyBorder="1" applyAlignment="1" applyProtection="1">
      <alignment horizontal="center" vertical="center"/>
      <protection hidden="1"/>
    </xf>
    <xf numFmtId="3" fontId="19" fillId="7" borderId="4" xfId="0" applyNumberFormat="1" applyFont="1" applyFill="1" applyBorder="1" applyAlignment="1" applyProtection="1">
      <alignment horizontal="center" vertical="center"/>
      <protection hidden="1"/>
    </xf>
    <xf numFmtId="3" fontId="19" fillId="7" borderId="103" xfId="0" applyNumberFormat="1" applyFont="1" applyFill="1" applyBorder="1" applyAlignment="1" applyProtection="1">
      <alignment horizontal="center" vertical="center"/>
      <protection hidden="1"/>
    </xf>
    <xf numFmtId="3" fontId="18" fillId="0" borderId="11" xfId="0" applyNumberFormat="1" applyFont="1" applyBorder="1" applyAlignment="1">
      <alignment horizontal="center" vertical="center"/>
    </xf>
    <xf numFmtId="3" fontId="18" fillId="7" borderId="73" xfId="0" applyNumberFormat="1" applyFont="1" applyFill="1" applyBorder="1" applyAlignment="1" applyProtection="1">
      <alignment horizontal="center" vertical="center"/>
      <protection hidden="1"/>
    </xf>
    <xf numFmtId="3" fontId="19" fillId="7" borderId="70" xfId="0" applyNumberFormat="1" applyFont="1" applyFill="1" applyBorder="1" applyAlignment="1" applyProtection="1">
      <alignment horizontal="center" vertical="center"/>
      <protection hidden="1"/>
    </xf>
    <xf numFmtId="3" fontId="19" fillId="0" borderId="78" xfId="0" applyNumberFormat="1" applyFont="1" applyBorder="1" applyAlignment="1" applyProtection="1">
      <alignment horizontal="center" vertical="center"/>
      <protection hidden="1"/>
    </xf>
    <xf numFmtId="3" fontId="19" fillId="0" borderId="69" xfId="0" applyNumberFormat="1" applyFont="1" applyBorder="1" applyAlignment="1" applyProtection="1">
      <alignment horizontal="center" vertical="center"/>
      <protection hidden="1"/>
    </xf>
    <xf numFmtId="4" fontId="19" fillId="0" borderId="69" xfId="0" applyNumberFormat="1" applyFont="1" applyBorder="1" applyAlignment="1" applyProtection="1">
      <alignment horizontal="center" vertical="center"/>
      <protection hidden="1"/>
    </xf>
    <xf numFmtId="3" fontId="18" fillId="7" borderId="26" xfId="0" applyNumberFormat="1" applyFont="1" applyFill="1" applyBorder="1" applyAlignment="1" applyProtection="1">
      <alignment horizontal="center" vertical="center"/>
      <protection locked="0"/>
    </xf>
    <xf numFmtId="3" fontId="19" fillId="0" borderId="1" xfId="0" applyNumberFormat="1" applyFont="1" applyBorder="1" applyAlignment="1" applyProtection="1">
      <alignment horizontal="center" vertical="center"/>
      <protection hidden="1"/>
    </xf>
    <xf numFmtId="3" fontId="18" fillId="0" borderId="4" xfId="0" applyNumberFormat="1" applyFont="1" applyBorder="1" applyAlignment="1" applyProtection="1">
      <alignment horizontal="center" vertical="center"/>
      <protection hidden="1"/>
    </xf>
    <xf numFmtId="3" fontId="19" fillId="0" borderId="5" xfId="0" applyNumberFormat="1" applyFont="1" applyBorder="1" applyAlignment="1" applyProtection="1">
      <alignment horizontal="center" vertical="center"/>
      <protection hidden="1"/>
    </xf>
    <xf numFmtId="0" fontId="88" fillId="0" borderId="0" xfId="3" applyFont="1" applyAlignment="1">
      <alignment horizontal="center"/>
    </xf>
    <xf numFmtId="0" fontId="88" fillId="0" borderId="0" xfId="3" applyFont="1" applyAlignment="1">
      <alignment horizontal="center" vertical="center"/>
    </xf>
    <xf numFmtId="0" fontId="89" fillId="0" borderId="0" xfId="0" applyFont="1" applyAlignment="1">
      <alignment vertical="top"/>
    </xf>
    <xf numFmtId="0" fontId="83" fillId="0" borderId="0" xfId="0" applyFont="1" applyAlignment="1">
      <alignment vertical="center"/>
    </xf>
    <xf numFmtId="0" fontId="83" fillId="12" borderId="0" xfId="0" applyFont="1" applyFill="1" applyAlignment="1">
      <alignment horizontal="center"/>
    </xf>
    <xf numFmtId="172" fontId="83" fillId="12" borderId="0" xfId="0" applyNumberFormat="1" applyFont="1" applyFill="1" applyAlignment="1">
      <alignment horizontal="center"/>
    </xf>
    <xf numFmtId="164" fontId="83" fillId="12" borderId="0" xfId="0" applyNumberFormat="1" applyFont="1" applyFill="1" applyAlignment="1">
      <alignment horizontal="center"/>
    </xf>
    <xf numFmtId="170" fontId="83" fillId="12" borderId="0" xfId="0" applyNumberFormat="1" applyFont="1" applyFill="1" applyAlignment="1">
      <alignment horizontal="center"/>
    </xf>
    <xf numFmtId="0" fontId="100" fillId="0" borderId="0" xfId="0" applyFont="1" applyAlignment="1">
      <alignment horizontal="center" vertical="center"/>
    </xf>
    <xf numFmtId="171" fontId="83" fillId="0" borderId="0" xfId="0" applyNumberFormat="1" applyFont="1" applyAlignment="1">
      <alignment horizontal="center" vertical="center"/>
    </xf>
    <xf numFmtId="164" fontId="83" fillId="0" borderId="0" xfId="0" applyNumberFormat="1" applyFont="1" applyAlignment="1">
      <alignment horizontal="center" vertical="center"/>
    </xf>
    <xf numFmtId="3" fontId="19" fillId="0" borderId="14" xfId="0" applyNumberFormat="1" applyFont="1" applyBorder="1" applyAlignment="1">
      <alignment horizontal="center" vertical="center"/>
    </xf>
    <xf numFmtId="3" fontId="19" fillId="0" borderId="33" xfId="0" applyNumberFormat="1" applyFont="1" applyBorder="1" applyAlignment="1">
      <alignment horizontal="center" vertical="center"/>
    </xf>
    <xf numFmtId="3" fontId="18" fillId="7" borderId="14" xfId="0" applyNumberFormat="1" applyFont="1" applyFill="1" applyBorder="1" applyAlignment="1" applyProtection="1">
      <alignment horizontal="center" vertical="center"/>
      <protection hidden="1"/>
    </xf>
    <xf numFmtId="166" fontId="83" fillId="0" borderId="0" xfId="0" applyNumberFormat="1" applyFont="1" applyAlignment="1">
      <alignment horizontal="center" vertical="center"/>
    </xf>
    <xf numFmtId="170" fontId="83" fillId="0" borderId="0" xfId="0" applyNumberFormat="1" applyFont="1" applyAlignment="1">
      <alignment horizontal="center" vertical="center"/>
    </xf>
    <xf numFmtId="170" fontId="5" fillId="0" borderId="0" xfId="0" applyNumberFormat="1" applyFont="1" applyAlignment="1">
      <alignment horizontal="center" vertical="center"/>
    </xf>
    <xf numFmtId="0" fontId="82" fillId="0" borderId="0" xfId="0" applyFont="1" applyAlignment="1">
      <alignment horizontal="center" vertical="center"/>
    </xf>
    <xf numFmtId="170" fontId="82" fillId="0" borderId="0" xfId="0" applyNumberFormat="1" applyFont="1" applyAlignment="1">
      <alignment horizontal="center" vertical="center"/>
    </xf>
    <xf numFmtId="164" fontId="82" fillId="0" borderId="0" xfId="0" applyNumberFormat="1" applyFont="1" applyAlignment="1">
      <alignment horizontal="center" vertical="center"/>
    </xf>
    <xf numFmtId="171" fontId="82" fillId="0" borderId="0" xfId="0" applyNumberFormat="1" applyFont="1" applyAlignment="1">
      <alignment horizontal="center" vertical="center"/>
    </xf>
    <xf numFmtId="0" fontId="99" fillId="0" borderId="0" xfId="0" applyFont="1" applyAlignment="1">
      <alignment horizontal="center" vertical="center"/>
    </xf>
    <xf numFmtId="165" fontId="18" fillId="0" borderId="69" xfId="0" applyNumberFormat="1" applyFont="1" applyBorder="1" applyAlignment="1" applyProtection="1">
      <alignment horizontal="center" vertical="center"/>
      <protection hidden="1"/>
    </xf>
    <xf numFmtId="0" fontId="19" fillId="0" borderId="0" xfId="0" applyFont="1" applyAlignment="1" applyProtection="1">
      <alignment vertical="center"/>
      <protection locked="0"/>
    </xf>
    <xf numFmtId="3" fontId="19" fillId="11" borderId="69" xfId="0" applyNumberFormat="1" applyFont="1" applyFill="1" applyBorder="1" applyAlignment="1" applyProtection="1">
      <alignment horizontal="center" vertical="center"/>
      <protection locked="0"/>
    </xf>
    <xf numFmtId="167" fontId="19" fillId="11" borderId="26" xfId="0" applyNumberFormat="1" applyFont="1" applyFill="1" applyBorder="1" applyAlignment="1" applyProtection="1">
      <alignment horizontal="center" vertical="center"/>
      <protection locked="0"/>
    </xf>
    <xf numFmtId="3" fontId="19" fillId="7" borderId="69" xfId="0" applyNumberFormat="1" applyFont="1" applyFill="1" applyBorder="1" applyAlignment="1" applyProtection="1">
      <alignment horizontal="center"/>
      <protection hidden="1"/>
    </xf>
    <xf numFmtId="3" fontId="19" fillId="7" borderId="15" xfId="0" applyNumberFormat="1" applyFont="1" applyFill="1" applyBorder="1" applyAlignment="1" applyProtection="1">
      <alignment horizontal="center" vertical="center"/>
      <protection hidden="1"/>
    </xf>
    <xf numFmtId="10" fontId="19" fillId="11" borderId="69" xfId="0" applyNumberFormat="1" applyFont="1" applyFill="1" applyBorder="1" applyAlignment="1" applyProtection="1">
      <alignment horizontal="center" vertical="center"/>
      <protection locked="0"/>
    </xf>
    <xf numFmtId="168" fontId="74" fillId="11" borderId="69" xfId="0" applyNumberFormat="1" applyFont="1" applyFill="1" applyBorder="1" applyAlignment="1" applyProtection="1">
      <alignment horizontal="center" vertical="center"/>
      <protection locked="0"/>
    </xf>
    <xf numFmtId="10" fontId="19" fillId="11" borderId="78" xfId="0" applyNumberFormat="1" applyFont="1" applyFill="1" applyBorder="1" applyAlignment="1" applyProtection="1">
      <alignment horizontal="center" vertical="center"/>
      <protection locked="0"/>
    </xf>
    <xf numFmtId="3" fontId="19" fillId="11" borderId="4" xfId="0" applyNumberFormat="1" applyFont="1" applyFill="1" applyBorder="1" applyAlignment="1" applyProtection="1">
      <alignment horizontal="center" vertical="center"/>
      <protection locked="0"/>
    </xf>
    <xf numFmtId="3" fontId="19" fillId="11" borderId="78" xfId="0" applyNumberFormat="1" applyFont="1" applyFill="1" applyBorder="1" applyAlignment="1" applyProtection="1">
      <alignment horizontal="center" vertical="center"/>
      <protection locked="0"/>
    </xf>
    <xf numFmtId="167" fontId="19" fillId="11" borderId="69" xfId="0" applyNumberFormat="1" applyFont="1" applyFill="1" applyBorder="1" applyAlignment="1" applyProtection="1">
      <alignment horizontal="center" vertical="center"/>
      <protection locked="0"/>
    </xf>
    <xf numFmtId="4" fontId="19" fillId="11" borderId="78" xfId="0" applyNumberFormat="1" applyFont="1" applyFill="1" applyBorder="1" applyAlignment="1" applyProtection="1">
      <alignment horizontal="center" vertical="center"/>
      <protection locked="0"/>
    </xf>
    <xf numFmtId="2" fontId="19" fillId="11" borderId="69" xfId="0" applyNumberFormat="1" applyFont="1" applyFill="1" applyBorder="1" applyAlignment="1" applyProtection="1">
      <alignment horizontal="center" vertical="center"/>
      <protection locked="0"/>
    </xf>
    <xf numFmtId="4" fontId="19" fillId="11" borderId="69" xfId="0" applyNumberFormat="1" applyFont="1" applyFill="1" applyBorder="1" applyAlignment="1" applyProtection="1">
      <alignment horizontal="center" vertical="center"/>
      <protection locked="0"/>
    </xf>
    <xf numFmtId="3" fontId="18" fillId="11" borderId="5" xfId="0" applyNumberFormat="1" applyFont="1" applyFill="1" applyBorder="1" applyAlignment="1" applyProtection="1">
      <alignment horizontal="center" vertical="center"/>
      <protection locked="0"/>
    </xf>
    <xf numFmtId="3" fontId="19" fillId="11" borderId="74" xfId="0" applyNumberFormat="1" applyFont="1" applyFill="1" applyBorder="1" applyAlignment="1" applyProtection="1">
      <alignment horizontal="center" vertical="center"/>
      <protection locked="0"/>
    </xf>
    <xf numFmtId="3" fontId="19" fillId="11" borderId="26" xfId="0" applyNumberFormat="1" applyFont="1" applyFill="1" applyBorder="1" applyAlignment="1" applyProtection="1">
      <alignment horizontal="center" vertical="center"/>
      <protection locked="0"/>
    </xf>
    <xf numFmtId="3" fontId="18" fillId="11" borderId="1" xfId="0" applyNumberFormat="1" applyFont="1" applyFill="1" applyBorder="1" applyAlignment="1" applyProtection="1">
      <alignment horizontal="center" vertical="center"/>
      <protection locked="0"/>
    </xf>
    <xf numFmtId="3" fontId="18" fillId="11" borderId="26" xfId="0" applyNumberFormat="1" applyFont="1" applyFill="1" applyBorder="1" applyAlignment="1" applyProtection="1">
      <alignment horizontal="center" vertical="center"/>
      <protection locked="0"/>
    </xf>
    <xf numFmtId="4" fontId="10" fillId="11" borderId="14" xfId="0" applyNumberFormat="1" applyFont="1" applyFill="1" applyBorder="1" applyAlignment="1" applyProtection="1">
      <alignment horizontal="center" vertical="center"/>
      <protection locked="0"/>
    </xf>
    <xf numFmtId="4" fontId="10" fillId="11" borderId="33" xfId="0" applyNumberFormat="1" applyFont="1" applyFill="1" applyBorder="1" applyAlignment="1" applyProtection="1">
      <alignment horizontal="center" vertical="center"/>
      <protection locked="0"/>
    </xf>
    <xf numFmtId="3" fontId="10" fillId="11" borderId="33" xfId="0" applyNumberFormat="1" applyFont="1" applyFill="1" applyBorder="1" applyAlignment="1" applyProtection="1">
      <alignment horizontal="center" vertical="center"/>
      <protection locked="0"/>
    </xf>
    <xf numFmtId="3" fontId="10" fillId="11" borderId="14" xfId="0" applyNumberFormat="1" applyFont="1" applyFill="1" applyBorder="1" applyAlignment="1" applyProtection="1">
      <alignment horizontal="center" vertical="center"/>
      <protection locked="0"/>
    </xf>
    <xf numFmtId="3" fontId="10" fillId="0" borderId="14" xfId="0" applyNumberFormat="1" applyFont="1" applyBorder="1" applyAlignment="1" applyProtection="1">
      <alignment horizontal="center" vertical="center"/>
      <protection hidden="1"/>
    </xf>
    <xf numFmtId="164" fontId="10" fillId="0" borderId="14" xfId="0" applyNumberFormat="1" applyFont="1" applyBorder="1" applyAlignment="1" applyProtection="1">
      <alignment horizontal="center" vertical="center"/>
      <protection hidden="1"/>
    </xf>
    <xf numFmtId="4" fontId="10" fillId="0" borderId="14" xfId="0" applyNumberFormat="1" applyFont="1" applyBorder="1" applyAlignment="1" applyProtection="1">
      <alignment horizontal="center" vertical="center"/>
      <protection hidden="1"/>
    </xf>
    <xf numFmtId="3" fontId="10" fillId="0" borderId="0" xfId="0" applyNumberFormat="1" applyFont="1" applyAlignment="1" applyProtection="1">
      <alignment horizontal="center" vertical="center"/>
      <protection hidden="1"/>
    </xf>
    <xf numFmtId="2" fontId="10" fillId="11" borderId="33" xfId="0" applyNumberFormat="1" applyFont="1" applyFill="1" applyBorder="1" applyAlignment="1" applyProtection="1">
      <alignment horizontal="center" vertical="center"/>
      <protection locked="0"/>
    </xf>
    <xf numFmtId="3" fontId="10" fillId="3" borderId="28" xfId="0" applyNumberFormat="1" applyFont="1" applyFill="1" applyBorder="1" applyAlignment="1" applyProtection="1">
      <alignment horizontal="center" vertical="center"/>
      <protection hidden="1"/>
    </xf>
    <xf numFmtId="3" fontId="7" fillId="0" borderId="14" xfId="0" applyNumberFormat="1" applyFont="1" applyBorder="1" applyAlignment="1" applyProtection="1">
      <alignment horizontal="center" vertical="center"/>
      <protection hidden="1"/>
    </xf>
    <xf numFmtId="4" fontId="10" fillId="3" borderId="0" xfId="0" applyNumberFormat="1" applyFont="1" applyFill="1" applyAlignment="1" applyProtection="1">
      <alignment horizontal="center" vertical="center"/>
      <protection hidden="1"/>
    </xf>
    <xf numFmtId="0" fontId="10" fillId="3" borderId="0" xfId="0" applyFont="1" applyFill="1" applyAlignment="1">
      <alignment horizontal="center" vertical="center"/>
    </xf>
    <xf numFmtId="3" fontId="7" fillId="0" borderId="0" xfId="0" applyNumberFormat="1" applyFont="1" applyAlignment="1" applyProtection="1">
      <alignment horizontal="center" vertical="center"/>
      <protection hidden="1"/>
    </xf>
    <xf numFmtId="3" fontId="18" fillId="0" borderId="33" xfId="0" applyNumberFormat="1" applyFont="1" applyBorder="1" applyAlignment="1" applyProtection="1">
      <alignment horizontal="center"/>
      <protection hidden="1"/>
    </xf>
    <xf numFmtId="3" fontId="19" fillId="11" borderId="33" xfId="0" applyNumberFormat="1" applyFont="1" applyFill="1" applyBorder="1" applyAlignment="1" applyProtection="1">
      <alignment horizontal="center"/>
      <protection locked="0"/>
    </xf>
    <xf numFmtId="3" fontId="18" fillId="11" borderId="33" xfId="0" applyNumberFormat="1" applyFont="1" applyFill="1" applyBorder="1" applyAlignment="1" applyProtection="1">
      <alignment horizontal="center" vertical="center"/>
      <protection locked="0"/>
    </xf>
    <xf numFmtId="3" fontId="18" fillId="0" borderId="0" xfId="0" applyNumberFormat="1" applyFont="1" applyAlignment="1">
      <alignment horizontal="center" vertical="center"/>
    </xf>
    <xf numFmtId="3" fontId="60" fillId="0" borderId="14" xfId="0" applyNumberFormat="1" applyFont="1" applyBorder="1" applyAlignment="1" applyProtection="1">
      <alignment horizontal="center" vertical="center"/>
      <protection hidden="1"/>
    </xf>
    <xf numFmtId="164" fontId="19" fillId="11" borderId="10" xfId="0" applyNumberFormat="1" applyFont="1" applyFill="1" applyBorder="1" applyAlignment="1" applyProtection="1">
      <alignment horizontal="center" vertical="center"/>
      <protection locked="0"/>
    </xf>
    <xf numFmtId="1" fontId="19" fillId="11" borderId="14" xfId="0" applyNumberFormat="1" applyFont="1" applyFill="1" applyBorder="1" applyAlignment="1" applyProtection="1">
      <alignment horizontal="center" vertical="center"/>
      <protection locked="0"/>
    </xf>
    <xf numFmtId="3" fontId="18" fillId="0" borderId="0" xfId="0" applyNumberFormat="1" applyFont="1" applyAlignment="1" applyProtection="1">
      <alignment horizontal="center"/>
      <protection hidden="1"/>
    </xf>
    <xf numFmtId="0" fontId="18" fillId="0" borderId="0" xfId="0" applyFont="1" applyAlignment="1" applyProtection="1">
      <alignment horizontal="center" vertical="center"/>
      <protection hidden="1"/>
    </xf>
    <xf numFmtId="9" fontId="19" fillId="11" borderId="14" xfId="2" applyFont="1" applyFill="1" applyBorder="1" applyAlignment="1" applyProtection="1">
      <alignment horizontal="center" vertical="center"/>
      <protection locked="0"/>
    </xf>
    <xf numFmtId="3" fontId="19" fillId="3" borderId="14" xfId="0" applyNumberFormat="1" applyFont="1" applyFill="1" applyBorder="1" applyAlignment="1" applyProtection="1">
      <alignment horizontal="center" vertical="center"/>
      <protection hidden="1"/>
    </xf>
    <xf numFmtId="3" fontId="19" fillId="0" borderId="0" xfId="0" applyNumberFormat="1" applyFont="1" applyAlignment="1">
      <alignment vertical="center"/>
    </xf>
    <xf numFmtId="49" fontId="19" fillId="0" borderId="0" xfId="0" applyNumberFormat="1" applyFont="1" applyAlignment="1">
      <alignment horizontal="left" vertical="center"/>
    </xf>
    <xf numFmtId="3" fontId="10" fillId="0" borderId="0" xfId="0" applyNumberFormat="1" applyFont="1" applyAlignment="1">
      <alignment horizontal="center" vertical="center"/>
    </xf>
    <xf numFmtId="1" fontId="54" fillId="11" borderId="14" xfId="0" applyNumberFormat="1" applyFont="1" applyFill="1" applyBorder="1" applyAlignment="1" applyProtection="1">
      <alignment horizontal="center" vertical="center"/>
      <protection locked="0"/>
    </xf>
    <xf numFmtId="167" fontId="19" fillId="7" borderId="29" xfId="0" applyNumberFormat="1" applyFont="1" applyFill="1" applyBorder="1" applyAlignment="1" applyProtection="1">
      <alignment horizontal="center" vertical="center"/>
      <protection hidden="1"/>
    </xf>
    <xf numFmtId="3" fontId="49" fillId="7" borderId="49" xfId="0" applyNumberFormat="1" applyFont="1" applyFill="1" applyBorder="1" applyAlignment="1" applyProtection="1">
      <alignment horizontal="center" vertical="center"/>
      <protection hidden="1"/>
    </xf>
    <xf numFmtId="3" fontId="49" fillId="0" borderId="14" xfId="0" applyNumberFormat="1" applyFont="1" applyBorder="1" applyAlignment="1" applyProtection="1">
      <alignment horizontal="center" vertical="center"/>
      <protection hidden="1"/>
    </xf>
    <xf numFmtId="3" fontId="19" fillId="7" borderId="14" xfId="0" applyNumberFormat="1" applyFont="1" applyFill="1" applyBorder="1" applyAlignment="1" applyProtection="1">
      <alignment horizontal="center" vertical="center"/>
      <protection hidden="1"/>
    </xf>
    <xf numFmtId="164" fontId="49" fillId="11" borderId="14" xfId="0" applyNumberFormat="1" applyFont="1" applyFill="1" applyBorder="1" applyAlignment="1" applyProtection="1">
      <alignment horizontal="center" vertical="center"/>
      <protection locked="0"/>
    </xf>
    <xf numFmtId="9" fontId="19" fillId="7" borderId="14" xfId="2" applyFont="1" applyFill="1" applyBorder="1" applyAlignment="1" applyProtection="1">
      <alignment horizontal="center" vertical="center"/>
      <protection hidden="1"/>
    </xf>
    <xf numFmtId="3" fontId="49" fillId="11" borderId="14" xfId="0" applyNumberFormat="1" applyFont="1" applyFill="1" applyBorder="1" applyAlignment="1" applyProtection="1">
      <alignment horizontal="center" vertical="center"/>
      <protection locked="0"/>
    </xf>
    <xf numFmtId="3" fontId="49" fillId="11" borderId="63" xfId="0" applyNumberFormat="1" applyFont="1" applyFill="1" applyBorder="1" applyAlignment="1" applyProtection="1">
      <alignment horizontal="center" vertical="center"/>
      <protection locked="0"/>
    </xf>
    <xf numFmtId="3" fontId="19" fillId="7" borderId="61" xfId="0" applyNumberFormat="1" applyFont="1" applyFill="1" applyBorder="1" applyAlignment="1" applyProtection="1">
      <alignment horizontal="center" vertical="center"/>
      <protection hidden="1"/>
    </xf>
    <xf numFmtId="3" fontId="50" fillId="11" borderId="14" xfId="0" applyNumberFormat="1" applyFont="1" applyFill="1" applyBorder="1" applyAlignment="1" applyProtection="1">
      <alignment horizontal="center" vertical="center"/>
      <protection locked="0" hidden="1"/>
    </xf>
    <xf numFmtId="3" fontId="68" fillId="7" borderId="14" xfId="0" applyNumberFormat="1" applyFont="1" applyFill="1" applyBorder="1" applyAlignment="1" applyProtection="1">
      <alignment horizontal="center" vertical="center"/>
      <protection hidden="1"/>
    </xf>
    <xf numFmtId="3" fontId="50" fillId="0" borderId="14" xfId="0" applyNumberFormat="1" applyFont="1" applyBorder="1" applyAlignment="1" applyProtection="1">
      <alignment horizontal="center" vertical="center"/>
      <protection hidden="1"/>
    </xf>
    <xf numFmtId="3" fontId="62" fillId="11" borderId="14" xfId="0" applyNumberFormat="1" applyFont="1" applyFill="1" applyBorder="1" applyAlignment="1" applyProtection="1">
      <alignment horizontal="center" vertical="center"/>
      <protection locked="0" hidden="1"/>
    </xf>
    <xf numFmtId="3" fontId="19" fillId="7" borderId="39" xfId="0" applyNumberFormat="1" applyFont="1" applyFill="1" applyBorder="1" applyAlignment="1" applyProtection="1">
      <alignment horizontal="center" vertical="center"/>
      <protection hidden="1"/>
    </xf>
    <xf numFmtId="3" fontId="62" fillId="11" borderId="39" xfId="0" applyNumberFormat="1" applyFont="1" applyFill="1" applyBorder="1" applyAlignment="1" applyProtection="1">
      <alignment horizontal="center" vertical="center"/>
      <protection locked="0" hidden="1"/>
    </xf>
    <xf numFmtId="3" fontId="8" fillId="3" borderId="0" xfId="0" applyNumberFormat="1" applyFont="1" applyFill="1" applyAlignment="1">
      <alignment horizontal="center" vertical="center"/>
    </xf>
    <xf numFmtId="3" fontId="8" fillId="3" borderId="0" xfId="0" applyNumberFormat="1" applyFont="1" applyFill="1" applyAlignment="1" applyProtection="1">
      <alignment horizontal="center" vertical="center"/>
      <protection hidden="1"/>
    </xf>
    <xf numFmtId="3" fontId="8" fillId="29" borderId="14" xfId="0" applyNumberFormat="1" applyFont="1" applyFill="1" applyBorder="1" applyAlignment="1" applyProtection="1">
      <alignment horizontal="center" vertical="center"/>
      <protection hidden="1"/>
    </xf>
    <xf numFmtId="0" fontId="6" fillId="0" borderId="0" xfId="0" applyFont="1" applyAlignment="1">
      <alignment horizontal="left" vertical="center"/>
    </xf>
    <xf numFmtId="164" fontId="0" fillId="10" borderId="0" xfId="2" applyNumberFormat="1" applyFont="1" applyFill="1" applyAlignment="1">
      <alignment horizontal="center" vertical="center"/>
    </xf>
    <xf numFmtId="164" fontId="0" fillId="0" borderId="0" xfId="0" applyNumberFormat="1" applyAlignment="1">
      <alignment horizontal="center" vertical="center"/>
    </xf>
    <xf numFmtId="166" fontId="0" fillId="0" borderId="0" xfId="0" applyNumberFormat="1" applyAlignment="1">
      <alignment horizontal="center" vertical="center"/>
    </xf>
    <xf numFmtId="1" fontId="0" fillId="0" borderId="0" xfId="0" applyNumberFormat="1" applyAlignment="1">
      <alignment horizontal="center"/>
    </xf>
    <xf numFmtId="0" fontId="6" fillId="0" borderId="0" xfId="0" applyFont="1" applyAlignment="1">
      <alignment vertical="center"/>
    </xf>
    <xf numFmtId="166" fontId="6" fillId="0" borderId="0" xfId="0" applyNumberFormat="1" applyFont="1" applyAlignment="1">
      <alignment horizontal="center" vertical="center"/>
    </xf>
    <xf numFmtId="164" fontId="0" fillId="10" borderId="0" xfId="0" applyNumberFormat="1" applyFill="1" applyAlignment="1">
      <alignment horizontal="center" vertical="center"/>
    </xf>
    <xf numFmtId="164" fontId="0" fillId="0" borderId="0" xfId="0" applyNumberFormat="1" applyAlignment="1">
      <alignment horizontal="center"/>
    </xf>
    <xf numFmtId="0" fontId="98" fillId="0" borderId="0" xfId="3" applyFont="1" applyAlignment="1">
      <alignment horizontal="center"/>
    </xf>
    <xf numFmtId="3" fontId="18" fillId="7" borderId="14" xfId="0" applyNumberFormat="1" applyFont="1" applyFill="1" applyBorder="1" applyAlignment="1" applyProtection="1">
      <alignment horizontal="center"/>
      <protection hidden="1"/>
    </xf>
    <xf numFmtId="3" fontId="18" fillId="0" borderId="0" xfId="0" applyNumberFormat="1" applyFont="1" applyAlignment="1">
      <alignment horizontal="center"/>
    </xf>
    <xf numFmtId="3" fontId="60" fillId="0" borderId="14" xfId="0" applyNumberFormat="1" applyFont="1" applyBorder="1" applyAlignment="1" applyProtection="1">
      <alignment horizontal="center"/>
      <protection hidden="1"/>
    </xf>
    <xf numFmtId="3" fontId="10" fillId="3" borderId="0" xfId="0" applyNumberFormat="1" applyFont="1" applyFill="1" applyAlignment="1" applyProtection="1">
      <alignment horizontal="center" vertical="center"/>
      <protection hidden="1"/>
    </xf>
    <xf numFmtId="164" fontId="10" fillId="0" borderId="0" xfId="0" applyNumberFormat="1" applyFont="1" applyAlignment="1">
      <alignment horizontal="center" vertical="center"/>
    </xf>
    <xf numFmtId="0" fontId="7" fillId="0" borderId="14" xfId="0" applyFont="1" applyBorder="1" applyAlignment="1">
      <alignment vertical="center"/>
    </xf>
    <xf numFmtId="0" fontId="7" fillId="12" borderId="14" xfId="0" applyFont="1" applyFill="1" applyBorder="1" applyAlignment="1">
      <alignment vertical="center"/>
    </xf>
    <xf numFmtId="3" fontId="19" fillId="0" borderId="14" xfId="0" applyNumberFormat="1" applyFont="1" applyBorder="1" applyAlignment="1" applyProtection="1">
      <alignment horizontal="center" vertical="center"/>
      <protection hidden="1"/>
    </xf>
    <xf numFmtId="3" fontId="19" fillId="0" borderId="10" xfId="0" applyNumberFormat="1" applyFont="1" applyBorder="1" applyAlignment="1" applyProtection="1">
      <alignment horizontal="center" vertical="center"/>
      <protection hidden="1"/>
    </xf>
    <xf numFmtId="0" fontId="18" fillId="0" borderId="0" xfId="0" applyFont="1" applyAlignment="1" applyProtection="1">
      <alignment horizontal="center" vertical="center"/>
      <protection locked="0"/>
    </xf>
    <xf numFmtId="0" fontId="19" fillId="7" borderId="14" xfId="0" applyFont="1" applyFill="1" applyBorder="1" applyAlignment="1">
      <alignment horizontal="center" vertical="center"/>
    </xf>
    <xf numFmtId="0" fontId="19" fillId="0" borderId="14" xfId="0" applyFont="1" applyBorder="1" applyAlignment="1">
      <alignment horizontal="center" vertical="center"/>
    </xf>
    <xf numFmtId="0" fontId="19" fillId="0" borderId="14" xfId="0" applyFont="1" applyBorder="1" applyAlignment="1" applyProtection="1">
      <alignment horizontal="center" vertical="center"/>
      <protection hidden="1"/>
    </xf>
    <xf numFmtId="3" fontId="19" fillId="0" borderId="28" xfId="0" applyNumberFormat="1" applyFont="1" applyBorder="1" applyAlignment="1" applyProtection="1">
      <alignment horizontal="center" vertical="center"/>
      <protection hidden="1"/>
    </xf>
    <xf numFmtId="0" fontId="19" fillId="3" borderId="31" xfId="0" applyFont="1" applyFill="1" applyBorder="1" applyAlignment="1">
      <alignment horizontal="center" vertical="center"/>
    </xf>
    <xf numFmtId="3" fontId="19" fillId="0" borderId="31" xfId="0" applyNumberFormat="1" applyFont="1" applyBorder="1" applyAlignment="1" applyProtection="1">
      <alignment horizontal="center" vertical="center"/>
      <protection hidden="1"/>
    </xf>
    <xf numFmtId="0" fontId="19" fillId="7" borderId="39" xfId="0" applyFont="1" applyFill="1" applyBorder="1" applyAlignment="1">
      <alignment horizontal="center" vertical="center"/>
    </xf>
    <xf numFmtId="49" fontId="19" fillId="7" borderId="39" xfId="0" applyNumberFormat="1" applyFont="1" applyFill="1" applyBorder="1" applyAlignment="1">
      <alignment horizontal="center" vertical="center"/>
    </xf>
    <xf numFmtId="0" fontId="19" fillId="7" borderId="62" xfId="0" applyFont="1" applyFill="1" applyBorder="1" applyAlignment="1">
      <alignment horizontal="center" vertical="center"/>
    </xf>
    <xf numFmtId="3" fontId="8" fillId="0" borderId="0" xfId="0" applyNumberFormat="1" applyFont="1" applyAlignment="1">
      <alignment horizontal="center" vertical="center"/>
    </xf>
    <xf numFmtId="0" fontId="19" fillId="3" borderId="0" xfId="0" applyFont="1" applyFill="1" applyAlignment="1">
      <alignment horizontal="center" vertical="center"/>
    </xf>
    <xf numFmtId="3" fontId="62" fillId="11" borderId="14" xfId="0" applyNumberFormat="1" applyFont="1" applyFill="1" applyBorder="1" applyAlignment="1" applyProtection="1">
      <alignment horizontal="center" vertical="center"/>
      <protection locked="0"/>
    </xf>
    <xf numFmtId="3" fontId="62" fillId="0" borderId="14" xfId="0" applyNumberFormat="1" applyFont="1" applyBorder="1" applyAlignment="1" applyProtection="1">
      <alignment horizontal="center" vertical="center"/>
      <protection hidden="1"/>
    </xf>
    <xf numFmtId="167" fontId="0" fillId="10" borderId="0" xfId="0" applyNumberFormat="1" applyFill="1" applyAlignment="1">
      <alignment horizontal="center" vertical="center"/>
    </xf>
    <xf numFmtId="167" fontId="0" fillId="0" borderId="0" xfId="0" applyNumberFormat="1" applyAlignment="1">
      <alignment horizontal="center"/>
    </xf>
    <xf numFmtId="164" fontId="10" fillId="0" borderId="14" xfId="2" applyNumberFormat="1" applyFont="1" applyBorder="1" applyAlignment="1" applyProtection="1">
      <alignment horizontal="center" vertical="center"/>
      <protection hidden="1"/>
    </xf>
    <xf numFmtId="0" fontId="9" fillId="13" borderId="60" xfId="0" applyFont="1" applyFill="1" applyBorder="1" applyAlignment="1">
      <alignment horizontal="center" vertical="center"/>
    </xf>
    <xf numFmtId="3" fontId="8" fillId="13" borderId="77" xfId="0" applyNumberFormat="1" applyFont="1" applyFill="1" applyBorder="1" applyAlignment="1" applyProtection="1">
      <alignment horizontal="center" vertical="center"/>
      <protection hidden="1"/>
    </xf>
    <xf numFmtId="3" fontId="8" fillId="13" borderId="60" xfId="0" applyNumberFormat="1" applyFont="1" applyFill="1" applyBorder="1" applyAlignment="1" applyProtection="1">
      <alignment horizontal="center" vertical="center"/>
      <protection hidden="1"/>
    </xf>
    <xf numFmtId="3" fontId="8" fillId="7" borderId="14" xfId="0" applyNumberFormat="1" applyFont="1" applyFill="1" applyBorder="1" applyAlignment="1" applyProtection="1">
      <alignment horizontal="center" vertical="center"/>
      <protection hidden="1"/>
    </xf>
    <xf numFmtId="3" fontId="8" fillId="7" borderId="13" xfId="0" applyNumberFormat="1" applyFont="1" applyFill="1" applyBorder="1" applyAlignment="1" applyProtection="1">
      <alignment horizontal="center" vertical="center"/>
      <protection hidden="1"/>
    </xf>
    <xf numFmtId="3" fontId="8" fillId="7" borderId="32" xfId="0" applyNumberFormat="1" applyFont="1" applyFill="1" applyBorder="1" applyAlignment="1" applyProtection="1">
      <alignment horizontal="center" vertical="center"/>
      <protection hidden="1"/>
    </xf>
    <xf numFmtId="9" fontId="10" fillId="11" borderId="14" xfId="2" applyFont="1" applyFill="1" applyBorder="1" applyAlignment="1" applyProtection="1">
      <alignment horizontal="center" vertical="center"/>
      <protection locked="0"/>
    </xf>
    <xf numFmtId="9" fontId="10" fillId="11" borderId="33" xfId="2" applyFont="1" applyFill="1" applyBorder="1" applyAlignment="1" applyProtection="1">
      <alignment horizontal="center" vertical="center"/>
      <protection locked="0"/>
    </xf>
    <xf numFmtId="164" fontId="0" fillId="0" borderId="28" xfId="2" applyNumberFormat="1" applyFont="1" applyBorder="1" applyAlignment="1" applyProtection="1">
      <alignment horizontal="center"/>
      <protection hidden="1"/>
    </xf>
    <xf numFmtId="164" fontId="0" fillId="0" borderId="31" xfId="2" applyNumberFormat="1" applyFont="1" applyBorder="1" applyAlignment="1" applyProtection="1">
      <alignment horizontal="center"/>
      <protection hidden="1"/>
    </xf>
    <xf numFmtId="164" fontId="0" fillId="0" borderId="13" xfId="2" applyNumberFormat="1" applyFont="1" applyBorder="1" applyAlignment="1" applyProtection="1">
      <alignment horizontal="center"/>
      <protection hidden="1"/>
    </xf>
    <xf numFmtId="9" fontId="19" fillId="11" borderId="54" xfId="0" applyNumberFormat="1" applyFont="1" applyFill="1" applyBorder="1" applyAlignment="1" applyProtection="1">
      <alignment horizontal="center" vertical="center"/>
      <protection locked="0"/>
    </xf>
    <xf numFmtId="1" fontId="9" fillId="9" borderId="4" xfId="0" applyNumberFormat="1" applyFont="1" applyFill="1" applyBorder="1" applyAlignment="1" applyProtection="1">
      <alignment horizontal="center" vertical="center"/>
      <protection locked="0" hidden="1"/>
    </xf>
    <xf numFmtId="1" fontId="18" fillId="9" borderId="5" xfId="0" applyNumberFormat="1" applyFont="1" applyFill="1" applyBorder="1" applyAlignment="1" applyProtection="1">
      <alignment horizontal="center" vertical="center"/>
      <protection locked="0"/>
    </xf>
    <xf numFmtId="3" fontId="19" fillId="9" borderId="69" xfId="0" applyNumberFormat="1" applyFont="1" applyFill="1" applyBorder="1" applyAlignment="1" applyProtection="1">
      <alignment horizontal="center" vertical="center"/>
      <protection locked="0"/>
    </xf>
    <xf numFmtId="167" fontId="19" fillId="9" borderId="26" xfId="0" applyNumberFormat="1" applyFont="1" applyFill="1" applyBorder="1" applyAlignment="1" applyProtection="1">
      <alignment horizontal="center" vertical="center"/>
      <protection locked="0"/>
    </xf>
    <xf numFmtId="3" fontId="19" fillId="9" borderId="70" xfId="0" applyNumberFormat="1" applyFont="1" applyFill="1" applyBorder="1" applyAlignment="1" applyProtection="1">
      <alignment horizontal="center" vertical="center"/>
      <protection locked="0"/>
    </xf>
    <xf numFmtId="10" fontId="19" fillId="9" borderId="69" xfId="0" applyNumberFormat="1" applyFont="1" applyFill="1" applyBorder="1" applyAlignment="1" applyProtection="1">
      <alignment horizontal="center" vertical="center"/>
      <protection locked="0"/>
    </xf>
    <xf numFmtId="168" fontId="74" fillId="9" borderId="69" xfId="0" applyNumberFormat="1" applyFont="1" applyFill="1" applyBorder="1" applyAlignment="1" applyProtection="1">
      <alignment horizontal="center" vertical="center"/>
      <protection locked="0"/>
    </xf>
    <xf numFmtId="10" fontId="19" fillId="9" borderId="69" xfId="0" applyNumberFormat="1" applyFont="1" applyFill="1" applyBorder="1" applyAlignment="1" applyProtection="1">
      <alignment horizontal="center" vertical="center"/>
      <protection locked="0" hidden="1"/>
    </xf>
    <xf numFmtId="10" fontId="19" fillId="9" borderId="78" xfId="0" applyNumberFormat="1" applyFont="1" applyFill="1" applyBorder="1" applyAlignment="1" applyProtection="1">
      <alignment horizontal="center" vertical="center"/>
      <protection locked="0" hidden="1"/>
    </xf>
    <xf numFmtId="3" fontId="19" fillId="9" borderId="78" xfId="0" applyNumberFormat="1" applyFont="1" applyFill="1" applyBorder="1" applyAlignment="1" applyProtection="1">
      <alignment horizontal="center" vertical="center"/>
      <protection locked="0"/>
    </xf>
    <xf numFmtId="167" fontId="19" fillId="9" borderId="69" xfId="0" applyNumberFormat="1" applyFont="1" applyFill="1" applyBorder="1" applyAlignment="1" applyProtection="1">
      <alignment horizontal="center" vertical="center"/>
      <protection locked="0"/>
    </xf>
    <xf numFmtId="4" fontId="19" fillId="9" borderId="78" xfId="0" applyNumberFormat="1" applyFont="1" applyFill="1" applyBorder="1" applyAlignment="1" applyProtection="1">
      <alignment horizontal="center" vertical="center"/>
      <protection locked="0"/>
    </xf>
    <xf numFmtId="2" fontId="19" fillId="9" borderId="69" xfId="0" applyNumberFormat="1" applyFont="1" applyFill="1" applyBorder="1" applyAlignment="1" applyProtection="1">
      <alignment horizontal="center" vertical="center"/>
      <protection locked="0"/>
    </xf>
    <xf numFmtId="4" fontId="19" fillId="9" borderId="70" xfId="0" applyNumberFormat="1" applyFont="1" applyFill="1" applyBorder="1" applyAlignment="1" applyProtection="1">
      <alignment horizontal="center" vertical="center"/>
      <protection locked="0"/>
    </xf>
    <xf numFmtId="4" fontId="19" fillId="9" borderId="69" xfId="0" applyNumberFormat="1" applyFont="1" applyFill="1" applyBorder="1" applyAlignment="1" applyProtection="1">
      <alignment horizontal="center" vertical="center"/>
      <protection locked="0"/>
    </xf>
    <xf numFmtId="3" fontId="18" fillId="9" borderId="5" xfId="0" applyNumberFormat="1" applyFont="1" applyFill="1" applyBorder="1" applyAlignment="1" applyProtection="1">
      <alignment horizontal="center" vertical="center"/>
      <protection locked="0"/>
    </xf>
    <xf numFmtId="3" fontId="19" fillId="9" borderId="74" xfId="0" applyNumberFormat="1" applyFont="1" applyFill="1" applyBorder="1" applyAlignment="1" applyProtection="1">
      <alignment horizontal="center" vertical="center"/>
      <protection locked="0"/>
    </xf>
    <xf numFmtId="3" fontId="18" fillId="9" borderId="1" xfId="0" applyNumberFormat="1" applyFont="1" applyFill="1" applyBorder="1" applyAlignment="1" applyProtection="1">
      <alignment horizontal="center" vertical="center"/>
      <protection locked="0"/>
    </xf>
    <xf numFmtId="3" fontId="18" fillId="9" borderId="26" xfId="0" applyNumberFormat="1" applyFont="1" applyFill="1" applyBorder="1" applyAlignment="1" applyProtection="1">
      <alignment horizontal="center" vertical="center"/>
      <protection locked="0"/>
    </xf>
    <xf numFmtId="164" fontId="19" fillId="9" borderId="2" xfId="0" applyNumberFormat="1" applyFont="1" applyFill="1" applyBorder="1" applyAlignment="1" applyProtection="1">
      <alignment horizontal="center" vertical="center"/>
      <protection locked="0"/>
    </xf>
    <xf numFmtId="9" fontId="19" fillId="9" borderId="38" xfId="0" applyNumberFormat="1" applyFont="1" applyFill="1" applyBorder="1" applyAlignment="1" applyProtection="1">
      <alignment horizontal="center" vertical="center"/>
      <protection locked="0"/>
    </xf>
    <xf numFmtId="3" fontId="19" fillId="9" borderId="14" xfId="0" applyNumberFormat="1" applyFont="1" applyFill="1" applyBorder="1" applyAlignment="1" applyProtection="1">
      <alignment horizontal="center" vertical="center"/>
      <protection locked="0"/>
    </xf>
    <xf numFmtId="3" fontId="18" fillId="9" borderId="14" xfId="0" applyNumberFormat="1" applyFont="1" applyFill="1" applyBorder="1" applyAlignment="1" applyProtection="1">
      <alignment horizontal="center" vertical="center"/>
      <protection locked="0"/>
    </xf>
    <xf numFmtId="1" fontId="19" fillId="9" borderId="14" xfId="0" applyNumberFormat="1" applyFont="1" applyFill="1" applyBorder="1" applyAlignment="1" applyProtection="1">
      <alignment horizontal="center" vertical="center"/>
      <protection locked="0"/>
    </xf>
    <xf numFmtId="9" fontId="19" fillId="9" borderId="14" xfId="2" applyFont="1" applyFill="1" applyBorder="1" applyAlignment="1" applyProtection="1">
      <alignment horizontal="center"/>
      <protection locked="0"/>
    </xf>
    <xf numFmtId="0" fontId="7" fillId="9" borderId="14" xfId="0" applyFont="1" applyFill="1" applyBorder="1" applyAlignment="1" applyProtection="1">
      <alignment vertical="center"/>
      <protection locked="0"/>
    </xf>
    <xf numFmtId="164" fontId="10" fillId="9" borderId="14" xfId="0" applyNumberFormat="1" applyFont="1" applyFill="1" applyBorder="1" applyAlignment="1" applyProtection="1">
      <alignment horizontal="center" vertical="center"/>
      <protection locked="0"/>
    </xf>
    <xf numFmtId="4" fontId="10" fillId="9" borderId="14" xfId="0" applyNumberFormat="1" applyFont="1" applyFill="1" applyBorder="1" applyAlignment="1" applyProtection="1">
      <alignment horizontal="center" vertical="center"/>
      <protection locked="0"/>
    </xf>
    <xf numFmtId="3" fontId="10" fillId="9" borderId="14" xfId="0" applyNumberFormat="1" applyFont="1" applyFill="1" applyBorder="1" applyAlignment="1" applyProtection="1">
      <alignment horizontal="center" vertical="center"/>
      <protection locked="0"/>
    </xf>
    <xf numFmtId="0" fontId="10" fillId="9" borderId="14" xfId="0" applyFont="1" applyFill="1" applyBorder="1" applyAlignment="1" applyProtection="1">
      <alignment vertical="center"/>
      <protection locked="0"/>
    </xf>
    <xf numFmtId="3" fontId="18" fillId="0" borderId="14" xfId="0" applyNumberFormat="1" applyFont="1" applyBorder="1" applyAlignment="1" applyProtection="1">
      <alignment horizontal="center" vertical="center"/>
      <protection hidden="1"/>
    </xf>
    <xf numFmtId="0" fontId="87" fillId="5" borderId="0" xfId="0" applyFont="1" applyFill="1" applyAlignment="1">
      <alignment horizontal="center" vertical="center"/>
    </xf>
    <xf numFmtId="0" fontId="7" fillId="13" borderId="14" xfId="0" applyFont="1" applyFill="1" applyBorder="1" applyAlignment="1" applyProtection="1">
      <alignment vertical="center"/>
      <protection locked="0"/>
    </xf>
    <xf numFmtId="0" fontId="10" fillId="0" borderId="0" xfId="0" applyFont="1" applyAlignment="1" applyProtection="1">
      <alignment vertical="center"/>
      <protection locked="0"/>
    </xf>
    <xf numFmtId="0" fontId="7" fillId="0" borderId="0" xfId="0" applyFont="1" applyAlignment="1">
      <alignment horizontal="center" vertical="center"/>
    </xf>
    <xf numFmtId="0" fontId="18" fillId="0" borderId="0" xfId="0" applyFont="1" applyAlignment="1">
      <alignment horizontal="right" indent="1"/>
    </xf>
    <xf numFmtId="0" fontId="18" fillId="0" borderId="0" xfId="0" applyFont="1" applyAlignment="1">
      <alignment horizontal="right" vertical="center" indent="1"/>
    </xf>
    <xf numFmtId="3" fontId="10" fillId="12" borderId="0" xfId="0" applyNumberFormat="1" applyFont="1" applyFill="1" applyAlignment="1">
      <alignment horizontal="center"/>
    </xf>
    <xf numFmtId="3" fontId="10" fillId="12" borderId="0" xfId="0" applyNumberFormat="1" applyFont="1" applyFill="1" applyAlignment="1">
      <alignment horizontal="center" vertical="center"/>
    </xf>
    <xf numFmtId="0" fontId="10" fillId="12" borderId="0" xfId="0" applyFont="1" applyFill="1" applyAlignment="1">
      <alignment vertical="center"/>
    </xf>
    <xf numFmtId="1" fontId="10" fillId="0" borderId="0" xfId="0" applyNumberFormat="1" applyFont="1" applyAlignment="1">
      <alignment horizontal="center" vertical="center"/>
    </xf>
    <xf numFmtId="164" fontId="10" fillId="0" borderId="0" xfId="0" applyNumberFormat="1" applyFont="1" applyAlignment="1" applyProtection="1">
      <alignment vertical="center"/>
      <protection locked="0"/>
    </xf>
    <xf numFmtId="0" fontId="10" fillId="0" borderId="0" xfId="0" applyFont="1" applyAlignment="1" applyProtection="1">
      <alignment horizontal="left" vertical="center"/>
      <protection locked="0"/>
    </xf>
    <xf numFmtId="3" fontId="10" fillId="0" borderId="0" xfId="0" applyNumberFormat="1" applyFont="1" applyAlignment="1" applyProtection="1">
      <alignment vertical="center"/>
      <protection hidden="1"/>
    </xf>
    <xf numFmtId="3" fontId="10" fillId="0" borderId="0" xfId="0" applyNumberFormat="1" applyFont="1" applyAlignment="1">
      <alignment vertical="center"/>
    </xf>
    <xf numFmtId="0" fontId="0" fillId="0" borderId="0" xfId="0" applyAlignment="1" applyProtection="1">
      <alignment vertical="center"/>
      <protection locked="0"/>
    </xf>
    <xf numFmtId="0" fontId="0" fillId="0" borderId="0" xfId="0" applyAlignment="1" applyProtection="1">
      <alignment horizontal="left" vertical="center"/>
      <protection locked="0"/>
    </xf>
    <xf numFmtId="0" fontId="10" fillId="0" borderId="0" xfId="0" applyFont="1" applyAlignment="1" applyProtection="1">
      <alignment horizontal="center" vertical="center"/>
      <protection locked="0"/>
    </xf>
    <xf numFmtId="0" fontId="7" fillId="12" borderId="0" xfId="0" applyFont="1" applyFill="1" applyAlignment="1">
      <alignment vertical="center"/>
    </xf>
    <xf numFmtId="3" fontId="10" fillId="13" borderId="14" xfId="0" applyNumberFormat="1" applyFont="1" applyFill="1" applyBorder="1" applyAlignment="1" applyProtection="1">
      <alignment horizontal="center" vertical="center"/>
      <protection locked="0"/>
    </xf>
    <xf numFmtId="4" fontId="10" fillId="13" borderId="14" xfId="0" applyNumberFormat="1" applyFont="1" applyFill="1" applyBorder="1" applyAlignment="1" applyProtection="1">
      <alignment horizontal="center" vertical="center"/>
      <protection locked="0"/>
    </xf>
    <xf numFmtId="4" fontId="10" fillId="3" borderId="14" xfId="0" applyNumberFormat="1" applyFont="1" applyFill="1" applyBorder="1" applyAlignment="1" applyProtection="1">
      <alignment horizontal="center" vertical="center"/>
      <protection hidden="1"/>
    </xf>
    <xf numFmtId="167" fontId="10" fillId="13" borderId="14" xfId="0" applyNumberFormat="1" applyFont="1" applyFill="1" applyBorder="1" applyAlignment="1" applyProtection="1">
      <alignment horizontal="center" vertical="center"/>
      <protection locked="0"/>
    </xf>
    <xf numFmtId="167" fontId="10" fillId="3" borderId="14" xfId="0" applyNumberFormat="1" applyFont="1" applyFill="1" applyBorder="1" applyAlignment="1" applyProtection="1">
      <alignment horizontal="center" vertical="center"/>
      <protection hidden="1"/>
    </xf>
    <xf numFmtId="3" fontId="10" fillId="3" borderId="14" xfId="0" applyNumberFormat="1" applyFont="1" applyFill="1" applyBorder="1" applyAlignment="1" applyProtection="1">
      <alignment horizontal="center" vertical="center"/>
      <protection hidden="1"/>
    </xf>
    <xf numFmtId="1" fontId="9" fillId="0" borderId="14" xfId="0" applyNumberFormat="1" applyFont="1" applyBorder="1" applyAlignment="1">
      <alignment horizontal="center"/>
    </xf>
    <xf numFmtId="167" fontId="18" fillId="0" borderId="14" xfId="0" applyNumberFormat="1" applyFont="1" applyBorder="1" applyAlignment="1">
      <alignment horizontal="center"/>
    </xf>
    <xf numFmtId="1" fontId="91" fillId="30" borderId="2" xfId="0" applyNumberFormat="1" applyFont="1" applyFill="1" applyBorder="1" applyAlignment="1">
      <alignment horizontal="center" vertical="center"/>
    </xf>
    <xf numFmtId="1" fontId="91" fillId="30" borderId="14" xfId="0" applyNumberFormat="1" applyFont="1" applyFill="1" applyBorder="1" applyAlignment="1">
      <alignment horizontal="center"/>
    </xf>
    <xf numFmtId="1" fontId="91" fillId="30" borderId="33" xfId="0" applyNumberFormat="1" applyFont="1" applyFill="1" applyBorder="1" applyAlignment="1">
      <alignment horizontal="center"/>
    </xf>
    <xf numFmtId="0" fontId="98" fillId="0" borderId="0" xfId="3" applyFont="1" applyAlignment="1">
      <alignment horizontal="center" wrapText="1"/>
    </xf>
    <xf numFmtId="0" fontId="98" fillId="32" borderId="104" xfId="3" applyFont="1" applyFill="1" applyBorder="1" applyAlignment="1">
      <alignment horizontal="center"/>
    </xf>
    <xf numFmtId="0" fontId="98" fillId="31" borderId="18" xfId="3" applyFont="1" applyFill="1" applyBorder="1" applyAlignment="1">
      <alignment horizontal="center"/>
    </xf>
    <xf numFmtId="0" fontId="98" fillId="31" borderId="104" xfId="3" applyFont="1" applyFill="1" applyBorder="1" applyAlignment="1">
      <alignment horizontal="center"/>
    </xf>
    <xf numFmtId="0" fontId="98" fillId="31" borderId="0" xfId="3" applyFont="1" applyFill="1" applyAlignment="1">
      <alignment horizontal="center"/>
    </xf>
    <xf numFmtId="0" fontId="106" fillId="30" borderId="20" xfId="0" applyFont="1" applyFill="1" applyBorder="1" applyAlignment="1">
      <alignment horizontal="left" vertical="center"/>
    </xf>
    <xf numFmtId="0" fontId="106" fillId="30" borderId="0" xfId="0" applyFont="1" applyFill="1" applyAlignment="1">
      <alignment horizontal="left" vertical="center"/>
    </xf>
    <xf numFmtId="0" fontId="98" fillId="32" borderId="107" xfId="3" applyFont="1" applyFill="1" applyBorder="1" applyAlignment="1">
      <alignment horizontal="center" vertical="top"/>
    </xf>
    <xf numFmtId="0" fontId="98" fillId="31" borderId="19" xfId="3" applyFont="1" applyFill="1" applyBorder="1" applyAlignment="1">
      <alignment horizontal="center"/>
    </xf>
    <xf numFmtId="0" fontId="98" fillId="31" borderId="30" xfId="3" applyFont="1" applyFill="1" applyBorder="1" applyAlignment="1">
      <alignment horizontal="center" vertical="top"/>
    </xf>
    <xf numFmtId="0" fontId="98" fillId="31" borderId="107" xfId="3" applyFont="1" applyFill="1" applyBorder="1" applyAlignment="1">
      <alignment horizontal="center" vertical="top"/>
    </xf>
    <xf numFmtId="0" fontId="98" fillId="31" borderId="18" xfId="3" applyFont="1" applyFill="1" applyBorder="1" applyAlignment="1">
      <alignment horizontal="center" vertical="top"/>
    </xf>
    <xf numFmtId="0" fontId="98" fillId="31" borderId="104" xfId="3" applyFont="1" applyFill="1" applyBorder="1" applyAlignment="1">
      <alignment horizontal="center" vertical="top"/>
    </xf>
    <xf numFmtId="0" fontId="98" fillId="31" borderId="0" xfId="3" applyFont="1" applyFill="1" applyAlignment="1">
      <alignment horizontal="center" vertical="top"/>
    </xf>
    <xf numFmtId="0" fontId="3" fillId="0" borderId="0" xfId="0" applyFont="1"/>
    <xf numFmtId="166" fontId="5" fillId="0" borderId="0" xfId="0" applyNumberFormat="1" applyFont="1" applyAlignment="1">
      <alignment horizontal="center" vertical="center"/>
    </xf>
    <xf numFmtId="164" fontId="83" fillId="0" borderId="0" xfId="0" applyNumberFormat="1" applyFont="1" applyAlignment="1">
      <alignment horizontal="center"/>
    </xf>
    <xf numFmtId="0" fontId="6" fillId="0" borderId="0" xfId="0" applyFont="1" applyAlignment="1">
      <alignment horizontal="center" wrapText="1"/>
    </xf>
    <xf numFmtId="0" fontId="98" fillId="31" borderId="31" xfId="3" applyFont="1" applyFill="1" applyBorder="1" applyAlignment="1">
      <alignment horizontal="center" vertical="top"/>
    </xf>
    <xf numFmtId="0" fontId="66" fillId="0" borderId="0" xfId="0" applyFont="1" applyAlignment="1">
      <alignment vertical="center"/>
    </xf>
    <xf numFmtId="166" fontId="0" fillId="10" borderId="0" xfId="0" applyNumberFormat="1" applyFill="1" applyAlignment="1">
      <alignment horizontal="center" vertical="center"/>
    </xf>
    <xf numFmtId="0" fontId="50" fillId="0" borderId="33" xfId="0" applyFont="1" applyBorder="1" applyAlignment="1" applyProtection="1">
      <alignment vertical="center"/>
      <protection hidden="1"/>
    </xf>
    <xf numFmtId="0" fontId="50" fillId="0" borderId="12" xfId="0" applyFont="1" applyBorder="1" applyAlignment="1" applyProtection="1">
      <alignment vertical="center"/>
      <protection hidden="1"/>
    </xf>
    <xf numFmtId="0" fontId="18" fillId="0" borderId="8" xfId="0" applyFont="1" applyBorder="1" applyAlignment="1">
      <alignment horizontal="left" vertical="center"/>
    </xf>
    <xf numFmtId="0" fontId="18" fillId="0" borderId="31" xfId="0" applyFont="1" applyBorder="1" applyAlignment="1">
      <alignment horizontal="left"/>
    </xf>
    <xf numFmtId="3" fontId="19" fillId="3" borderId="33" xfId="0" applyNumberFormat="1" applyFont="1" applyFill="1" applyBorder="1" applyAlignment="1" applyProtection="1">
      <alignment horizontal="center" vertical="center"/>
      <protection hidden="1"/>
    </xf>
    <xf numFmtId="3" fontId="18" fillId="7" borderId="12" xfId="0" applyNumberFormat="1" applyFont="1" applyFill="1" applyBorder="1" applyAlignment="1" applyProtection="1">
      <alignment horizontal="center" vertical="center"/>
      <protection hidden="1"/>
    </xf>
    <xf numFmtId="164" fontId="19" fillId="11" borderId="12" xfId="0" applyNumberFormat="1" applyFont="1" applyFill="1" applyBorder="1" applyAlignment="1" applyProtection="1">
      <alignment horizontal="center" vertical="center"/>
      <protection locked="0"/>
    </xf>
    <xf numFmtId="3" fontId="19" fillId="3" borderId="10" xfId="0" applyNumberFormat="1" applyFont="1" applyFill="1" applyBorder="1" applyAlignment="1" applyProtection="1">
      <alignment horizontal="center"/>
      <protection hidden="1"/>
    </xf>
    <xf numFmtId="3" fontId="19" fillId="0" borderId="12" xfId="0" applyNumberFormat="1" applyFont="1" applyBorder="1" applyAlignment="1" applyProtection="1">
      <alignment horizontal="center" vertical="center"/>
      <protection hidden="1"/>
    </xf>
    <xf numFmtId="3" fontId="18" fillId="7" borderId="33" xfId="0" applyNumberFormat="1" applyFont="1" applyFill="1" applyBorder="1" applyAlignment="1" applyProtection="1">
      <alignment horizontal="center" vertical="center"/>
      <protection hidden="1"/>
    </xf>
    <xf numFmtId="3" fontId="19" fillId="11" borderId="33" xfId="0" applyNumberFormat="1" applyFont="1" applyFill="1" applyBorder="1" applyAlignment="1" applyProtection="1">
      <alignment horizontal="center" vertical="center"/>
      <protection locked="0"/>
    </xf>
    <xf numFmtId="0" fontId="18" fillId="0" borderId="10" xfId="0" applyFont="1" applyBorder="1" applyAlignment="1">
      <alignment horizontal="left"/>
    </xf>
    <xf numFmtId="3" fontId="18" fillId="0" borderId="33" xfId="0" applyNumberFormat="1" applyFont="1" applyBorder="1" applyAlignment="1" applyProtection="1">
      <alignment horizontal="center" vertical="center"/>
      <protection hidden="1"/>
    </xf>
    <xf numFmtId="3" fontId="19" fillId="0" borderId="33" xfId="0" applyNumberFormat="1" applyFont="1" applyBorder="1" applyAlignment="1" applyProtection="1">
      <alignment horizontal="center" vertical="center"/>
      <protection hidden="1"/>
    </xf>
    <xf numFmtId="166" fontId="18" fillId="0" borderId="50" xfId="0" applyNumberFormat="1" applyFont="1" applyBorder="1" applyAlignment="1" applyProtection="1">
      <alignment horizontal="center"/>
      <protection hidden="1"/>
    </xf>
    <xf numFmtId="3" fontId="18" fillId="7" borderId="49" xfId="0" applyNumberFormat="1" applyFont="1" applyFill="1" applyBorder="1" applyAlignment="1" applyProtection="1">
      <alignment horizontal="center" vertical="center"/>
      <protection hidden="1"/>
    </xf>
    <xf numFmtId="164" fontId="19" fillId="9" borderId="14" xfId="0" applyNumberFormat="1" applyFont="1" applyFill="1" applyBorder="1" applyAlignment="1" applyProtection="1">
      <alignment horizontal="center" vertical="center"/>
      <protection locked="0"/>
    </xf>
    <xf numFmtId="0" fontId="18" fillId="0" borderId="11" xfId="0" applyFont="1" applyBorder="1" applyAlignment="1">
      <alignment horizontal="left" vertical="center"/>
    </xf>
    <xf numFmtId="0" fontId="18" fillId="9" borderId="12" xfId="0" applyFont="1" applyFill="1" applyBorder="1" applyAlignment="1">
      <alignment horizontal="center" vertical="center"/>
    </xf>
    <xf numFmtId="0" fontId="19" fillId="0" borderId="33" xfId="0" applyFont="1" applyBorder="1" applyAlignment="1">
      <alignment vertical="center"/>
    </xf>
    <xf numFmtId="0" fontId="91" fillId="30" borderId="27" xfId="0" applyFont="1" applyFill="1" applyBorder="1" applyProtection="1">
      <protection hidden="1"/>
    </xf>
    <xf numFmtId="0" fontId="91" fillId="30" borderId="28" xfId="0" applyFont="1" applyFill="1" applyBorder="1" applyAlignment="1" applyProtection="1">
      <alignment horizontal="left"/>
      <protection hidden="1"/>
    </xf>
    <xf numFmtId="0" fontId="91" fillId="30" borderId="30" xfId="0" applyFont="1" applyFill="1" applyBorder="1" applyProtection="1">
      <protection hidden="1"/>
    </xf>
    <xf numFmtId="0" fontId="91" fillId="30" borderId="31" xfId="0" applyFont="1" applyFill="1" applyBorder="1" applyAlignment="1" applyProtection="1">
      <alignment horizontal="left"/>
      <protection hidden="1"/>
    </xf>
    <xf numFmtId="0" fontId="18" fillId="7" borderId="0" xfId="0" applyFont="1" applyFill="1" applyAlignment="1" applyProtection="1">
      <alignment vertical="center"/>
      <protection hidden="1"/>
    </xf>
    <xf numFmtId="0" fontId="18" fillId="0" borderId="33" xfId="0" applyFont="1" applyBorder="1" applyProtection="1">
      <protection hidden="1"/>
    </xf>
    <xf numFmtId="0" fontId="18" fillId="0" borderId="30" xfId="0" applyFont="1" applyBorder="1" applyProtection="1">
      <protection hidden="1"/>
    </xf>
    <xf numFmtId="0" fontId="18" fillId="0" borderId="31" xfId="0" applyFont="1" applyBorder="1" applyProtection="1">
      <protection hidden="1"/>
    </xf>
    <xf numFmtId="0" fontId="8" fillId="0" borderId="14" xfId="0" applyFont="1" applyBorder="1" applyAlignment="1">
      <alignment horizontal="center"/>
    </xf>
    <xf numFmtId="0" fontId="19" fillId="0" borderId="39" xfId="0" applyFont="1" applyBorder="1" applyAlignment="1" applyProtection="1">
      <alignment horizontal="center" vertical="center"/>
      <protection hidden="1"/>
    </xf>
    <xf numFmtId="3" fontId="18" fillId="7" borderId="39" xfId="0" applyNumberFormat="1" applyFont="1" applyFill="1" applyBorder="1" applyAlignment="1" applyProtection="1">
      <alignment horizontal="center" vertical="center"/>
      <protection hidden="1"/>
    </xf>
    <xf numFmtId="167" fontId="18" fillId="7" borderId="14" xfId="0" applyNumberFormat="1" applyFont="1" applyFill="1" applyBorder="1" applyAlignment="1" applyProtection="1">
      <alignment horizontal="center" vertical="center"/>
      <protection hidden="1"/>
    </xf>
    <xf numFmtId="167" fontId="19" fillId="0" borderId="14" xfId="0" applyNumberFormat="1" applyFont="1" applyBorder="1" applyAlignment="1" applyProtection="1">
      <alignment horizontal="center" vertical="center"/>
      <protection hidden="1"/>
    </xf>
    <xf numFmtId="167" fontId="70" fillId="0" borderId="14" xfId="0" applyNumberFormat="1" applyFont="1" applyBorder="1" applyAlignment="1" applyProtection="1">
      <alignment horizontal="center" vertical="center"/>
      <protection hidden="1"/>
    </xf>
    <xf numFmtId="167" fontId="19" fillId="7" borderId="14" xfId="0" applyNumberFormat="1" applyFont="1" applyFill="1" applyBorder="1" applyAlignment="1">
      <alignment horizontal="center" vertical="center"/>
    </xf>
    <xf numFmtId="0" fontId="19" fillId="0" borderId="62" xfId="0" applyFont="1" applyBorder="1" applyAlignment="1" applyProtection="1">
      <alignment horizontal="center" vertical="center"/>
      <protection hidden="1"/>
    </xf>
    <xf numFmtId="0" fontId="18" fillId="7" borderId="30" xfId="0" applyFont="1" applyFill="1" applyBorder="1" applyAlignment="1" applyProtection="1">
      <alignment vertical="center"/>
      <protection hidden="1"/>
    </xf>
    <xf numFmtId="0" fontId="18" fillId="7" borderId="31" xfId="0" applyFont="1" applyFill="1" applyBorder="1" applyAlignment="1" applyProtection="1">
      <alignment vertical="center"/>
      <protection hidden="1"/>
    </xf>
    <xf numFmtId="167" fontId="18" fillId="7" borderId="62" xfId="0" applyNumberFormat="1" applyFont="1" applyFill="1" applyBorder="1" applyAlignment="1" applyProtection="1">
      <alignment horizontal="center" vertical="center"/>
      <protection hidden="1"/>
    </xf>
    <xf numFmtId="167" fontId="9" fillId="0" borderId="14" xfId="0" applyNumberFormat="1" applyFont="1" applyBorder="1" applyAlignment="1" applyProtection="1">
      <alignment horizontal="center"/>
      <protection hidden="1"/>
    </xf>
    <xf numFmtId="0" fontId="8" fillId="0" borderId="14" xfId="0" applyFont="1" applyBorder="1" applyAlignment="1" applyProtection="1">
      <alignment horizontal="center"/>
      <protection hidden="1"/>
    </xf>
    <xf numFmtId="3" fontId="18" fillId="7" borderId="19" xfId="0" applyNumberFormat="1" applyFont="1" applyFill="1" applyBorder="1" applyAlignment="1" applyProtection="1">
      <alignment horizontal="center" vertical="center"/>
      <protection hidden="1"/>
    </xf>
    <xf numFmtId="3" fontId="19" fillId="0" borderId="19" xfId="0" applyNumberFormat="1" applyFont="1" applyBorder="1" applyAlignment="1" applyProtection="1">
      <alignment horizontal="center" vertical="center"/>
      <protection hidden="1"/>
    </xf>
    <xf numFmtId="164" fontId="50" fillId="0" borderId="33" xfId="0" applyNumberFormat="1" applyFont="1" applyBorder="1" applyAlignment="1" applyProtection="1">
      <alignment horizontal="center" vertical="center"/>
      <protection hidden="1"/>
    </xf>
    <xf numFmtId="167" fontId="50" fillId="0" borderId="14" xfId="0" applyNumberFormat="1" applyFont="1" applyBorder="1" applyAlignment="1" applyProtection="1">
      <alignment horizontal="center" vertical="center"/>
      <protection hidden="1"/>
    </xf>
    <xf numFmtId="164" fontId="19" fillId="11" borderId="33" xfId="0" applyNumberFormat="1" applyFont="1" applyFill="1" applyBorder="1" applyAlignment="1" applyProtection="1">
      <alignment horizontal="center" vertical="center"/>
      <protection locked="0"/>
    </xf>
    <xf numFmtId="3" fontId="18" fillId="7" borderId="30" xfId="0" applyNumberFormat="1" applyFont="1" applyFill="1" applyBorder="1" applyAlignment="1" applyProtection="1">
      <alignment horizontal="center" vertical="center"/>
      <protection hidden="1"/>
    </xf>
    <xf numFmtId="167" fontId="9" fillId="0" borderId="12" xfId="0" applyNumberFormat="1" applyFont="1" applyBorder="1" applyAlignment="1" applyProtection="1">
      <alignment horizontal="center"/>
      <protection hidden="1"/>
    </xf>
    <xf numFmtId="3" fontId="18" fillId="7" borderId="0" xfId="0" applyNumberFormat="1" applyFont="1" applyFill="1" applyAlignment="1" applyProtection="1">
      <alignment horizontal="center" vertical="center"/>
      <protection hidden="1"/>
    </xf>
    <xf numFmtId="3" fontId="19" fillId="0" borderId="0" xfId="0" applyNumberFormat="1" applyFont="1" applyAlignment="1" applyProtection="1">
      <alignment horizontal="center"/>
      <protection hidden="1"/>
    </xf>
    <xf numFmtId="164" fontId="50" fillId="0" borderId="12" xfId="0" applyNumberFormat="1" applyFont="1" applyBorder="1" applyAlignment="1" applyProtection="1">
      <alignment horizontal="center" vertical="center"/>
      <protection hidden="1"/>
    </xf>
    <xf numFmtId="3" fontId="18" fillId="7" borderId="31" xfId="0" applyNumberFormat="1" applyFont="1" applyFill="1" applyBorder="1" applyAlignment="1" applyProtection="1">
      <alignment horizontal="center" vertical="center"/>
      <protection hidden="1"/>
    </xf>
    <xf numFmtId="0" fontId="91" fillId="30" borderId="33" xfId="0" applyFont="1" applyFill="1" applyBorder="1" applyAlignment="1" applyProtection="1">
      <alignment horizontal="left" vertical="center" indent="1"/>
      <protection hidden="1"/>
    </xf>
    <xf numFmtId="0" fontId="91" fillId="30" borderId="12" xfId="0" applyFont="1" applyFill="1" applyBorder="1" applyAlignment="1" applyProtection="1">
      <alignment horizontal="left" vertical="center" indent="1"/>
      <protection hidden="1"/>
    </xf>
    <xf numFmtId="3" fontId="105" fillId="30" borderId="12" xfId="0" applyNumberFormat="1" applyFont="1" applyFill="1" applyBorder="1" applyAlignment="1" applyProtection="1">
      <alignment horizontal="left" vertical="center" indent="1"/>
      <protection hidden="1"/>
    </xf>
    <xf numFmtId="3" fontId="105" fillId="30" borderId="28" xfId="0" applyNumberFormat="1" applyFont="1" applyFill="1" applyBorder="1" applyAlignment="1" applyProtection="1">
      <alignment horizontal="left" vertical="center" indent="1"/>
      <protection hidden="1"/>
    </xf>
    <xf numFmtId="3" fontId="91" fillId="30" borderId="28" xfId="0" applyNumberFormat="1" applyFont="1" applyFill="1" applyBorder="1" applyAlignment="1" applyProtection="1">
      <alignment horizontal="left" vertical="center" indent="1"/>
      <protection hidden="1"/>
    </xf>
    <xf numFmtId="3" fontId="91" fillId="30" borderId="13" xfId="0" applyNumberFormat="1" applyFont="1" applyFill="1" applyBorder="1" applyAlignment="1" applyProtection="1">
      <alignment horizontal="left" vertical="center" indent="1"/>
      <protection hidden="1"/>
    </xf>
    <xf numFmtId="0" fontId="19" fillId="0" borderId="30" xfId="0" applyFont="1" applyBorder="1" applyProtection="1">
      <protection hidden="1"/>
    </xf>
    <xf numFmtId="0" fontId="19" fillId="0" borderId="33" xfId="0" applyFont="1" applyBorder="1" applyProtection="1">
      <protection hidden="1"/>
    </xf>
    <xf numFmtId="0" fontId="18" fillId="0" borderId="51" xfId="0" applyFont="1" applyBorder="1" applyProtection="1">
      <protection hidden="1"/>
    </xf>
    <xf numFmtId="0" fontId="8" fillId="0" borderId="50" xfId="0" applyFont="1" applyBorder="1" applyAlignment="1">
      <alignment horizontal="center"/>
    </xf>
    <xf numFmtId="0" fontId="18" fillId="0" borderId="49" xfId="0" applyFont="1" applyBorder="1" applyAlignment="1" applyProtection="1">
      <alignment horizontal="center" vertical="center"/>
      <protection hidden="1"/>
    </xf>
    <xf numFmtId="3" fontId="7" fillId="7" borderId="49" xfId="0" applyNumberFormat="1" applyFont="1" applyFill="1" applyBorder="1" applyAlignment="1" applyProtection="1">
      <alignment horizontal="center" vertical="center"/>
      <protection hidden="1"/>
    </xf>
    <xf numFmtId="0" fontId="18" fillId="0" borderId="14" xfId="0" applyFont="1" applyBorder="1" applyAlignment="1" applyProtection="1">
      <alignment horizontal="center" vertical="center"/>
      <protection hidden="1"/>
    </xf>
    <xf numFmtId="167" fontId="7" fillId="7" borderId="14" xfId="0" applyNumberFormat="1" applyFont="1" applyFill="1" applyBorder="1" applyAlignment="1" applyProtection="1">
      <alignment horizontal="center" vertical="center"/>
      <protection hidden="1"/>
    </xf>
    <xf numFmtId="167" fontId="10" fillId="0" borderId="14" xfId="0" applyNumberFormat="1" applyFont="1" applyBorder="1" applyAlignment="1" applyProtection="1">
      <alignment horizontal="center" vertical="center"/>
      <protection hidden="1"/>
    </xf>
    <xf numFmtId="167" fontId="10" fillId="7" borderId="14" xfId="0" applyNumberFormat="1" applyFont="1" applyFill="1" applyBorder="1" applyAlignment="1" applyProtection="1">
      <alignment horizontal="center" vertical="center"/>
      <protection hidden="1"/>
    </xf>
    <xf numFmtId="0" fontId="19" fillId="0" borderId="31" xfId="0" applyFont="1" applyBorder="1" applyAlignment="1" applyProtection="1">
      <alignment vertical="center"/>
      <protection locked="0"/>
    </xf>
    <xf numFmtId="0" fontId="19" fillId="0" borderId="28" xfId="0" applyFont="1" applyBorder="1" applyAlignment="1" applyProtection="1">
      <alignment vertical="center"/>
      <protection locked="0"/>
    </xf>
    <xf numFmtId="0" fontId="6" fillId="0" borderId="28" xfId="0" applyFont="1" applyBorder="1"/>
    <xf numFmtId="0" fontId="33" fillId="0" borderId="28" xfId="0" applyFont="1" applyBorder="1" applyAlignment="1">
      <alignment vertical="center"/>
    </xf>
    <xf numFmtId="0" fontId="34" fillId="0" borderId="28" xfId="0" applyFont="1" applyBorder="1" applyAlignment="1">
      <alignment vertical="center"/>
    </xf>
    <xf numFmtId="0" fontId="19" fillId="0" borderId="13" xfId="0" applyFont="1" applyBorder="1" applyAlignment="1" applyProtection="1">
      <alignment vertical="center"/>
      <protection locked="0"/>
    </xf>
    <xf numFmtId="0" fontId="19" fillId="0" borderId="29" xfId="0" applyFont="1" applyBorder="1" applyAlignment="1" applyProtection="1">
      <alignment vertical="center"/>
      <protection locked="0"/>
    </xf>
    <xf numFmtId="0" fontId="19" fillId="0" borderId="0" xfId="0" applyFont="1" applyAlignment="1" applyProtection="1">
      <alignment horizontal="left" vertical="center"/>
      <protection locked="0"/>
    </xf>
    <xf numFmtId="0" fontId="19" fillId="0" borderId="29" xfId="0" applyFont="1" applyBorder="1" applyAlignment="1">
      <alignment vertical="center"/>
    </xf>
    <xf numFmtId="0" fontId="19" fillId="0" borderId="32" xfId="0" applyFont="1" applyBorder="1" applyAlignment="1" applyProtection="1">
      <alignment vertical="center"/>
      <protection locked="0"/>
    </xf>
    <xf numFmtId="0" fontId="19" fillId="0" borderId="31" xfId="0" applyFont="1" applyBorder="1" applyAlignment="1" applyProtection="1">
      <alignment horizontal="left" vertical="center"/>
      <protection locked="0"/>
    </xf>
    <xf numFmtId="0" fontId="35" fillId="0" borderId="27" xfId="0" applyFont="1" applyBorder="1"/>
    <xf numFmtId="0" fontId="60" fillId="0" borderId="19" xfId="0" applyFont="1" applyBorder="1"/>
    <xf numFmtId="0" fontId="19" fillId="0" borderId="19" xfId="0" applyFont="1" applyBorder="1" applyAlignment="1" applyProtection="1">
      <alignment horizontal="left" vertical="center"/>
      <protection locked="0"/>
    </xf>
    <xf numFmtId="0" fontId="19" fillId="0" borderId="30" xfId="0" applyFont="1" applyBorder="1" applyAlignment="1" applyProtection="1">
      <alignment horizontal="left" vertical="center"/>
      <protection locked="0"/>
    </xf>
    <xf numFmtId="0" fontId="19" fillId="0" borderId="19" xfId="0" applyFont="1" applyBorder="1" applyAlignment="1">
      <alignment vertical="center"/>
    </xf>
    <xf numFmtId="0" fontId="0" fillId="0" borderId="28" xfId="0" applyBorder="1" applyAlignment="1">
      <alignment vertical="center"/>
    </xf>
    <xf numFmtId="0" fontId="0" fillId="0" borderId="13" xfId="0" applyBorder="1" applyAlignment="1">
      <alignment vertical="center"/>
    </xf>
    <xf numFmtId="0" fontId="19" fillId="0" borderId="19" xfId="1" applyFont="1" applyBorder="1" applyAlignment="1">
      <alignment vertical="center"/>
      <protection locked="0"/>
    </xf>
    <xf numFmtId="0" fontId="19" fillId="0" borderId="0" xfId="1" applyFont="1" applyBorder="1" applyAlignment="1">
      <alignment vertical="center"/>
      <protection locked="0"/>
    </xf>
    <xf numFmtId="0" fontId="19" fillId="0" borderId="19" xfId="0" applyFont="1" applyBorder="1" applyAlignment="1" applyProtection="1">
      <alignment vertical="center"/>
      <protection hidden="1"/>
    </xf>
    <xf numFmtId="0" fontId="19" fillId="0" borderId="30" xfId="0" applyFont="1" applyBorder="1" applyAlignment="1" applyProtection="1">
      <alignment vertical="center"/>
      <protection locked="0"/>
    </xf>
    <xf numFmtId="0" fontId="35" fillId="0" borderId="0" xfId="0" applyFont="1"/>
    <xf numFmtId="0" fontId="7" fillId="3" borderId="0" xfId="0" applyFont="1" applyFill="1" applyAlignment="1">
      <alignment horizontal="center"/>
    </xf>
    <xf numFmtId="1" fontId="9" fillId="3" borderId="0" xfId="0" applyNumberFormat="1" applyFont="1" applyFill="1" applyAlignment="1" applyProtection="1">
      <alignment horizontal="center"/>
      <protection hidden="1"/>
    </xf>
    <xf numFmtId="0" fontId="74" fillId="0" borderId="0" xfId="0" applyFont="1" applyAlignment="1" applyProtection="1">
      <alignment vertical="center"/>
      <protection locked="0"/>
    </xf>
    <xf numFmtId="0" fontId="19" fillId="0" borderId="19" xfId="0" applyFont="1" applyBorder="1" applyAlignment="1">
      <alignment horizontal="left" vertical="center"/>
    </xf>
    <xf numFmtId="0" fontId="19" fillId="3" borderId="19" xfId="0" applyFont="1" applyFill="1" applyBorder="1" applyAlignment="1" applyProtection="1">
      <alignment vertical="center"/>
      <protection locked="0"/>
    </xf>
    <xf numFmtId="0" fontId="19" fillId="3" borderId="0" xfId="0" applyFont="1" applyFill="1" applyAlignment="1" applyProtection="1">
      <alignment vertical="center"/>
      <protection locked="0"/>
    </xf>
    <xf numFmtId="0" fontId="109" fillId="0" borderId="0" xfId="0" applyFont="1" applyAlignment="1">
      <alignment horizontal="center" vertical="center"/>
    </xf>
    <xf numFmtId="0" fontId="14" fillId="3" borderId="0" xfId="0" applyFont="1" applyFill="1"/>
    <xf numFmtId="9" fontId="8" fillId="3" borderId="28" xfId="0" applyNumberFormat="1" applyFont="1" applyFill="1" applyBorder="1" applyAlignment="1">
      <alignment horizontal="right"/>
    </xf>
    <xf numFmtId="167" fontId="8" fillId="3" borderId="28" xfId="0" applyNumberFormat="1" applyFont="1" applyFill="1" applyBorder="1"/>
    <xf numFmtId="0" fontId="0" fillId="3" borderId="28" xfId="0" applyFill="1" applyBorder="1"/>
    <xf numFmtId="0" fontId="0" fillId="3" borderId="13" xfId="0" applyFill="1" applyBorder="1"/>
    <xf numFmtId="0" fontId="19" fillId="3" borderId="29" xfId="0" applyFont="1" applyFill="1" applyBorder="1" applyAlignment="1" applyProtection="1">
      <alignment vertical="center"/>
      <protection locked="0"/>
    </xf>
    <xf numFmtId="0" fontId="19" fillId="3" borderId="19" xfId="0" applyFont="1" applyFill="1" applyBorder="1" applyAlignment="1">
      <alignment vertical="center"/>
    </xf>
    <xf numFmtId="0" fontId="19" fillId="3" borderId="29" xfId="0" applyFont="1" applyFill="1" applyBorder="1" applyAlignment="1">
      <alignment vertical="center"/>
    </xf>
    <xf numFmtId="0" fontId="19" fillId="3" borderId="19" xfId="2" applyNumberFormat="1" applyFont="1" applyFill="1" applyBorder="1" applyAlignment="1" applyProtection="1">
      <alignment vertical="center"/>
      <protection locked="0"/>
    </xf>
    <xf numFmtId="0" fontId="19" fillId="3" borderId="30" xfId="0" applyFont="1" applyFill="1" applyBorder="1" applyAlignment="1" applyProtection="1">
      <alignment vertical="center"/>
      <protection locked="0"/>
    </xf>
    <xf numFmtId="0" fontId="19" fillId="3" borderId="31" xfId="0" applyFont="1" applyFill="1" applyBorder="1" applyAlignment="1" applyProtection="1">
      <alignment vertical="center"/>
      <protection locked="0"/>
    </xf>
    <xf numFmtId="0" fontId="8" fillId="3" borderId="28" xfId="0" applyFont="1" applyFill="1" applyBorder="1" applyAlignment="1">
      <alignment vertical="center"/>
    </xf>
    <xf numFmtId="0" fontId="0" fillId="3" borderId="28" xfId="0" applyFill="1" applyBorder="1" applyAlignment="1">
      <alignment vertical="center"/>
    </xf>
    <xf numFmtId="0" fontId="0" fillId="3" borderId="13" xfId="0" applyFill="1" applyBorder="1" applyAlignment="1">
      <alignment vertical="center"/>
    </xf>
    <xf numFmtId="9" fontId="19" fillId="0" borderId="0" xfId="0" applyNumberFormat="1" applyFont="1" applyAlignment="1">
      <alignment horizontal="left" vertical="center"/>
    </xf>
    <xf numFmtId="0" fontId="19" fillId="0" borderId="28" xfId="0" applyFont="1" applyBorder="1" applyAlignment="1">
      <alignment vertical="center"/>
    </xf>
    <xf numFmtId="3" fontId="19" fillId="11" borderId="14" xfId="0" applyNumberFormat="1" applyFont="1" applyFill="1" applyBorder="1" applyAlignment="1" applyProtection="1">
      <alignment horizontal="center" vertical="center"/>
      <protection locked="0"/>
    </xf>
    <xf numFmtId="0" fontId="86" fillId="0" borderId="0" xfId="0" applyFont="1" applyAlignment="1">
      <alignment vertical="center"/>
    </xf>
    <xf numFmtId="0" fontId="59" fillId="0" borderId="0" xfId="0" applyFont="1" applyAlignment="1">
      <alignment vertical="center"/>
    </xf>
    <xf numFmtId="0" fontId="110" fillId="30" borderId="1" xfId="0" applyFont="1" applyFill="1" applyBorder="1" applyAlignment="1">
      <alignment horizontal="center" vertical="center"/>
    </xf>
    <xf numFmtId="0" fontId="111" fillId="0" borderId="0" xfId="0" applyFont="1" applyAlignment="1">
      <alignment horizontal="left" vertical="center"/>
    </xf>
    <xf numFmtId="0" fontId="102" fillId="30" borderId="21" xfId="0" applyFont="1" applyFill="1" applyBorder="1" applyAlignment="1">
      <alignment horizontal="center" vertical="center"/>
    </xf>
    <xf numFmtId="0" fontId="102" fillId="30" borderId="21" xfId="0" applyFont="1" applyFill="1" applyBorder="1" applyAlignment="1">
      <alignment horizontal="center"/>
    </xf>
    <xf numFmtId="0" fontId="110" fillId="30" borderId="22" xfId="0" applyFont="1" applyFill="1" applyBorder="1" applyAlignment="1">
      <alignment horizontal="center" vertical="center" wrapText="1"/>
    </xf>
    <xf numFmtId="17" fontId="103" fillId="30" borderId="72" xfId="0" applyNumberFormat="1" applyFont="1" applyFill="1" applyBorder="1" applyAlignment="1">
      <alignment horizontal="center" vertical="center"/>
    </xf>
    <xf numFmtId="17" fontId="103" fillId="30" borderId="72" xfId="0" applyNumberFormat="1" applyFont="1" applyFill="1" applyBorder="1" applyAlignment="1" applyProtection="1">
      <alignment horizontal="center" vertical="center"/>
      <protection hidden="1"/>
    </xf>
    <xf numFmtId="0" fontId="103" fillId="30" borderId="76" xfId="0" applyFont="1" applyFill="1" applyBorder="1" applyAlignment="1" applyProtection="1">
      <alignment horizontal="center" vertical="center"/>
      <protection hidden="1"/>
    </xf>
    <xf numFmtId="0" fontId="103" fillId="30" borderId="7" xfId="0" applyFont="1" applyFill="1" applyBorder="1" applyAlignment="1">
      <alignment horizontal="center" vertical="center"/>
    </xf>
    <xf numFmtId="0" fontId="19" fillId="0" borderId="14" xfId="0" applyFont="1" applyBorder="1" applyAlignment="1">
      <alignment horizontal="center"/>
    </xf>
    <xf numFmtId="3" fontId="60" fillId="12" borderId="62" xfId="0" applyNumberFormat="1" applyFont="1" applyFill="1" applyBorder="1" applyAlignment="1" applyProtection="1">
      <alignment horizontal="center" vertical="center"/>
      <protection hidden="1"/>
    </xf>
    <xf numFmtId="0" fontId="9" fillId="12" borderId="10" xfId="0" applyFont="1" applyFill="1" applyBorder="1" applyAlignment="1">
      <alignment vertical="center"/>
    </xf>
    <xf numFmtId="3" fontId="9" fillId="3" borderId="0" xfId="0" applyNumberFormat="1" applyFont="1" applyFill="1" applyAlignment="1" applyProtection="1">
      <alignment horizontal="left" vertical="center"/>
      <protection hidden="1"/>
    </xf>
    <xf numFmtId="0" fontId="9" fillId="0" borderId="0" xfId="0" applyFont="1" applyAlignment="1">
      <alignment horizontal="right"/>
    </xf>
    <xf numFmtId="0" fontId="9" fillId="0" borderId="31" xfId="0" applyFont="1" applyBorder="1" applyAlignment="1">
      <alignment horizontal="left" vertical="center"/>
    </xf>
    <xf numFmtId="1" fontId="102" fillId="30" borderId="67" xfId="0" applyNumberFormat="1" applyFont="1" applyFill="1" applyBorder="1" applyAlignment="1" applyProtection="1">
      <alignment horizontal="center"/>
      <protection hidden="1"/>
    </xf>
    <xf numFmtId="1" fontId="102" fillId="30" borderId="44" xfId="0" applyNumberFormat="1" applyFont="1" applyFill="1" applyBorder="1" applyAlignment="1" applyProtection="1">
      <alignment horizontal="center"/>
      <protection hidden="1"/>
    </xf>
    <xf numFmtId="0" fontId="112" fillId="0" borderId="19" xfId="0" applyFont="1" applyBorder="1" applyAlignment="1" applyProtection="1">
      <alignment vertical="center"/>
      <protection locked="0"/>
    </xf>
    <xf numFmtId="1" fontId="18" fillId="0" borderId="33" xfId="0" applyNumberFormat="1" applyFont="1" applyBorder="1" applyAlignment="1">
      <alignment horizontal="center"/>
    </xf>
    <xf numFmtId="1" fontId="18" fillId="0" borderId="112" xfId="0" applyNumberFormat="1" applyFont="1" applyBorder="1" applyAlignment="1">
      <alignment horizontal="center"/>
    </xf>
    <xf numFmtId="1" fontId="18" fillId="0" borderId="30" xfId="0" applyNumberFormat="1" applyFont="1" applyBorder="1" applyAlignment="1">
      <alignment horizontal="center"/>
    </xf>
    <xf numFmtId="0" fontId="18" fillId="0" borderId="31" xfId="0" applyFont="1" applyBorder="1" applyAlignment="1" applyProtection="1">
      <alignment horizontal="left"/>
      <protection hidden="1"/>
    </xf>
    <xf numFmtId="0" fontId="102" fillId="30" borderId="0" xfId="0" applyFont="1" applyFill="1" applyProtection="1">
      <protection hidden="1"/>
    </xf>
    <xf numFmtId="0" fontId="91" fillId="30" borderId="0" xfId="0" applyFont="1" applyFill="1" applyAlignment="1" applyProtection="1">
      <alignment horizontal="left"/>
      <protection hidden="1"/>
    </xf>
    <xf numFmtId="0" fontId="91" fillId="30" borderId="0" xfId="0" applyFont="1" applyFill="1" applyAlignment="1" applyProtection="1">
      <alignment vertical="center"/>
      <protection hidden="1"/>
    </xf>
    <xf numFmtId="3" fontId="105" fillId="30" borderId="0" xfId="0" applyNumberFormat="1" applyFont="1" applyFill="1" applyAlignment="1" applyProtection="1">
      <alignment vertical="center"/>
      <protection hidden="1"/>
    </xf>
    <xf numFmtId="3" fontId="91" fillId="30" borderId="0" xfId="0" applyNumberFormat="1" applyFont="1" applyFill="1" applyAlignment="1" applyProtection="1">
      <alignment vertical="center"/>
      <protection hidden="1"/>
    </xf>
    <xf numFmtId="3" fontId="18" fillId="0" borderId="11" xfId="0" applyNumberFormat="1" applyFont="1" applyBorder="1" applyAlignment="1" applyProtection="1">
      <alignment horizontal="center" vertical="center"/>
      <protection hidden="1"/>
    </xf>
    <xf numFmtId="164" fontId="18" fillId="0" borderId="0" xfId="2" applyNumberFormat="1" applyFont="1" applyFill="1" applyBorder="1" applyAlignment="1" applyProtection="1">
      <alignment horizontal="center" vertical="center"/>
      <protection hidden="1"/>
    </xf>
    <xf numFmtId="164" fontId="18" fillId="0" borderId="0" xfId="2" applyNumberFormat="1" applyFont="1" applyBorder="1" applyAlignment="1" applyProtection="1">
      <alignment horizontal="center" vertical="center"/>
      <protection hidden="1"/>
    </xf>
    <xf numFmtId="3" fontId="19" fillId="0" borderId="115" xfId="0" applyNumberFormat="1" applyFont="1" applyBorder="1" applyAlignment="1" applyProtection="1">
      <alignment horizontal="center" vertical="center"/>
      <protection hidden="1"/>
    </xf>
    <xf numFmtId="165" fontId="18" fillId="0" borderId="115" xfId="0" applyNumberFormat="1" applyFont="1" applyBorder="1" applyAlignment="1" applyProtection="1">
      <alignment horizontal="center" vertical="center"/>
      <protection hidden="1"/>
    </xf>
    <xf numFmtId="164" fontId="18" fillId="0" borderId="115" xfId="2" applyNumberFormat="1" applyFont="1" applyFill="1" applyBorder="1" applyAlignment="1" applyProtection="1">
      <alignment horizontal="center" vertical="center"/>
      <protection hidden="1"/>
    </xf>
    <xf numFmtId="0" fontId="18" fillId="0" borderId="116" xfId="0" applyFont="1" applyBorder="1" applyAlignment="1">
      <alignment horizontal="center" vertical="center"/>
    </xf>
    <xf numFmtId="0" fontId="18" fillId="0" borderId="116" xfId="0" applyFont="1" applyBorder="1" applyAlignment="1" applyProtection="1">
      <alignment horizontal="center" vertical="center"/>
      <protection hidden="1"/>
    </xf>
    <xf numFmtId="0" fontId="18" fillId="0" borderId="116" xfId="0" applyFont="1" applyBorder="1" applyAlignment="1">
      <alignment vertical="center"/>
    </xf>
    <xf numFmtId="0" fontId="18" fillId="0" borderId="118" xfId="0" applyFont="1" applyBorder="1" applyAlignment="1">
      <alignment vertical="center"/>
    </xf>
    <xf numFmtId="3" fontId="19" fillId="11" borderId="115" xfId="0" applyNumberFormat="1" applyFont="1" applyFill="1" applyBorder="1" applyAlignment="1" applyProtection="1">
      <alignment horizontal="center" vertical="center"/>
      <protection locked="0"/>
    </xf>
    <xf numFmtId="0" fontId="18" fillId="0" borderId="116" xfId="0" applyFont="1" applyBorder="1" applyAlignment="1">
      <alignment horizontal="left" vertical="center"/>
    </xf>
    <xf numFmtId="0" fontId="18" fillId="0" borderId="118" xfId="0" applyFont="1" applyBorder="1" applyAlignment="1">
      <alignment horizontal="left" vertical="center"/>
    </xf>
    <xf numFmtId="3" fontId="18" fillId="0" borderId="115" xfId="0" applyNumberFormat="1" applyFont="1" applyBorder="1" applyAlignment="1" applyProtection="1">
      <alignment horizontal="center" vertical="center"/>
      <protection hidden="1"/>
    </xf>
    <xf numFmtId="0" fontId="7" fillId="0" borderId="8" xfId="0" applyFont="1" applyBorder="1" applyAlignment="1">
      <alignment horizontal="center"/>
    </xf>
    <xf numFmtId="0" fontId="102" fillId="30" borderId="0" xfId="0" applyFont="1" applyFill="1" applyAlignment="1">
      <alignment horizontal="center" vertical="center" wrapText="1"/>
    </xf>
    <xf numFmtId="0" fontId="18" fillId="0" borderId="32" xfId="0" applyFont="1" applyBorder="1" applyAlignment="1">
      <alignment horizontal="right" vertical="center" indent="1"/>
    </xf>
    <xf numFmtId="0" fontId="18" fillId="0" borderId="31" xfId="0" applyFont="1" applyBorder="1" applyAlignment="1">
      <alignment horizontal="right" vertical="center" indent="1"/>
    </xf>
    <xf numFmtId="0" fontId="110" fillId="30" borderId="119" xfId="0" applyFont="1" applyFill="1" applyBorder="1" applyAlignment="1">
      <alignment horizontal="center" vertical="center"/>
    </xf>
    <xf numFmtId="1" fontId="7" fillId="0" borderId="0" xfId="0" applyNumberFormat="1" applyFont="1" applyAlignment="1">
      <alignment horizontal="center" vertical="center"/>
    </xf>
    <xf numFmtId="164" fontId="10" fillId="11" borderId="116" xfId="0" applyNumberFormat="1" applyFont="1" applyFill="1" applyBorder="1" applyAlignment="1" applyProtection="1">
      <alignment horizontal="center" vertical="center"/>
      <protection locked="0"/>
    </xf>
    <xf numFmtId="164" fontId="10" fillId="11" borderId="115" xfId="0" applyNumberFormat="1" applyFont="1" applyFill="1" applyBorder="1" applyAlignment="1" applyProtection="1">
      <alignment horizontal="center" vertical="center"/>
      <protection locked="0"/>
    </xf>
    <xf numFmtId="0" fontId="10" fillId="0" borderId="0" xfId="0" applyFont="1" applyAlignment="1" applyProtection="1">
      <alignment horizontal="center" vertical="center"/>
      <protection hidden="1"/>
    </xf>
    <xf numFmtId="0" fontId="10" fillId="0" borderId="0" xfId="0" applyFont="1" applyAlignment="1" applyProtection="1">
      <alignment horizontal="left" vertical="center"/>
      <protection hidden="1"/>
    </xf>
    <xf numFmtId="164" fontId="10" fillId="11" borderId="118" xfId="0" applyNumberFormat="1" applyFont="1" applyFill="1" applyBorder="1" applyAlignment="1" applyProtection="1">
      <alignment horizontal="center" vertical="center"/>
      <protection locked="0"/>
    </xf>
    <xf numFmtId="0" fontId="7" fillId="0" borderId="115" xfId="0" applyFont="1" applyBorder="1" applyAlignment="1">
      <alignment vertical="center"/>
    </xf>
    <xf numFmtId="3" fontId="7" fillId="0" borderId="115" xfId="0" applyNumberFormat="1" applyFont="1" applyBorder="1" applyAlignment="1" applyProtection="1">
      <alignment horizontal="center" vertical="center"/>
      <protection hidden="1"/>
    </xf>
    <xf numFmtId="0" fontId="7" fillId="0" borderId="115" xfId="0" applyFont="1" applyBorder="1" applyAlignment="1" applyProtection="1">
      <alignment vertical="center"/>
      <protection hidden="1"/>
    </xf>
    <xf numFmtId="164" fontId="7" fillId="0" borderId="115" xfId="2" applyNumberFormat="1" applyFont="1" applyBorder="1" applyAlignment="1" applyProtection="1">
      <alignment horizontal="center" vertical="center"/>
      <protection hidden="1"/>
    </xf>
    <xf numFmtId="4" fontId="10" fillId="11" borderId="116" xfId="0" applyNumberFormat="1" applyFont="1" applyFill="1" applyBorder="1" applyAlignment="1" applyProtection="1">
      <alignment horizontal="center" vertical="center"/>
      <protection locked="0"/>
    </xf>
    <xf numFmtId="3" fontId="10" fillId="11" borderId="117" xfId="0" applyNumberFormat="1" applyFont="1" applyFill="1" applyBorder="1" applyAlignment="1" applyProtection="1">
      <alignment horizontal="center" vertical="center"/>
      <protection locked="0"/>
    </xf>
    <xf numFmtId="3" fontId="10" fillId="0" borderId="116" xfId="0" applyNumberFormat="1" applyFont="1" applyBorder="1" applyAlignment="1" applyProtection="1">
      <alignment horizontal="center" vertical="center"/>
      <protection hidden="1"/>
    </xf>
    <xf numFmtId="164" fontId="10" fillId="0" borderId="116" xfId="0" applyNumberFormat="1" applyFont="1" applyBorder="1" applyAlignment="1" applyProtection="1">
      <alignment horizontal="center" vertical="center"/>
      <protection hidden="1"/>
    </xf>
    <xf numFmtId="4" fontId="10" fillId="0" borderId="116" xfId="0" applyNumberFormat="1" applyFont="1" applyBorder="1" applyAlignment="1" applyProtection="1">
      <alignment horizontal="center" vertical="center"/>
      <protection hidden="1"/>
    </xf>
    <xf numFmtId="3" fontId="10" fillId="11" borderId="116" xfId="0" applyNumberFormat="1" applyFont="1" applyFill="1" applyBorder="1" applyAlignment="1" applyProtection="1">
      <alignment horizontal="center" vertical="center"/>
      <protection locked="0"/>
    </xf>
    <xf numFmtId="2" fontId="10" fillId="11" borderId="116" xfId="0" applyNumberFormat="1" applyFont="1" applyFill="1" applyBorder="1" applyAlignment="1" applyProtection="1">
      <alignment horizontal="center" vertical="center"/>
      <protection locked="0"/>
    </xf>
    <xf numFmtId="9" fontId="10" fillId="11" borderId="116" xfId="2" applyFont="1" applyFill="1" applyBorder="1" applyAlignment="1" applyProtection="1">
      <alignment horizontal="center" vertical="center"/>
      <protection locked="0"/>
    </xf>
    <xf numFmtId="0" fontId="10" fillId="0" borderId="19" xfId="0" applyFont="1" applyBorder="1" applyAlignment="1">
      <alignment vertical="center"/>
    </xf>
    <xf numFmtId="0" fontId="10" fillId="0" borderId="19" xfId="0" applyFont="1" applyBorder="1" applyAlignment="1" applyProtection="1">
      <alignment vertical="center"/>
      <protection locked="0"/>
    </xf>
    <xf numFmtId="4" fontId="110" fillId="30" borderId="119" xfId="0" applyNumberFormat="1" applyFont="1" applyFill="1" applyBorder="1" applyAlignment="1" applyProtection="1">
      <alignment horizontal="center" vertical="center"/>
      <protection hidden="1"/>
    </xf>
    <xf numFmtId="0" fontId="10" fillId="0" borderId="117" xfId="0" applyFont="1" applyBorder="1" applyAlignment="1" applyProtection="1">
      <alignment vertical="center"/>
      <protection hidden="1"/>
    </xf>
    <xf numFmtId="3" fontId="10" fillId="0" borderId="117" xfId="0" applyNumberFormat="1" applyFont="1" applyBorder="1" applyAlignment="1" applyProtection="1">
      <alignment horizontal="center" vertical="center"/>
      <protection hidden="1"/>
    </xf>
    <xf numFmtId="0" fontId="0" fillId="0" borderId="117" xfId="0" applyBorder="1" applyAlignment="1" applyProtection="1">
      <alignment vertical="center"/>
      <protection hidden="1"/>
    </xf>
    <xf numFmtId="0" fontId="0" fillId="0" borderId="117" xfId="0" applyBorder="1" applyAlignment="1" applyProtection="1">
      <alignment horizontal="center" vertical="center"/>
      <protection hidden="1"/>
    </xf>
    <xf numFmtId="0" fontId="10" fillId="0" borderId="117" xfId="0" applyFont="1" applyBorder="1" applyAlignment="1">
      <alignment vertical="center"/>
    </xf>
    <xf numFmtId="0" fontId="18" fillId="3" borderId="32" xfId="0" applyFont="1" applyFill="1" applyBorder="1" applyAlignment="1">
      <alignment horizontal="right" vertical="center" indent="1"/>
    </xf>
    <xf numFmtId="0" fontId="18" fillId="3" borderId="115" xfId="0" applyFont="1" applyFill="1" applyBorder="1" applyAlignment="1">
      <alignment horizontal="center" vertical="center"/>
    </xf>
    <xf numFmtId="1" fontId="91" fillId="30" borderId="62" xfId="0" applyNumberFormat="1" applyFont="1" applyFill="1" applyBorder="1" applyAlignment="1" applyProtection="1">
      <alignment horizontal="center" vertical="center"/>
      <protection hidden="1"/>
    </xf>
    <xf numFmtId="1" fontId="91" fillId="30" borderId="62" xfId="0" applyNumberFormat="1" applyFont="1" applyFill="1" applyBorder="1" applyAlignment="1">
      <alignment horizontal="center"/>
    </xf>
    <xf numFmtId="1" fontId="18" fillId="0" borderId="62" xfId="0" applyNumberFormat="1" applyFont="1" applyBorder="1" applyAlignment="1">
      <alignment horizontal="center"/>
    </xf>
    <xf numFmtId="1" fontId="91" fillId="30" borderId="62" xfId="0" applyNumberFormat="1" applyFont="1" applyFill="1" applyBorder="1" applyAlignment="1">
      <alignment horizontal="center" vertical="center"/>
    </xf>
    <xf numFmtId="0" fontId="18" fillId="0" borderId="115" xfId="0" applyFont="1" applyBorder="1" applyAlignment="1">
      <alignment horizontal="center" vertical="center"/>
    </xf>
    <xf numFmtId="0" fontId="18" fillId="0" borderId="11" xfId="0" applyFont="1" applyBorder="1" applyAlignment="1">
      <alignment vertical="center"/>
    </xf>
    <xf numFmtId="164" fontId="18" fillId="0" borderId="11" xfId="2" applyNumberFormat="1" applyFont="1" applyBorder="1" applyAlignment="1" applyProtection="1">
      <alignment horizontal="center" vertical="center"/>
      <protection hidden="1"/>
    </xf>
    <xf numFmtId="3" fontId="19" fillId="0" borderId="120" xfId="0" applyNumberFormat="1" applyFont="1" applyBorder="1" applyAlignment="1" applyProtection="1">
      <alignment horizontal="center" vertical="center"/>
      <protection hidden="1"/>
    </xf>
    <xf numFmtId="3" fontId="19" fillId="0" borderId="121" xfId="0" applyNumberFormat="1" applyFont="1" applyBorder="1" applyAlignment="1" applyProtection="1">
      <alignment horizontal="center" vertical="center"/>
      <protection hidden="1"/>
    </xf>
    <xf numFmtId="165" fontId="18" fillId="0" borderId="52" xfId="0" applyNumberFormat="1" applyFont="1" applyBorder="1" applyAlignment="1" applyProtection="1">
      <alignment horizontal="center" vertical="center"/>
      <protection hidden="1"/>
    </xf>
    <xf numFmtId="164" fontId="18" fillId="0" borderId="78" xfId="2" applyNumberFormat="1" applyFont="1" applyFill="1" applyBorder="1" applyAlignment="1" applyProtection="1">
      <alignment horizontal="center" vertical="center"/>
      <protection hidden="1"/>
    </xf>
    <xf numFmtId="164" fontId="18" fillId="0" borderId="44" xfId="2" applyNumberFormat="1" applyFont="1" applyFill="1" applyBorder="1" applyAlignment="1" applyProtection="1">
      <alignment horizontal="center" vertical="center"/>
      <protection hidden="1"/>
    </xf>
    <xf numFmtId="3" fontId="18" fillId="0" borderId="120" xfId="0" applyNumberFormat="1" applyFont="1" applyBorder="1" applyAlignment="1" applyProtection="1">
      <alignment horizontal="center" vertical="center"/>
      <protection hidden="1"/>
    </xf>
    <xf numFmtId="3" fontId="18" fillId="0" borderId="121" xfId="0" applyNumberFormat="1" applyFont="1" applyBorder="1" applyAlignment="1" applyProtection="1">
      <alignment horizontal="center" vertical="center"/>
      <protection hidden="1"/>
    </xf>
    <xf numFmtId="3" fontId="19" fillId="0" borderId="52" xfId="0" applyNumberFormat="1" applyFont="1" applyBorder="1" applyAlignment="1" applyProtection="1">
      <alignment horizontal="center" vertical="center"/>
      <protection hidden="1"/>
    </xf>
    <xf numFmtId="3" fontId="18" fillId="0" borderId="78" xfId="0" applyNumberFormat="1" applyFont="1" applyBorder="1" applyAlignment="1" applyProtection="1">
      <alignment horizontal="center" vertical="center"/>
      <protection hidden="1"/>
    </xf>
    <xf numFmtId="3" fontId="18" fillId="0" borderId="44" xfId="0" applyNumberFormat="1" applyFont="1" applyBorder="1" applyAlignment="1" applyProtection="1">
      <alignment horizontal="center" vertical="center"/>
      <protection hidden="1"/>
    </xf>
    <xf numFmtId="1" fontId="9" fillId="9" borderId="9" xfId="0" applyNumberFormat="1" applyFont="1" applyFill="1" applyBorder="1" applyAlignment="1" applyProtection="1">
      <alignment horizontal="center" vertical="center"/>
      <protection locked="0"/>
    </xf>
    <xf numFmtId="0" fontId="7" fillId="0" borderId="29" xfId="0" applyFont="1" applyBorder="1" applyAlignment="1">
      <alignment horizontal="center"/>
    </xf>
    <xf numFmtId="1" fontId="9" fillId="0" borderId="29" xfId="0" applyNumberFormat="1" applyFont="1" applyBorder="1" applyAlignment="1">
      <alignment horizontal="center"/>
    </xf>
    <xf numFmtId="3" fontId="9" fillId="0" borderId="29" xfId="0" applyNumberFormat="1" applyFont="1" applyBorder="1"/>
    <xf numFmtId="3" fontId="9" fillId="0" borderId="29" xfId="0" applyNumberFormat="1" applyFont="1" applyBorder="1" applyProtection="1">
      <protection hidden="1"/>
    </xf>
    <xf numFmtId="1" fontId="9" fillId="9" borderId="124" xfId="0" applyNumberFormat="1" applyFont="1" applyFill="1" applyBorder="1" applyAlignment="1" applyProtection="1">
      <alignment horizontal="center" vertical="center"/>
      <protection locked="0" hidden="1"/>
    </xf>
    <xf numFmtId="1" fontId="18" fillId="0" borderId="25" xfId="0" applyNumberFormat="1" applyFont="1" applyBorder="1" applyAlignment="1">
      <alignment horizontal="center" vertical="center"/>
    </xf>
    <xf numFmtId="3" fontId="18" fillId="0" borderId="25" xfId="0" applyNumberFormat="1" applyFont="1" applyBorder="1" applyAlignment="1" applyProtection="1">
      <alignment horizontal="center" vertical="center"/>
      <protection hidden="1"/>
    </xf>
    <xf numFmtId="3" fontId="19" fillId="3" borderId="125" xfId="0" applyNumberFormat="1" applyFont="1" applyFill="1" applyBorder="1" applyAlignment="1" applyProtection="1">
      <alignment horizontal="center" vertical="center"/>
      <protection hidden="1"/>
    </xf>
    <xf numFmtId="3" fontId="19" fillId="9" borderId="52" xfId="0" applyNumberFormat="1" applyFont="1" applyFill="1" applyBorder="1" applyAlignment="1" applyProtection="1">
      <alignment horizontal="center" vertical="center"/>
      <protection locked="0"/>
    </xf>
    <xf numFmtId="167" fontId="19" fillId="9" borderId="125" xfId="0" applyNumberFormat="1" applyFont="1" applyFill="1" applyBorder="1" applyAlignment="1" applyProtection="1">
      <alignment horizontal="center" vertical="center"/>
      <protection locked="0"/>
    </xf>
    <xf numFmtId="3" fontId="19" fillId="9" borderId="35" xfId="0" applyNumberFormat="1" applyFont="1" applyFill="1" applyBorder="1" applyAlignment="1" applyProtection="1">
      <alignment horizontal="center" vertical="center"/>
      <protection locked="0"/>
    </xf>
    <xf numFmtId="3" fontId="18" fillId="7" borderId="125" xfId="0" applyNumberFormat="1" applyFont="1" applyFill="1" applyBorder="1" applyAlignment="1" applyProtection="1">
      <alignment horizontal="center" vertical="center"/>
      <protection hidden="1"/>
    </xf>
    <xf numFmtId="3" fontId="19" fillId="7" borderId="52" xfId="0" applyNumberFormat="1" applyFont="1" applyFill="1" applyBorder="1" applyAlignment="1" applyProtection="1">
      <alignment horizontal="center" vertical="center"/>
      <protection hidden="1"/>
    </xf>
    <xf numFmtId="3" fontId="19" fillId="7" borderId="126" xfId="0" applyNumberFormat="1" applyFont="1" applyFill="1" applyBorder="1" applyAlignment="1" applyProtection="1">
      <alignment horizontal="center" vertical="center"/>
      <protection hidden="1"/>
    </xf>
    <xf numFmtId="3" fontId="18" fillId="7" borderId="55" xfId="0" applyNumberFormat="1" applyFont="1" applyFill="1" applyBorder="1" applyAlignment="1" applyProtection="1">
      <alignment horizontal="center" vertical="center"/>
      <protection hidden="1"/>
    </xf>
    <xf numFmtId="3" fontId="19" fillId="0" borderId="44" xfId="0" applyNumberFormat="1" applyFont="1" applyBorder="1" applyAlignment="1" applyProtection="1">
      <alignment horizontal="center" vertical="center"/>
      <protection hidden="1"/>
    </xf>
    <xf numFmtId="10" fontId="19" fillId="9" borderId="52" xfId="0" applyNumberFormat="1" applyFont="1" applyFill="1" applyBorder="1" applyAlignment="1" applyProtection="1">
      <alignment horizontal="center" vertical="center"/>
      <protection locked="0"/>
    </xf>
    <xf numFmtId="10" fontId="19" fillId="9" borderId="44" xfId="0" applyNumberFormat="1" applyFont="1" applyFill="1" applyBorder="1" applyAlignment="1" applyProtection="1">
      <alignment horizontal="center" vertical="center"/>
      <protection locked="0" hidden="1"/>
    </xf>
    <xf numFmtId="3" fontId="19" fillId="9" borderId="44" xfId="0" applyNumberFormat="1" applyFont="1" applyFill="1" applyBorder="1" applyAlignment="1" applyProtection="1">
      <alignment horizontal="center" vertical="center"/>
      <protection locked="0"/>
    </xf>
    <xf numFmtId="167" fontId="19" fillId="9" borderId="52" xfId="0" applyNumberFormat="1" applyFont="1" applyFill="1" applyBorder="1" applyAlignment="1" applyProtection="1">
      <alignment horizontal="center" vertical="center"/>
      <protection locked="0"/>
    </xf>
    <xf numFmtId="3" fontId="19" fillId="7" borderId="35" xfId="0" applyNumberFormat="1" applyFont="1" applyFill="1" applyBorder="1" applyAlignment="1" applyProtection="1">
      <alignment horizontal="center" vertical="center"/>
      <protection hidden="1"/>
    </xf>
    <xf numFmtId="4" fontId="19" fillId="9" borderId="44" xfId="0" applyNumberFormat="1" applyFont="1" applyFill="1" applyBorder="1" applyAlignment="1" applyProtection="1">
      <alignment horizontal="center" vertical="center"/>
      <protection locked="0"/>
    </xf>
    <xf numFmtId="4" fontId="19" fillId="0" borderId="52" xfId="0" applyNumberFormat="1" applyFont="1" applyBorder="1" applyAlignment="1" applyProtection="1">
      <alignment horizontal="center" vertical="center"/>
      <protection hidden="1"/>
    </xf>
    <xf numFmtId="2" fontId="19" fillId="9" borderId="52" xfId="0" applyNumberFormat="1" applyFont="1" applyFill="1" applyBorder="1" applyAlignment="1" applyProtection="1">
      <alignment horizontal="center" vertical="center"/>
      <protection locked="0"/>
    </xf>
    <xf numFmtId="4" fontId="19" fillId="9" borderId="52" xfId="0" applyNumberFormat="1" applyFont="1" applyFill="1" applyBorder="1" applyAlignment="1" applyProtection="1">
      <alignment horizontal="center" vertical="center"/>
      <protection locked="0"/>
    </xf>
    <xf numFmtId="3" fontId="18" fillId="9" borderId="25" xfId="0" applyNumberFormat="1" applyFont="1" applyFill="1" applyBorder="1" applyAlignment="1" applyProtection="1">
      <alignment horizontal="center" vertical="center"/>
      <protection locked="0"/>
    </xf>
    <xf numFmtId="3" fontId="19" fillId="9" borderId="125" xfId="0" applyNumberFormat="1" applyFont="1" applyFill="1" applyBorder="1" applyAlignment="1" applyProtection="1">
      <alignment horizontal="center" vertical="center"/>
      <protection locked="0"/>
    </xf>
    <xf numFmtId="3" fontId="19" fillId="9" borderId="121" xfId="0" applyNumberFormat="1" applyFont="1" applyFill="1" applyBorder="1" applyAlignment="1" applyProtection="1">
      <alignment horizontal="center" vertical="center"/>
      <protection locked="0"/>
    </xf>
    <xf numFmtId="3" fontId="18" fillId="9" borderId="123" xfId="0" applyNumberFormat="1" applyFont="1" applyFill="1" applyBorder="1" applyAlignment="1" applyProtection="1">
      <alignment horizontal="center" vertical="center"/>
      <protection locked="0"/>
    </xf>
    <xf numFmtId="3" fontId="18" fillId="7" borderId="125" xfId="0" applyNumberFormat="1" applyFont="1" applyFill="1" applyBorder="1" applyAlignment="1" applyProtection="1">
      <alignment horizontal="center" vertical="center"/>
      <protection locked="0"/>
    </xf>
    <xf numFmtId="3" fontId="19" fillId="0" borderId="123" xfId="0" applyNumberFormat="1" applyFont="1" applyBorder="1" applyAlignment="1" applyProtection="1">
      <alignment horizontal="center" vertical="center"/>
      <protection hidden="1"/>
    </xf>
    <xf numFmtId="3" fontId="19" fillId="0" borderId="25" xfId="0" applyNumberFormat="1" applyFont="1" applyBorder="1" applyAlignment="1" applyProtection="1">
      <alignment horizontal="center" vertical="center"/>
      <protection hidden="1"/>
    </xf>
    <xf numFmtId="3" fontId="18" fillId="0" borderId="124" xfId="0" applyNumberFormat="1" applyFont="1" applyBorder="1" applyAlignment="1" applyProtection="1">
      <alignment horizontal="center" vertical="center"/>
      <protection hidden="1"/>
    </xf>
    <xf numFmtId="0" fontId="110" fillId="30" borderId="26" xfId="0" applyFont="1" applyFill="1" applyBorder="1" applyAlignment="1">
      <alignment horizontal="center" vertical="center"/>
    </xf>
    <xf numFmtId="0" fontId="110" fillId="30" borderId="125" xfId="0" applyFont="1" applyFill="1" applyBorder="1" applyAlignment="1">
      <alignment horizontal="center" vertical="center"/>
    </xf>
    <xf numFmtId="164" fontId="10" fillId="9" borderId="115" xfId="0" applyNumberFormat="1" applyFont="1" applyFill="1" applyBorder="1" applyAlignment="1" applyProtection="1">
      <alignment horizontal="center" vertical="center"/>
      <protection locked="0"/>
    </xf>
    <xf numFmtId="0" fontId="7" fillId="0" borderId="0" xfId="0" applyFont="1" applyAlignment="1" applyProtection="1">
      <alignment horizontal="center" vertical="center"/>
      <protection locked="0"/>
    </xf>
    <xf numFmtId="3" fontId="7" fillId="0" borderId="116" xfId="0" applyNumberFormat="1" applyFont="1" applyBorder="1" applyAlignment="1" applyProtection="1">
      <alignment horizontal="center" vertical="center"/>
      <protection hidden="1"/>
    </xf>
    <xf numFmtId="4" fontId="10" fillId="9" borderId="116" xfId="0" applyNumberFormat="1" applyFont="1" applyFill="1" applyBorder="1" applyAlignment="1" applyProtection="1">
      <alignment horizontal="center" vertical="center"/>
      <protection locked="0"/>
    </xf>
    <xf numFmtId="3" fontId="10" fillId="9" borderId="116" xfId="0" applyNumberFormat="1" applyFont="1" applyFill="1" applyBorder="1" applyAlignment="1" applyProtection="1">
      <alignment horizontal="center" vertical="center"/>
      <protection locked="0"/>
    </xf>
    <xf numFmtId="164" fontId="10" fillId="9" borderId="116" xfId="0" applyNumberFormat="1" applyFont="1" applyFill="1" applyBorder="1" applyAlignment="1" applyProtection="1">
      <alignment horizontal="center" vertical="center"/>
      <protection locked="0"/>
    </xf>
    <xf numFmtId="4" fontId="10" fillId="9" borderId="115" xfId="0" applyNumberFormat="1" applyFont="1" applyFill="1" applyBorder="1" applyAlignment="1" applyProtection="1">
      <alignment horizontal="center" vertical="center"/>
      <protection locked="0"/>
    </xf>
    <xf numFmtId="3" fontId="10" fillId="9" borderId="115" xfId="0" applyNumberFormat="1" applyFont="1" applyFill="1" applyBorder="1" applyAlignment="1" applyProtection="1">
      <alignment horizontal="center" vertical="center"/>
      <protection locked="0"/>
    </xf>
    <xf numFmtId="0" fontId="7" fillId="0" borderId="119" xfId="0" applyFont="1" applyBorder="1" applyAlignment="1" applyProtection="1">
      <alignment vertical="center"/>
      <protection hidden="1"/>
    </xf>
    <xf numFmtId="3" fontId="7" fillId="0" borderId="119" xfId="0" applyNumberFormat="1" applyFont="1" applyBorder="1" applyAlignment="1" applyProtection="1">
      <alignment horizontal="center" vertical="center"/>
      <protection hidden="1"/>
    </xf>
    <xf numFmtId="0" fontId="110" fillId="30" borderId="127" xfId="0" applyFont="1" applyFill="1" applyBorder="1" applyAlignment="1">
      <alignment horizontal="center" vertical="center"/>
    </xf>
    <xf numFmtId="0" fontId="110" fillId="30" borderId="120" xfId="0" applyFont="1" applyFill="1" applyBorder="1" applyAlignment="1">
      <alignment horizontal="center" vertical="center"/>
    </xf>
    <xf numFmtId="0" fontId="110" fillId="30" borderId="121" xfId="0" applyFont="1" applyFill="1" applyBorder="1" applyAlignment="1">
      <alignment horizontal="center" vertical="center"/>
    </xf>
    <xf numFmtId="1" fontId="102" fillId="30" borderId="78" xfId="0" applyNumberFormat="1" applyFont="1" applyFill="1" applyBorder="1" applyAlignment="1" applyProtection="1">
      <alignment horizontal="center"/>
      <protection hidden="1"/>
    </xf>
    <xf numFmtId="1" fontId="9" fillId="0" borderId="17" xfId="0" applyNumberFormat="1" applyFont="1" applyBorder="1" applyAlignment="1">
      <alignment horizontal="center"/>
    </xf>
    <xf numFmtId="1" fontId="9" fillId="0" borderId="69" xfId="0" applyNumberFormat="1" applyFont="1" applyBorder="1" applyAlignment="1">
      <alignment horizontal="center"/>
    </xf>
    <xf numFmtId="1" fontId="9" fillId="0" borderId="52" xfId="0" applyNumberFormat="1" applyFont="1" applyBorder="1" applyAlignment="1">
      <alignment horizontal="center"/>
    </xf>
    <xf numFmtId="3" fontId="10" fillId="0" borderId="117" xfId="0" applyNumberFormat="1" applyFont="1" applyBorder="1" applyAlignment="1">
      <alignment horizontal="center" vertical="center"/>
    </xf>
    <xf numFmtId="164" fontId="10" fillId="0" borderId="117" xfId="0" applyNumberFormat="1" applyFont="1" applyBorder="1" applyAlignment="1">
      <alignment horizontal="center" vertical="center"/>
    </xf>
    <xf numFmtId="0" fontId="10" fillId="0" borderId="19" xfId="0" applyFont="1" applyBorder="1" applyAlignment="1" applyProtection="1">
      <alignment horizontal="left" vertical="center"/>
      <protection locked="0"/>
    </xf>
    <xf numFmtId="0" fontId="110" fillId="30" borderId="119" xfId="0" applyFont="1" applyFill="1" applyBorder="1" applyAlignment="1">
      <alignment horizontal="center"/>
    </xf>
    <xf numFmtId="1" fontId="102" fillId="30" borderId="62" xfId="0" applyNumberFormat="1" applyFont="1" applyFill="1" applyBorder="1" applyAlignment="1" applyProtection="1">
      <alignment horizontal="center"/>
      <protection hidden="1"/>
    </xf>
    <xf numFmtId="1" fontId="9" fillId="0" borderId="115" xfId="0" applyNumberFormat="1" applyFont="1" applyBorder="1" applyAlignment="1">
      <alignment horizontal="center"/>
    </xf>
    <xf numFmtId="0" fontId="9" fillId="0" borderId="32" xfId="0" applyFont="1" applyBorder="1" applyAlignment="1">
      <alignment horizontal="right"/>
    </xf>
    <xf numFmtId="3" fontId="10" fillId="3" borderId="117" xfId="0" applyNumberFormat="1" applyFont="1" applyFill="1" applyBorder="1" applyAlignment="1">
      <alignment horizontal="center" vertical="center"/>
    </xf>
    <xf numFmtId="0" fontId="19" fillId="0" borderId="30" xfId="0" applyFont="1" applyBorder="1" applyAlignment="1" applyProtection="1">
      <alignment horizontal="center"/>
      <protection hidden="1"/>
    </xf>
    <xf numFmtId="0" fontId="19" fillId="0" borderId="33" xfId="0" applyFont="1" applyBorder="1" applyAlignment="1" applyProtection="1">
      <alignment horizontal="center"/>
      <protection hidden="1"/>
    </xf>
    <xf numFmtId="0" fontId="18" fillId="9" borderId="30" xfId="0" applyFont="1" applyFill="1" applyBorder="1" applyAlignment="1">
      <alignment horizontal="left" vertical="center"/>
    </xf>
    <xf numFmtId="0" fontId="18" fillId="9" borderId="31" xfId="0" applyFont="1" applyFill="1" applyBorder="1" applyAlignment="1">
      <alignment horizontal="left" vertical="center"/>
    </xf>
    <xf numFmtId="0" fontId="19" fillId="9" borderId="31" xfId="0" applyFont="1" applyFill="1" applyBorder="1" applyAlignment="1">
      <alignment horizontal="left" vertical="center"/>
    </xf>
    <xf numFmtId="0" fontId="18" fillId="9" borderId="0" xfId="0" applyFont="1" applyFill="1" applyAlignment="1">
      <alignment horizontal="center" vertical="center"/>
    </xf>
    <xf numFmtId="0" fontId="18" fillId="9" borderId="30" xfId="0" applyFont="1" applyFill="1" applyBorder="1" applyAlignment="1">
      <alignment vertical="center"/>
    </xf>
    <xf numFmtId="0" fontId="19" fillId="9" borderId="31" xfId="0" applyFont="1" applyFill="1" applyBorder="1" applyAlignment="1">
      <alignment vertical="center"/>
    </xf>
    <xf numFmtId="0" fontId="103" fillId="30" borderId="0" xfId="0" applyFont="1" applyFill="1" applyProtection="1">
      <protection hidden="1"/>
    </xf>
    <xf numFmtId="3" fontId="91" fillId="30" borderId="0" xfId="0" applyNumberFormat="1" applyFont="1" applyFill="1" applyProtection="1">
      <protection hidden="1"/>
    </xf>
    <xf numFmtId="0" fontId="103" fillId="30" borderId="0" xfId="0" applyFont="1" applyFill="1"/>
    <xf numFmtId="0" fontId="105" fillId="30" borderId="0" xfId="0" applyFont="1" applyFill="1"/>
    <xf numFmtId="0" fontId="113" fillId="0" borderId="0" xfId="0" applyFont="1" applyAlignment="1">
      <alignment horizontal="left" vertical="center"/>
    </xf>
    <xf numFmtId="4" fontId="10" fillId="11" borderId="115" xfId="0" applyNumberFormat="1" applyFont="1" applyFill="1" applyBorder="1" applyAlignment="1" applyProtection="1">
      <alignment horizontal="center" vertical="center"/>
      <protection locked="0"/>
    </xf>
    <xf numFmtId="3" fontId="10" fillId="11" borderId="115" xfId="0" applyNumberFormat="1" applyFont="1" applyFill="1" applyBorder="1" applyAlignment="1" applyProtection="1">
      <alignment horizontal="center" vertical="center"/>
      <protection locked="0"/>
    </xf>
    <xf numFmtId="3" fontId="0" fillId="0" borderId="115" xfId="0" applyNumberFormat="1" applyBorder="1" applyAlignment="1">
      <alignment horizontal="center" vertical="center"/>
    </xf>
    <xf numFmtId="0" fontId="6" fillId="9" borderId="40" xfId="0" applyFont="1" applyFill="1" applyBorder="1" applyProtection="1">
      <protection hidden="1"/>
    </xf>
    <xf numFmtId="3" fontId="6" fillId="0" borderId="2" xfId="0" applyNumberFormat="1" applyFont="1" applyBorder="1" applyProtection="1">
      <protection hidden="1"/>
    </xf>
    <xf numFmtId="3" fontId="19" fillId="0" borderId="115" xfId="0" applyNumberFormat="1" applyFont="1" applyBorder="1" applyAlignment="1">
      <alignment horizontal="center" vertical="center"/>
    </xf>
    <xf numFmtId="0" fontId="43" fillId="0" borderId="121" xfId="0" applyFont="1" applyBorder="1" applyProtection="1">
      <protection hidden="1"/>
    </xf>
    <xf numFmtId="0" fontId="43" fillId="0" borderId="44" xfId="0" applyFont="1" applyBorder="1" applyProtection="1">
      <protection hidden="1"/>
    </xf>
    <xf numFmtId="1" fontId="7" fillId="0" borderId="114" xfId="0" applyNumberFormat="1" applyFont="1" applyBorder="1" applyAlignment="1">
      <alignment horizontal="center" vertical="center"/>
    </xf>
    <xf numFmtId="0" fontId="10" fillId="0" borderId="29" xfId="0" applyFont="1" applyBorder="1" applyAlignment="1" applyProtection="1">
      <alignment horizontal="left" vertical="center"/>
      <protection locked="0"/>
    </xf>
    <xf numFmtId="0" fontId="10" fillId="0" borderId="29" xfId="0" applyFont="1" applyBorder="1" applyAlignment="1" applyProtection="1">
      <alignment vertical="center"/>
      <protection locked="0"/>
    </xf>
    <xf numFmtId="0" fontId="10" fillId="0" borderId="19" xfId="0" applyFont="1" applyBorder="1" applyAlignment="1" applyProtection="1">
      <alignment horizontal="center" vertical="center"/>
      <protection hidden="1"/>
    </xf>
    <xf numFmtId="0" fontId="10" fillId="0" borderId="29" xfId="0" applyFont="1" applyBorder="1" applyAlignment="1" applyProtection="1">
      <alignment horizontal="left" vertical="center"/>
      <protection hidden="1"/>
    </xf>
    <xf numFmtId="0" fontId="10" fillId="0" borderId="19" xfId="0" applyFont="1" applyBorder="1" applyAlignment="1">
      <alignment horizontal="center" vertical="center"/>
    </xf>
    <xf numFmtId="0" fontId="10" fillId="0" borderId="29" xfId="0" applyFont="1" applyBorder="1" applyAlignment="1">
      <alignment horizontal="left" vertical="center"/>
    </xf>
    <xf numFmtId="0" fontId="10" fillId="0" borderId="19" xfId="0" applyFont="1" applyBorder="1" applyAlignment="1" applyProtection="1">
      <alignment horizontal="left" vertical="center"/>
      <protection hidden="1"/>
    </xf>
    <xf numFmtId="0" fontId="10" fillId="0" borderId="30" xfId="0" applyFont="1" applyBorder="1" applyAlignment="1" applyProtection="1">
      <alignment vertical="center"/>
      <protection locked="0"/>
    </xf>
    <xf numFmtId="0" fontId="10" fillId="0" borderId="31" xfId="0" applyFont="1" applyBorder="1" applyAlignment="1" applyProtection="1">
      <alignment vertical="center"/>
      <protection locked="0"/>
    </xf>
    <xf numFmtId="0" fontId="10" fillId="0" borderId="32" xfId="0" applyFont="1" applyBorder="1" applyAlignment="1" applyProtection="1">
      <alignment vertical="center"/>
      <protection locked="0"/>
    </xf>
    <xf numFmtId="0" fontId="0" fillId="0" borderId="39" xfId="0" applyBorder="1"/>
    <xf numFmtId="0" fontId="0" fillId="0" borderId="39" xfId="0" applyBorder="1" applyProtection="1">
      <protection hidden="1"/>
    </xf>
    <xf numFmtId="164" fontId="10" fillId="0" borderId="29" xfId="0" applyNumberFormat="1" applyFont="1" applyBorder="1" applyAlignment="1">
      <alignment vertical="center"/>
    </xf>
    <xf numFmtId="1" fontId="10" fillId="0" borderId="29" xfId="0" applyNumberFormat="1" applyFont="1" applyBorder="1" applyAlignment="1">
      <alignment horizontal="center" vertical="center"/>
    </xf>
    <xf numFmtId="164" fontId="10" fillId="0" borderId="29" xfId="0" applyNumberFormat="1" applyFont="1" applyBorder="1" applyAlignment="1" applyProtection="1">
      <alignment vertical="center"/>
      <protection locked="0"/>
    </xf>
    <xf numFmtId="0" fontId="10" fillId="0" borderId="29" xfId="0" applyFont="1" applyBorder="1" applyAlignment="1">
      <alignment vertical="center"/>
    </xf>
    <xf numFmtId="0" fontId="6" fillId="0" borderId="115" xfId="0" applyFont="1" applyBorder="1" applyAlignment="1">
      <alignment horizontal="left" vertical="center"/>
    </xf>
    <xf numFmtId="0" fontId="0" fillId="0" borderId="115" xfId="0" applyBorder="1" applyAlignment="1">
      <alignment horizontal="center" vertical="center"/>
    </xf>
    <xf numFmtId="0" fontId="0" fillId="0" borderId="115" xfId="0" applyBorder="1" applyAlignment="1">
      <alignment vertical="center" wrapText="1"/>
    </xf>
    <xf numFmtId="0" fontId="6" fillId="0" borderId="115" xfId="0" applyFont="1" applyBorder="1" applyAlignment="1">
      <alignment vertical="center" wrapText="1"/>
    </xf>
    <xf numFmtId="0" fontId="6" fillId="0" borderId="115" xfId="0" applyFont="1" applyBorder="1" applyAlignment="1">
      <alignment horizontal="left" vertical="center" wrapText="1"/>
    </xf>
    <xf numFmtId="164" fontId="0" fillId="0" borderId="115" xfId="2" applyNumberFormat="1" applyFont="1" applyBorder="1" applyAlignment="1">
      <alignment horizontal="center" vertical="center"/>
    </xf>
    <xf numFmtId="0" fontId="0" fillId="0" borderId="115" xfId="0" applyBorder="1" applyAlignment="1">
      <alignment horizontal="left" vertical="center" wrapText="1"/>
    </xf>
    <xf numFmtId="0" fontId="19" fillId="0" borderId="128" xfId="0" applyFont="1" applyBorder="1" applyAlignment="1">
      <alignment vertical="center"/>
    </xf>
    <xf numFmtId="0" fontId="18" fillId="0" borderId="8" xfId="0" applyFont="1" applyBorder="1" applyAlignment="1">
      <alignment horizontal="right" indent="1"/>
    </xf>
    <xf numFmtId="0" fontId="18" fillId="0" borderId="8" xfId="0" applyFont="1" applyBorder="1" applyAlignment="1">
      <alignment horizontal="left"/>
    </xf>
    <xf numFmtId="0" fontId="114" fillId="0" borderId="22" xfId="1" applyFont="1" applyBorder="1" applyAlignment="1" applyProtection="1">
      <alignment vertical="center"/>
    </xf>
    <xf numFmtId="0" fontId="19" fillId="0" borderId="0" xfId="0" applyFont="1" applyAlignment="1" applyProtection="1">
      <alignment horizontal="center" vertical="center"/>
      <protection locked="0"/>
    </xf>
    <xf numFmtId="0" fontId="19" fillId="0" borderId="29" xfId="0" applyFont="1" applyBorder="1" applyAlignment="1" applyProtection="1">
      <alignment horizontal="center" vertical="center"/>
      <protection locked="0"/>
    </xf>
    <xf numFmtId="0" fontId="19" fillId="0" borderId="31" xfId="0" applyFont="1" applyBorder="1" applyAlignment="1" applyProtection="1">
      <alignment horizontal="center" vertical="center"/>
      <protection locked="0"/>
    </xf>
    <xf numFmtId="0" fontId="19" fillId="0" borderId="32" xfId="0" applyFont="1" applyBorder="1" applyAlignment="1" applyProtection="1">
      <alignment horizontal="center" vertical="center"/>
      <protection locked="0"/>
    </xf>
    <xf numFmtId="0" fontId="18" fillId="11" borderId="0" xfId="0" applyFont="1" applyFill="1" applyAlignment="1" applyProtection="1">
      <alignment horizontal="center" vertical="center"/>
      <protection locked="0"/>
    </xf>
    <xf numFmtId="0" fontId="10" fillId="0" borderId="19" xfId="0" applyFont="1" applyBorder="1" applyAlignment="1">
      <alignment horizontal="left" vertical="center"/>
    </xf>
    <xf numFmtId="0" fontId="11" fillId="0" borderId="0" xfId="0" applyFont="1" applyAlignment="1">
      <alignment horizontal="left" vertical="center"/>
    </xf>
    <xf numFmtId="14" fontId="10" fillId="0" borderId="0" xfId="0" applyNumberFormat="1" applyFont="1" applyAlignment="1">
      <alignment horizontal="left" vertical="center"/>
    </xf>
    <xf numFmtId="0" fontId="10" fillId="0" borderId="0" xfId="0" applyFont="1" applyAlignment="1">
      <alignment horizontal="left" vertical="center" wrapText="1"/>
    </xf>
    <xf numFmtId="0" fontId="10" fillId="0" borderId="30" xfId="0" applyFont="1" applyBorder="1" applyAlignment="1" applyProtection="1">
      <alignment horizontal="left" vertical="center"/>
      <protection locked="0"/>
    </xf>
    <xf numFmtId="0" fontId="0" fillId="3" borderId="0" xfId="0" applyFill="1" applyAlignment="1">
      <alignment horizontal="left" vertical="center"/>
    </xf>
    <xf numFmtId="0" fontId="18" fillId="0" borderId="88" xfId="0" applyFont="1" applyBorder="1" applyProtection="1">
      <protection hidden="1"/>
    </xf>
    <xf numFmtId="0" fontId="18" fillId="0" borderId="86" xfId="0" applyFont="1" applyBorder="1" applyProtection="1">
      <protection hidden="1"/>
    </xf>
    <xf numFmtId="0" fontId="18" fillId="0" borderId="87" xfId="0" applyFont="1" applyBorder="1" applyProtection="1">
      <protection hidden="1"/>
    </xf>
    <xf numFmtId="3" fontId="18" fillId="0" borderId="85" xfId="0" applyNumberFormat="1" applyFont="1" applyBorder="1" applyProtection="1">
      <protection hidden="1"/>
    </xf>
    <xf numFmtId="0" fontId="19" fillId="4" borderId="88" xfId="0" applyFont="1" applyFill="1" applyBorder="1" applyProtection="1">
      <protection hidden="1"/>
    </xf>
    <xf numFmtId="0" fontId="19" fillId="4" borderId="86" xfId="0" applyFont="1" applyFill="1" applyBorder="1" applyProtection="1">
      <protection hidden="1"/>
    </xf>
    <xf numFmtId="0" fontId="19" fillId="4" borderId="87" xfId="0" applyFont="1" applyFill="1" applyBorder="1" applyProtection="1">
      <protection hidden="1"/>
    </xf>
    <xf numFmtId="0" fontId="19" fillId="4" borderId="0" xfId="0" applyFont="1" applyFill="1" applyProtection="1">
      <protection hidden="1"/>
    </xf>
    <xf numFmtId="3" fontId="19" fillId="0" borderId="129" xfId="0" applyNumberFormat="1" applyFont="1" applyBorder="1" applyProtection="1">
      <protection hidden="1"/>
    </xf>
    <xf numFmtId="164" fontId="19" fillId="9" borderId="33" xfId="0" applyNumberFormat="1" applyFont="1" applyFill="1" applyBorder="1" applyAlignment="1" applyProtection="1">
      <alignment horizontal="center" vertical="center"/>
      <protection locked="0"/>
    </xf>
    <xf numFmtId="164" fontId="19" fillId="9" borderId="12" xfId="0" applyNumberFormat="1" applyFont="1" applyFill="1" applyBorder="1" applyAlignment="1" applyProtection="1">
      <alignment horizontal="center" vertical="center"/>
      <protection locked="0"/>
    </xf>
    <xf numFmtId="0" fontId="19" fillId="9" borderId="88" xfId="0" applyFont="1" applyFill="1" applyBorder="1" applyProtection="1">
      <protection hidden="1"/>
    </xf>
    <xf numFmtId="0" fontId="19" fillId="9" borderId="86" xfId="0" applyFont="1" applyFill="1" applyBorder="1" applyProtection="1">
      <protection hidden="1"/>
    </xf>
    <xf numFmtId="0" fontId="19" fillId="9" borderId="87" xfId="0" applyFont="1" applyFill="1" applyBorder="1" applyProtection="1">
      <protection hidden="1"/>
    </xf>
    <xf numFmtId="164" fontId="19" fillId="9" borderId="85" xfId="0" applyNumberFormat="1" applyFont="1" applyFill="1" applyBorder="1" applyProtection="1">
      <protection hidden="1"/>
    </xf>
    <xf numFmtId="0" fontId="19" fillId="9" borderId="0" xfId="0" applyFont="1" applyFill="1" applyProtection="1">
      <protection hidden="1"/>
    </xf>
    <xf numFmtId="0" fontId="18" fillId="0" borderId="131" xfId="0" applyFont="1" applyBorder="1" applyAlignment="1">
      <alignment horizontal="left" vertical="center"/>
    </xf>
    <xf numFmtId="3" fontId="18" fillId="0" borderId="5" xfId="0" applyNumberFormat="1" applyFont="1" applyBorder="1" applyAlignment="1">
      <alignment horizontal="center" vertical="center"/>
    </xf>
    <xf numFmtId="3" fontId="18" fillId="0" borderId="1" xfId="0" applyNumberFormat="1" applyFont="1" applyBorder="1" applyAlignment="1">
      <alignment horizontal="center" vertical="center"/>
    </xf>
    <xf numFmtId="0" fontId="19" fillId="0" borderId="0" xfId="0" applyFont="1" applyAlignment="1">
      <alignment horizontal="left"/>
    </xf>
    <xf numFmtId="0" fontId="19" fillId="0" borderId="19" xfId="0" applyFont="1" applyBorder="1" applyAlignment="1">
      <alignment horizontal="left"/>
    </xf>
    <xf numFmtId="0" fontId="19" fillId="3" borderId="19" xfId="0" applyFont="1" applyFill="1" applyBorder="1" applyAlignment="1" applyProtection="1">
      <alignment horizontal="left" vertical="center"/>
      <protection locked="0"/>
    </xf>
    <xf numFmtId="0" fontId="19" fillId="3" borderId="0" xfId="0" applyFont="1" applyFill="1" applyAlignment="1" applyProtection="1">
      <alignment horizontal="left" vertical="center"/>
      <protection locked="0"/>
    </xf>
    <xf numFmtId="0" fontId="19" fillId="0" borderId="29" xfId="0" applyFont="1" applyBorder="1" applyAlignment="1">
      <alignment horizontal="center" vertical="center"/>
    </xf>
    <xf numFmtId="3" fontId="19" fillId="0" borderId="0" xfId="0" applyNumberFormat="1" applyFont="1" applyAlignment="1" applyProtection="1">
      <alignment horizontal="left" vertical="center"/>
      <protection locked="0"/>
    </xf>
    <xf numFmtId="0" fontId="74" fillId="0" borderId="0" xfId="0" applyFont="1" applyAlignment="1" applyProtection="1">
      <alignment horizontal="left" vertical="center"/>
      <protection locked="0"/>
    </xf>
    <xf numFmtId="3" fontId="19" fillId="0" borderId="39" xfId="0" applyNumberFormat="1" applyFont="1" applyBorder="1" applyAlignment="1" applyProtection="1">
      <alignment horizontal="center" vertical="center"/>
      <protection hidden="1"/>
    </xf>
    <xf numFmtId="3" fontId="62" fillId="0" borderId="14" xfId="0" applyNumberFormat="1" applyFont="1" applyBorder="1" applyAlignment="1" applyProtection="1">
      <alignment horizontal="center" vertical="center"/>
      <protection locked="0" hidden="1"/>
    </xf>
    <xf numFmtId="0" fontId="18" fillId="0" borderId="31" xfId="0" applyFont="1" applyBorder="1" applyAlignment="1" applyProtection="1">
      <alignment horizontal="center" vertical="center"/>
      <protection hidden="1"/>
    </xf>
    <xf numFmtId="0" fontId="18" fillId="0" borderId="117" xfId="0" applyFont="1" applyBorder="1" applyAlignment="1">
      <alignment horizontal="center" vertical="center"/>
    </xf>
    <xf numFmtId="0" fontId="110" fillId="30" borderId="7" xfId="0" applyFont="1" applyFill="1" applyBorder="1" applyAlignment="1">
      <alignment horizontal="center" vertical="center" wrapText="1"/>
    </xf>
    <xf numFmtId="0" fontId="18" fillId="0" borderId="117" xfId="0" applyFont="1" applyBorder="1" applyAlignment="1" applyProtection="1">
      <alignment horizontal="center" vertical="center"/>
      <protection hidden="1"/>
    </xf>
    <xf numFmtId="49" fontId="19" fillId="3" borderId="115" xfId="0" applyNumberFormat="1" applyFont="1" applyFill="1" applyBorder="1" applyAlignment="1">
      <alignment horizontal="left" vertical="center"/>
    </xf>
    <xf numFmtId="0" fontId="19" fillId="0" borderId="117" xfId="0" applyFont="1" applyBorder="1" applyAlignment="1" applyProtection="1">
      <alignment vertical="center"/>
      <protection hidden="1"/>
    </xf>
    <xf numFmtId="3" fontId="19" fillId="0" borderId="118" xfId="0" applyNumberFormat="1" applyFont="1" applyBorder="1" applyAlignment="1" applyProtection="1">
      <alignment vertical="center"/>
      <protection hidden="1"/>
    </xf>
    <xf numFmtId="0" fontId="19" fillId="0" borderId="115" xfId="0" applyFont="1" applyBorder="1" applyAlignment="1">
      <alignment vertical="center"/>
    </xf>
    <xf numFmtId="3" fontId="19" fillId="0" borderId="30" xfId="0" applyNumberFormat="1" applyFont="1" applyBorder="1" applyAlignment="1" applyProtection="1">
      <alignment horizontal="center" vertical="center"/>
      <protection hidden="1"/>
    </xf>
    <xf numFmtId="3" fontId="19" fillId="0" borderId="116" xfId="0" applyNumberFormat="1" applyFont="1" applyBorder="1" applyAlignment="1" applyProtection="1">
      <alignment horizontal="center" vertical="center"/>
      <protection hidden="1"/>
    </xf>
    <xf numFmtId="49" fontId="19" fillId="3" borderId="62" xfId="0" applyNumberFormat="1" applyFont="1" applyFill="1" applyBorder="1" applyAlignment="1">
      <alignment horizontal="left" vertical="center"/>
    </xf>
    <xf numFmtId="3" fontId="19" fillId="0" borderId="32" xfId="0" applyNumberFormat="1" applyFont="1" applyBorder="1" applyAlignment="1" applyProtection="1">
      <alignment vertical="center"/>
      <protection hidden="1"/>
    </xf>
    <xf numFmtId="169" fontId="83" fillId="0" borderId="0" xfId="0" applyNumberFormat="1" applyFont="1" applyAlignment="1">
      <alignment horizontal="center" vertical="center"/>
    </xf>
    <xf numFmtId="0" fontId="93" fillId="0" borderId="0" xfId="0" applyFont="1" applyAlignment="1">
      <alignment horizontal="center" vertical="center"/>
    </xf>
    <xf numFmtId="0" fontId="118" fillId="30" borderId="0" xfId="3" applyFont="1" applyFill="1" applyAlignment="1">
      <alignment horizontal="center" vertical="center"/>
    </xf>
    <xf numFmtId="0" fontId="118" fillId="30" borderId="0" xfId="3" applyFont="1" applyFill="1" applyAlignment="1">
      <alignment horizontal="right" vertical="center"/>
    </xf>
    <xf numFmtId="0" fontId="118" fillId="30" borderId="0" xfId="3" applyFont="1" applyFill="1" applyAlignment="1">
      <alignment horizontal="left" vertical="center"/>
    </xf>
    <xf numFmtId="0" fontId="118" fillId="30" borderId="0" xfId="3" applyFont="1" applyFill="1" applyAlignment="1">
      <alignment horizontal="center"/>
    </xf>
    <xf numFmtId="0" fontId="118" fillId="30" borderId="0" xfId="3" applyFont="1" applyFill="1" applyAlignment="1">
      <alignment horizontal="left"/>
    </xf>
    <xf numFmtId="0" fontId="98" fillId="30" borderId="0" xfId="3" applyFont="1" applyFill="1" applyAlignment="1">
      <alignment horizontal="center"/>
    </xf>
    <xf numFmtId="0" fontId="98" fillId="30" borderId="104" xfId="3" applyFont="1" applyFill="1" applyBorder="1" applyAlignment="1">
      <alignment horizontal="center"/>
    </xf>
    <xf numFmtId="0" fontId="98" fillId="30" borderId="0" xfId="3" applyFont="1" applyFill="1" applyAlignment="1">
      <alignment horizontal="center" vertical="top"/>
    </xf>
    <xf numFmtId="0" fontId="98" fillId="30" borderId="104" xfId="3" applyFont="1" applyFill="1" applyBorder="1" applyAlignment="1">
      <alignment horizontal="center" vertical="top"/>
    </xf>
    <xf numFmtId="1" fontId="118" fillId="30" borderId="0" xfId="3" applyNumberFormat="1" applyFont="1" applyFill="1" applyAlignment="1">
      <alignment horizontal="left" vertical="center"/>
    </xf>
    <xf numFmtId="0" fontId="118" fillId="12" borderId="0" xfId="3" applyFont="1" applyFill="1" applyAlignment="1">
      <alignment horizontal="center"/>
    </xf>
    <xf numFmtId="0" fontId="118" fillId="12" borderId="0" xfId="3" applyFont="1" applyFill="1" applyAlignment="1">
      <alignment horizontal="center" vertical="center"/>
    </xf>
    <xf numFmtId="170" fontId="83" fillId="0" borderId="134" xfId="0" applyNumberFormat="1" applyFont="1" applyBorder="1" applyAlignment="1">
      <alignment horizontal="center" vertical="center"/>
    </xf>
    <xf numFmtId="0" fontId="99" fillId="0" borderId="134" xfId="0" applyFont="1" applyBorder="1" applyAlignment="1">
      <alignment horizontal="center" vertical="center"/>
    </xf>
    <xf numFmtId="0" fontId="4" fillId="0" borderId="134" xfId="0" applyFont="1" applyBorder="1" applyAlignment="1">
      <alignment horizontal="center" vertical="center"/>
    </xf>
    <xf numFmtId="170" fontId="4" fillId="0" borderId="134" xfId="0" applyNumberFormat="1" applyFont="1" applyBorder="1" applyAlignment="1">
      <alignment horizontal="center" vertical="center"/>
    </xf>
    <xf numFmtId="164" fontId="4" fillId="0" borderId="134" xfId="0" applyNumberFormat="1" applyFont="1" applyBorder="1" applyAlignment="1">
      <alignment horizontal="center" vertical="center"/>
    </xf>
    <xf numFmtId="6" fontId="4" fillId="0" borderId="134" xfId="0" applyNumberFormat="1" applyFont="1" applyBorder="1" applyAlignment="1">
      <alignment horizontal="center" vertical="center"/>
    </xf>
    <xf numFmtId="0" fontId="83" fillId="0" borderId="134" xfId="0" applyFont="1" applyBorder="1" applyAlignment="1">
      <alignment horizontal="center" vertical="center"/>
    </xf>
    <xf numFmtId="164" fontId="83" fillId="0" borderId="134" xfId="0" applyNumberFormat="1" applyFont="1" applyBorder="1" applyAlignment="1">
      <alignment horizontal="center" vertical="center"/>
    </xf>
    <xf numFmtId="0" fontId="98" fillId="32" borderId="104" xfId="3" applyFont="1" applyFill="1" applyBorder="1" applyAlignment="1">
      <alignment horizontal="center" vertical="top"/>
    </xf>
    <xf numFmtId="0" fontId="91" fillId="30" borderId="8" xfId="0" applyFont="1" applyFill="1" applyBorder="1" applyAlignment="1">
      <alignment horizontal="center"/>
    </xf>
    <xf numFmtId="0" fontId="91" fillId="30" borderId="8" xfId="0" applyFont="1" applyFill="1" applyBorder="1"/>
    <xf numFmtId="0" fontId="105" fillId="30" borderId="8" xfId="0" applyFont="1" applyFill="1" applyBorder="1" applyAlignment="1">
      <alignment vertical="center"/>
    </xf>
    <xf numFmtId="0" fontId="91" fillId="30" borderId="8" xfId="0" applyFont="1" applyFill="1" applyBorder="1" applyAlignment="1">
      <alignment vertical="center"/>
    </xf>
    <xf numFmtId="166" fontId="119" fillId="11" borderId="33" xfId="0" applyNumberFormat="1" applyFont="1" applyFill="1" applyBorder="1" applyAlignment="1" applyProtection="1">
      <alignment horizontal="center" vertical="center"/>
      <protection locked="0"/>
    </xf>
    <xf numFmtId="0" fontId="119" fillId="0" borderId="53" xfId="0" applyFont="1" applyBorder="1" applyAlignment="1">
      <alignment horizontal="left" vertical="center"/>
    </xf>
    <xf numFmtId="0" fontId="119" fillId="0" borderId="54" xfId="0" applyFont="1" applyBorder="1" applyAlignment="1">
      <alignment horizontal="left" vertical="center"/>
    </xf>
    <xf numFmtId="2" fontId="119" fillId="11" borderId="14" xfId="0" applyNumberFormat="1" applyFont="1" applyFill="1" applyBorder="1" applyAlignment="1" applyProtection="1">
      <alignment horizontal="center" vertical="center"/>
      <protection locked="0"/>
    </xf>
    <xf numFmtId="0" fontId="120" fillId="0" borderId="13" xfId="0" applyFont="1" applyBorder="1" applyAlignment="1">
      <alignment horizontal="center" vertical="center"/>
    </xf>
    <xf numFmtId="0" fontId="120" fillId="0" borderId="10" xfId="0" applyFont="1" applyBorder="1" applyAlignment="1">
      <alignment horizontal="center" vertical="center"/>
    </xf>
    <xf numFmtId="0" fontId="119" fillId="0" borderId="10" xfId="0" applyFont="1" applyBorder="1" applyAlignment="1">
      <alignment horizontal="center" vertical="center"/>
    </xf>
    <xf numFmtId="0" fontId="119" fillId="0" borderId="33" xfId="0" applyFont="1" applyBorder="1" applyAlignment="1">
      <alignment vertical="center"/>
    </xf>
    <xf numFmtId="0" fontId="2" fillId="0" borderId="12" xfId="0" applyFont="1" applyBorder="1" applyAlignment="1">
      <alignment vertical="center"/>
    </xf>
    <xf numFmtId="0" fontId="119" fillId="0" borderId="29" xfId="0" applyFont="1" applyBorder="1" applyAlignment="1">
      <alignment horizontal="center" vertical="center"/>
    </xf>
    <xf numFmtId="49" fontId="50" fillId="0" borderId="116" xfId="0" applyNumberFormat="1" applyFont="1" applyBorder="1" applyAlignment="1">
      <alignment horizontal="center" vertical="center"/>
    </xf>
    <xf numFmtId="2" fontId="19" fillId="11" borderId="14" xfId="0" applyNumberFormat="1" applyFont="1" applyFill="1" applyBorder="1" applyAlignment="1" applyProtection="1">
      <alignment horizontal="center" vertical="center"/>
      <protection locked="0"/>
    </xf>
    <xf numFmtId="0" fontId="9" fillId="0" borderId="0" xfId="0" applyFont="1" applyAlignment="1">
      <alignment horizontal="center" vertical="center"/>
    </xf>
    <xf numFmtId="0" fontId="8" fillId="0" borderId="28" xfId="0" applyFont="1" applyBorder="1" applyAlignment="1">
      <alignment vertical="center"/>
    </xf>
    <xf numFmtId="0" fontId="19" fillId="0" borderId="13" xfId="0" applyFont="1" applyBorder="1" applyAlignment="1">
      <alignment vertical="center"/>
    </xf>
    <xf numFmtId="0" fontId="8" fillId="0" borderId="0" xfId="0" applyFont="1" applyAlignment="1">
      <alignment vertical="center"/>
    </xf>
    <xf numFmtId="0" fontId="56" fillId="0" borderId="0" xfId="0" applyFont="1" applyAlignment="1">
      <alignment horizontal="center" vertical="center"/>
    </xf>
    <xf numFmtId="0" fontId="74" fillId="0" borderId="19" xfId="0" applyFont="1" applyBorder="1" applyAlignment="1">
      <alignment vertical="center"/>
    </xf>
    <xf numFmtId="0" fontId="56" fillId="0" borderId="0" xfId="0" applyFont="1" applyAlignment="1" applyProtection="1">
      <alignment vertical="center"/>
      <protection locked="0"/>
    </xf>
    <xf numFmtId="0" fontId="56" fillId="0" borderId="0" xfId="0" applyFont="1" applyAlignment="1">
      <alignment vertical="center"/>
    </xf>
    <xf numFmtId="0" fontId="56" fillId="0" borderId="31" xfId="0" applyFont="1" applyBorder="1" applyAlignment="1" applyProtection="1">
      <alignment vertical="center"/>
      <protection locked="0"/>
    </xf>
    <xf numFmtId="0" fontId="56" fillId="0" borderId="28" xfId="0" applyFont="1" applyBorder="1" applyAlignment="1" applyProtection="1">
      <alignment vertical="center"/>
      <protection locked="0"/>
    </xf>
    <xf numFmtId="0" fontId="19" fillId="0" borderId="113" xfId="0" applyFont="1" applyBorder="1" applyAlignment="1" applyProtection="1">
      <alignment vertical="center"/>
      <protection locked="0"/>
    </xf>
    <xf numFmtId="0" fontId="19" fillId="0" borderId="114" xfId="0" applyFont="1" applyBorder="1" applyAlignment="1" applyProtection="1">
      <alignment vertical="center"/>
      <protection locked="0"/>
    </xf>
    <xf numFmtId="0" fontId="74" fillId="0" borderId="19" xfId="0" applyFont="1" applyBorder="1" applyAlignment="1" applyProtection="1">
      <alignment vertical="center"/>
      <protection locked="0"/>
    </xf>
    <xf numFmtId="164" fontId="10" fillId="0" borderId="113" xfId="0" applyNumberFormat="1" applyFont="1" applyBorder="1" applyAlignment="1">
      <alignment horizontal="center" vertical="center"/>
    </xf>
    <xf numFmtId="0" fontId="10" fillId="0" borderId="13" xfId="0" applyFont="1" applyBorder="1" applyAlignment="1">
      <alignment horizontal="left" vertical="center"/>
    </xf>
    <xf numFmtId="0" fontId="10" fillId="0" borderId="113" xfId="0" applyFont="1" applyBorder="1" applyAlignment="1">
      <alignment horizontal="center" vertical="center"/>
    </xf>
    <xf numFmtId="3" fontId="10" fillId="0" borderId="115" xfId="0" applyNumberFormat="1" applyFont="1" applyBorder="1" applyAlignment="1" applyProtection="1">
      <alignment horizontal="center" vertical="center"/>
      <protection hidden="1"/>
    </xf>
    <xf numFmtId="0" fontId="19" fillId="0" borderId="29" xfId="0" applyFont="1" applyBorder="1" applyAlignment="1" applyProtection="1">
      <alignment vertical="center"/>
      <protection hidden="1"/>
    </xf>
    <xf numFmtId="0" fontId="9" fillId="11" borderId="0" xfId="0" applyFont="1" applyFill="1" applyAlignment="1">
      <alignment vertical="center"/>
    </xf>
    <xf numFmtId="0" fontId="9" fillId="8" borderId="0" xfId="0" applyFont="1" applyFill="1" applyAlignment="1" applyProtection="1">
      <alignment horizontal="center" vertical="center"/>
      <protection locked="0"/>
    </xf>
    <xf numFmtId="0" fontId="56" fillId="3" borderId="0" xfId="0" applyFont="1" applyFill="1" applyAlignment="1" applyProtection="1">
      <alignment vertical="center"/>
      <protection locked="0"/>
    </xf>
    <xf numFmtId="0" fontId="56" fillId="3" borderId="29" xfId="0" applyFont="1" applyFill="1" applyBorder="1" applyAlignment="1" applyProtection="1">
      <alignment vertical="center"/>
      <protection locked="0"/>
    </xf>
    <xf numFmtId="0" fontId="112" fillId="0" borderId="19" xfId="0" applyFont="1" applyBorder="1" applyAlignment="1">
      <alignment vertical="center"/>
    </xf>
    <xf numFmtId="0" fontId="74" fillId="0" borderId="0" xfId="0" applyFont="1" applyAlignment="1">
      <alignment vertical="center"/>
    </xf>
    <xf numFmtId="0" fontId="112" fillId="0" borderId="30" xfId="0" applyFont="1" applyBorder="1" applyAlignment="1">
      <alignment vertical="center"/>
    </xf>
    <xf numFmtId="0" fontId="74" fillId="0" borderId="31" xfId="0" applyFont="1" applyBorder="1" applyAlignment="1">
      <alignment vertical="center"/>
    </xf>
    <xf numFmtId="0" fontId="19" fillId="0" borderId="116" xfId="0" applyFont="1" applyBorder="1" applyAlignment="1">
      <alignment horizontal="center" vertical="center"/>
    </xf>
    <xf numFmtId="0" fontId="19" fillId="0" borderId="117" xfId="0" applyFont="1" applyBorder="1" applyAlignment="1">
      <alignment horizontal="center" vertical="center"/>
    </xf>
    <xf numFmtId="0" fontId="36" fillId="0" borderId="13" xfId="0" applyFont="1" applyBorder="1" applyAlignment="1">
      <alignment horizontal="center" vertical="center"/>
    </xf>
    <xf numFmtId="1" fontId="10" fillId="0" borderId="29" xfId="0" applyNumberFormat="1" applyFont="1" applyBorder="1" applyAlignment="1">
      <alignment vertical="center"/>
    </xf>
    <xf numFmtId="9" fontId="10" fillId="0" borderId="19" xfId="0" applyNumberFormat="1" applyFont="1" applyBorder="1" applyAlignment="1">
      <alignment horizontal="left" vertical="center"/>
    </xf>
    <xf numFmtId="0" fontId="19" fillId="0" borderId="30" xfId="0" applyFont="1" applyBorder="1" applyAlignment="1">
      <alignment vertical="center"/>
    </xf>
    <xf numFmtId="0" fontId="19" fillId="3" borderId="31" xfId="0" applyFont="1" applyFill="1" applyBorder="1" applyAlignment="1">
      <alignment vertical="center"/>
    </xf>
    <xf numFmtId="0" fontId="19" fillId="0" borderId="32" xfId="0" applyFont="1" applyBorder="1" applyAlignment="1">
      <alignment vertical="center"/>
    </xf>
    <xf numFmtId="0" fontId="6" fillId="0" borderId="13" xfId="0" applyFont="1" applyBorder="1"/>
    <xf numFmtId="0" fontId="9" fillId="9" borderId="0" xfId="0" applyFont="1" applyFill="1" applyAlignment="1" applyProtection="1">
      <alignment horizontal="center" vertical="center"/>
      <protection locked="0"/>
    </xf>
    <xf numFmtId="3" fontId="49" fillId="11" borderId="14" xfId="0" applyNumberFormat="1" applyFont="1" applyFill="1" applyBorder="1" applyAlignment="1" applyProtection="1">
      <alignment horizontal="center" vertical="center"/>
      <protection locked="0" hidden="1"/>
    </xf>
    <xf numFmtId="3" fontId="19" fillId="11" borderId="115" xfId="0" applyNumberFormat="1" applyFont="1" applyFill="1" applyBorder="1" applyAlignment="1" applyProtection="1">
      <alignment horizontal="center" vertical="center"/>
      <protection locked="0" hidden="1"/>
    </xf>
    <xf numFmtId="3" fontId="0" fillId="11" borderId="115" xfId="0" applyNumberFormat="1" applyFill="1" applyBorder="1" applyAlignment="1" applyProtection="1">
      <alignment horizontal="center" vertical="center"/>
      <protection locked="0" hidden="1"/>
    </xf>
    <xf numFmtId="3" fontId="49" fillId="11" borderId="63" xfId="0" applyNumberFormat="1" applyFont="1" applyFill="1" applyBorder="1" applyAlignment="1" applyProtection="1">
      <alignment horizontal="center" vertical="center"/>
      <protection locked="0" hidden="1"/>
    </xf>
    <xf numFmtId="0" fontId="19" fillId="0" borderId="10" xfId="0" applyFont="1" applyBorder="1" applyAlignment="1">
      <alignment horizontal="center"/>
    </xf>
    <xf numFmtId="3" fontId="50" fillId="8" borderId="115" xfId="0" applyNumberFormat="1" applyFont="1" applyFill="1" applyBorder="1" applyProtection="1">
      <protection locked="0"/>
    </xf>
    <xf numFmtId="3" fontId="68" fillId="7" borderId="115" xfId="0" applyNumberFormat="1" applyFont="1" applyFill="1" applyBorder="1" applyProtection="1">
      <protection hidden="1"/>
    </xf>
    <xf numFmtId="0" fontId="6" fillId="0" borderId="115" xfId="0" applyFont="1" applyBorder="1" applyProtection="1">
      <protection hidden="1"/>
    </xf>
    <xf numFmtId="3" fontId="19" fillId="11" borderId="120" xfId="0" applyNumberFormat="1" applyFont="1" applyFill="1" applyBorder="1" applyAlignment="1" applyProtection="1">
      <alignment horizontal="center" vertical="center"/>
      <protection locked="0"/>
    </xf>
    <xf numFmtId="164" fontId="19" fillId="11" borderId="115" xfId="0" applyNumberFormat="1" applyFont="1" applyFill="1" applyBorder="1" applyAlignment="1" applyProtection="1">
      <alignment horizontal="center" vertical="center"/>
      <protection locked="0"/>
    </xf>
    <xf numFmtId="0" fontId="19" fillId="0" borderId="117" xfId="0" applyFont="1" applyBorder="1" applyAlignment="1">
      <alignment vertical="center"/>
    </xf>
    <xf numFmtId="9" fontId="19" fillId="0" borderId="122" xfId="0" applyNumberFormat="1" applyFont="1" applyBorder="1" applyAlignment="1" applyProtection="1">
      <alignment vertical="center"/>
      <protection locked="0"/>
    </xf>
    <xf numFmtId="3" fontId="19" fillId="9" borderId="26" xfId="0" applyNumberFormat="1" applyFont="1" applyFill="1" applyBorder="1" applyAlignment="1" applyProtection="1">
      <alignment horizontal="center" vertical="center"/>
      <protection locked="0"/>
    </xf>
    <xf numFmtId="3" fontId="19" fillId="9" borderId="120" xfId="0" applyNumberFormat="1" applyFont="1" applyFill="1" applyBorder="1" applyAlignment="1" applyProtection="1">
      <alignment horizontal="center" vertical="center"/>
      <protection locked="0"/>
    </xf>
    <xf numFmtId="164" fontId="19" fillId="9" borderId="115" xfId="0" applyNumberFormat="1" applyFont="1" applyFill="1" applyBorder="1" applyAlignment="1" applyProtection="1">
      <alignment horizontal="center" vertical="center"/>
      <protection locked="0"/>
    </xf>
    <xf numFmtId="0" fontId="119" fillId="0" borderId="19" xfId="0" applyFont="1" applyBorder="1" applyAlignment="1" applyProtection="1">
      <alignment horizontal="left" vertical="center"/>
      <protection locked="0"/>
    </xf>
    <xf numFmtId="0" fontId="56" fillId="0" borderId="29" xfId="0" applyFont="1" applyBorder="1" applyAlignment="1" applyProtection="1">
      <alignment vertical="center"/>
      <protection locked="0"/>
    </xf>
    <xf numFmtId="164" fontId="4" fillId="0" borderId="134" xfId="2" applyNumberFormat="1" applyFont="1" applyBorder="1" applyAlignment="1">
      <alignment horizontal="center" vertical="center"/>
    </xf>
    <xf numFmtId="164" fontId="83" fillId="0" borderId="134" xfId="2" applyNumberFormat="1" applyFont="1" applyFill="1" applyBorder="1" applyAlignment="1">
      <alignment horizontal="center" vertical="center"/>
    </xf>
    <xf numFmtId="0" fontId="5" fillId="0" borderId="0" xfId="0" applyFont="1" applyAlignment="1">
      <alignment vertical="center"/>
    </xf>
    <xf numFmtId="0" fontId="4" fillId="0" borderId="115" xfId="0" applyFont="1" applyBorder="1" applyAlignment="1">
      <alignment horizontal="center" vertical="center"/>
    </xf>
    <xf numFmtId="170" fontId="4" fillId="0" borderId="115" xfId="0" applyNumberFormat="1" applyFont="1" applyBorder="1" applyAlignment="1">
      <alignment horizontal="center" vertical="center"/>
    </xf>
    <xf numFmtId="164" fontId="4" fillId="0" borderId="115" xfId="0" applyNumberFormat="1" applyFont="1" applyBorder="1" applyAlignment="1">
      <alignment horizontal="center" vertical="center"/>
    </xf>
    <xf numFmtId="170" fontId="83" fillId="0" borderId="115" xfId="0" applyNumberFormat="1" applyFont="1" applyBorder="1" applyAlignment="1">
      <alignment horizontal="center" vertical="center"/>
    </xf>
    <xf numFmtId="164" fontId="4" fillId="0" borderId="118" xfId="2" applyNumberFormat="1" applyFont="1" applyBorder="1" applyAlignment="1">
      <alignment horizontal="center" vertical="center"/>
    </xf>
    <xf numFmtId="0" fontId="83" fillId="8" borderId="115" xfId="0" applyFont="1" applyFill="1" applyBorder="1" applyAlignment="1">
      <alignment horizontal="center" vertical="center"/>
    </xf>
    <xf numFmtId="170" fontId="83" fillId="8" borderId="115" xfId="0" applyNumberFormat="1" applyFont="1" applyFill="1" applyBorder="1" applyAlignment="1">
      <alignment horizontal="center" vertical="center"/>
    </xf>
    <xf numFmtId="164" fontId="83" fillId="8" borderId="115" xfId="0" applyNumberFormat="1" applyFont="1" applyFill="1" applyBorder="1" applyAlignment="1">
      <alignment horizontal="center" vertical="center"/>
    </xf>
    <xf numFmtId="6" fontId="4" fillId="8" borderId="115" xfId="0" applyNumberFormat="1" applyFont="1" applyFill="1" applyBorder="1" applyAlignment="1">
      <alignment horizontal="center" vertical="center"/>
    </xf>
    <xf numFmtId="164" fontId="4" fillId="8" borderId="32" xfId="2" applyNumberFormat="1" applyFont="1" applyFill="1" applyBorder="1" applyAlignment="1">
      <alignment horizontal="center" vertical="center"/>
    </xf>
    <xf numFmtId="0" fontId="83" fillId="0" borderId="115" xfId="0" applyFont="1" applyBorder="1" applyAlignment="1">
      <alignment horizontal="center" vertical="center"/>
    </xf>
    <xf numFmtId="164" fontId="83" fillId="0" borderId="115" xfId="0" applyNumberFormat="1" applyFont="1" applyBorder="1" applyAlignment="1">
      <alignment horizontal="center" vertical="center"/>
    </xf>
    <xf numFmtId="6" fontId="4" fillId="0" borderId="115" xfId="0" applyNumberFormat="1" applyFont="1" applyBorder="1" applyAlignment="1">
      <alignment horizontal="center" vertical="center"/>
    </xf>
    <xf numFmtId="164" fontId="4" fillId="0" borderId="32" xfId="2" applyNumberFormat="1" applyFont="1" applyBorder="1" applyAlignment="1">
      <alignment horizontal="center" vertical="center"/>
    </xf>
    <xf numFmtId="170" fontId="4" fillId="0" borderId="32" xfId="0" applyNumberFormat="1" applyFont="1" applyBorder="1" applyAlignment="1">
      <alignment horizontal="center" vertical="center"/>
    </xf>
    <xf numFmtId="1" fontId="83" fillId="8" borderId="115" xfId="0" applyNumberFormat="1" applyFont="1" applyFill="1" applyBorder="1" applyAlignment="1">
      <alignment horizontal="center" vertical="center"/>
    </xf>
    <xf numFmtId="164" fontId="83" fillId="8" borderId="115" xfId="2" applyNumberFormat="1" applyFont="1" applyFill="1" applyBorder="1" applyAlignment="1">
      <alignment horizontal="center" vertical="center"/>
    </xf>
    <xf numFmtId="164" fontId="83" fillId="0" borderId="115" xfId="2" applyNumberFormat="1" applyFont="1" applyFill="1" applyBorder="1" applyAlignment="1">
      <alignment horizontal="center"/>
    </xf>
    <xf numFmtId="164" fontId="83" fillId="8" borderId="115" xfId="2" applyNumberFormat="1" applyFont="1" applyFill="1" applyBorder="1" applyAlignment="1">
      <alignment horizontal="center"/>
    </xf>
    <xf numFmtId="164" fontId="83" fillId="0" borderId="118" xfId="2" applyNumberFormat="1" applyFont="1" applyFill="1" applyBorder="1" applyAlignment="1">
      <alignment horizontal="center"/>
    </xf>
    <xf numFmtId="164" fontId="83" fillId="8" borderId="118" xfId="2" applyNumberFormat="1" applyFont="1" applyFill="1" applyBorder="1" applyAlignment="1">
      <alignment horizontal="center"/>
    </xf>
    <xf numFmtId="164" fontId="83" fillId="8" borderId="62" xfId="2" applyNumberFormat="1" applyFont="1" applyFill="1" applyBorder="1" applyAlignment="1">
      <alignment horizontal="center" vertical="center"/>
    </xf>
    <xf numFmtId="164" fontId="83" fillId="0" borderId="115" xfId="2" applyNumberFormat="1" applyFont="1" applyFill="1" applyBorder="1" applyAlignment="1">
      <alignment horizontal="center" vertical="center"/>
    </xf>
    <xf numFmtId="0" fontId="83" fillId="8" borderId="0" xfId="0" applyFont="1" applyFill="1" applyAlignment="1">
      <alignment horizontal="center" vertical="center"/>
    </xf>
    <xf numFmtId="0" fontId="83" fillId="8" borderId="12" xfId="0" applyFont="1" applyFill="1" applyBorder="1" applyAlignment="1">
      <alignment vertical="center"/>
    </xf>
    <xf numFmtId="0" fontId="99" fillId="8" borderId="134" xfId="0" applyFont="1" applyFill="1" applyBorder="1" applyAlignment="1">
      <alignment horizontal="center" vertical="center"/>
    </xf>
    <xf numFmtId="0" fontId="83" fillId="8" borderId="134" xfId="0" applyFont="1" applyFill="1" applyBorder="1" applyAlignment="1">
      <alignment horizontal="center" vertical="center"/>
    </xf>
    <xf numFmtId="170" fontId="83" fillId="8" borderId="134" xfId="0" applyNumberFormat="1" applyFont="1" applyFill="1" applyBorder="1" applyAlignment="1">
      <alignment horizontal="center" vertical="center"/>
    </xf>
    <xf numFmtId="164" fontId="83" fillId="8" borderId="134" xfId="0" applyNumberFormat="1" applyFont="1" applyFill="1" applyBorder="1" applyAlignment="1">
      <alignment horizontal="center" vertical="center"/>
    </xf>
    <xf numFmtId="6" fontId="4" fillId="8" borderId="134" xfId="0" applyNumberFormat="1" applyFont="1" applyFill="1" applyBorder="1" applyAlignment="1">
      <alignment horizontal="center" vertical="center"/>
    </xf>
    <xf numFmtId="164" fontId="4" fillId="8" borderId="134" xfId="2" applyNumberFormat="1" applyFont="1" applyFill="1" applyBorder="1" applyAlignment="1">
      <alignment horizontal="center" vertical="center"/>
    </xf>
    <xf numFmtId="166" fontId="83" fillId="8" borderId="0" xfId="0" applyNumberFormat="1" applyFont="1" applyFill="1" applyAlignment="1">
      <alignment horizontal="center" vertical="center"/>
    </xf>
    <xf numFmtId="0" fontId="83" fillId="8" borderId="31" xfId="0" applyFont="1" applyFill="1" applyBorder="1" applyAlignment="1">
      <alignment horizontal="center" vertical="center"/>
    </xf>
    <xf numFmtId="0" fontId="100" fillId="0" borderId="10" xfId="0" applyFont="1" applyBorder="1" applyAlignment="1">
      <alignment horizontal="center" vertical="center"/>
    </xf>
    <xf numFmtId="1" fontId="83" fillId="0" borderId="115" xfId="0" applyNumberFormat="1" applyFont="1" applyBorder="1" applyAlignment="1">
      <alignment horizontal="center" vertical="center"/>
    </xf>
    <xf numFmtId="1" fontId="83" fillId="0" borderId="134" xfId="0" applyNumberFormat="1" applyFont="1" applyBorder="1" applyAlignment="1">
      <alignment horizontal="center" vertical="center"/>
    </xf>
    <xf numFmtId="0" fontId="83" fillId="0" borderId="31" xfId="0" applyFont="1" applyBorder="1" applyAlignment="1">
      <alignment horizontal="center" vertical="center"/>
    </xf>
    <xf numFmtId="0" fontId="100" fillId="0" borderId="118" xfId="0" applyFont="1" applyBorder="1" applyAlignment="1">
      <alignment horizontal="center" vertical="center"/>
    </xf>
    <xf numFmtId="0" fontId="100" fillId="8" borderId="32" xfId="0" applyFont="1" applyFill="1" applyBorder="1" applyAlignment="1">
      <alignment horizontal="center" vertical="center"/>
    </xf>
    <xf numFmtId="1" fontId="83" fillId="8" borderId="134" xfId="0" applyNumberFormat="1" applyFont="1" applyFill="1" applyBorder="1" applyAlignment="1">
      <alignment horizontal="center" vertical="center"/>
    </xf>
    <xf numFmtId="164" fontId="83" fillId="8" borderId="134" xfId="2" applyNumberFormat="1" applyFont="1" applyFill="1" applyBorder="1" applyAlignment="1">
      <alignment horizontal="center" vertical="center"/>
    </xf>
    <xf numFmtId="164" fontId="83" fillId="8" borderId="0" xfId="0" applyNumberFormat="1" applyFont="1" applyFill="1" applyAlignment="1">
      <alignment horizontal="center"/>
    </xf>
    <xf numFmtId="0" fontId="100" fillId="8" borderId="10" xfId="0" applyFont="1" applyFill="1" applyBorder="1" applyAlignment="1">
      <alignment horizontal="center" vertical="center"/>
    </xf>
    <xf numFmtId="0" fontId="83" fillId="0" borderId="117" xfId="0" applyFont="1" applyBorder="1" applyAlignment="1">
      <alignment vertical="center"/>
    </xf>
    <xf numFmtId="0" fontId="83" fillId="0" borderId="31" xfId="0" applyFont="1" applyBorder="1" applyAlignment="1">
      <alignment vertical="center"/>
    </xf>
    <xf numFmtId="0" fontId="83" fillId="0" borderId="117" xfId="0" applyFont="1" applyBorder="1" applyAlignment="1">
      <alignment horizontal="center" vertical="center"/>
    </xf>
    <xf numFmtId="0" fontId="83" fillId="8" borderId="117" xfId="0" applyFont="1" applyFill="1" applyBorder="1" applyAlignment="1">
      <alignment horizontal="center" vertical="center"/>
    </xf>
    <xf numFmtId="0" fontId="100" fillId="8" borderId="118" xfId="0" applyFont="1" applyFill="1" applyBorder="1" applyAlignment="1">
      <alignment horizontal="center" vertical="center"/>
    </xf>
    <xf numFmtId="0" fontId="83" fillId="8" borderId="117" xfId="0" applyFont="1" applyFill="1" applyBorder="1" applyAlignment="1">
      <alignment vertical="center"/>
    </xf>
    <xf numFmtId="166" fontId="93" fillId="8" borderId="0" xfId="0" applyNumberFormat="1" applyFont="1" applyFill="1" applyAlignment="1">
      <alignment horizontal="center" vertical="center"/>
    </xf>
    <xf numFmtId="0" fontId="100" fillId="0" borderId="133" xfId="0" quotePrefix="1" applyFont="1" applyBorder="1" applyAlignment="1">
      <alignment horizontal="center" vertical="center"/>
    </xf>
    <xf numFmtId="0" fontId="100" fillId="0" borderId="136" xfId="0" applyFont="1" applyBorder="1" applyAlignment="1">
      <alignment horizontal="center" vertical="center"/>
    </xf>
    <xf numFmtId="0" fontId="83" fillId="0" borderId="31" xfId="0" applyFont="1" applyBorder="1"/>
    <xf numFmtId="0" fontId="5" fillId="0" borderId="117" xfId="0" applyFont="1" applyBorder="1" applyAlignment="1">
      <alignment vertical="center"/>
    </xf>
    <xf numFmtId="0" fontId="100" fillId="0" borderId="134" xfId="0" applyFont="1" applyBorder="1" applyAlignment="1">
      <alignment horizontal="center" vertical="center"/>
    </xf>
    <xf numFmtId="0" fontId="4" fillId="0" borderId="117" xfId="0" applyFont="1" applyBorder="1" applyAlignment="1">
      <alignment vertical="center"/>
    </xf>
    <xf numFmtId="0" fontId="4" fillId="0" borderId="0" xfId="0" applyFont="1" applyAlignment="1">
      <alignment vertical="center"/>
    </xf>
    <xf numFmtId="0" fontId="83" fillId="0" borderId="117" xfId="0" applyFont="1" applyBorder="1"/>
    <xf numFmtId="0" fontId="100" fillId="8" borderId="136" xfId="0" applyFont="1" applyFill="1" applyBorder="1" applyAlignment="1">
      <alignment horizontal="center" vertical="center"/>
    </xf>
    <xf numFmtId="164" fontId="83" fillId="8" borderId="0" xfId="0" applyNumberFormat="1" applyFont="1" applyFill="1" applyAlignment="1">
      <alignment horizontal="center" vertical="center"/>
    </xf>
    <xf numFmtId="0" fontId="5" fillId="8" borderId="117" xfId="0" applyFont="1" applyFill="1" applyBorder="1" applyAlignment="1">
      <alignment vertical="center"/>
    </xf>
    <xf numFmtId="0" fontId="100" fillId="8" borderId="134" xfId="0" applyFont="1" applyFill="1" applyBorder="1" applyAlignment="1">
      <alignment horizontal="center" vertical="center"/>
    </xf>
    <xf numFmtId="0" fontId="100" fillId="8" borderId="135" xfId="0" applyFont="1" applyFill="1" applyBorder="1" applyAlignment="1">
      <alignment horizontal="center" vertical="center"/>
    </xf>
    <xf numFmtId="0" fontId="107" fillId="0" borderId="0" xfId="0" applyFont="1"/>
    <xf numFmtId="0" fontId="108" fillId="0" borderId="0" xfId="0" applyFont="1" applyAlignment="1">
      <alignment horizontal="left" vertical="center"/>
    </xf>
    <xf numFmtId="2" fontId="6" fillId="10" borderId="29" xfId="0" applyNumberFormat="1" applyFont="1" applyFill="1" applyBorder="1" applyAlignment="1" applyProtection="1">
      <alignment horizontal="center"/>
      <protection hidden="1"/>
    </xf>
    <xf numFmtId="2" fontId="6" fillId="10" borderId="98" xfId="0" applyNumberFormat="1" applyFont="1" applyFill="1" applyBorder="1" applyAlignment="1" applyProtection="1">
      <alignment horizontal="center"/>
      <protection hidden="1"/>
    </xf>
    <xf numFmtId="10" fontId="6" fillId="10" borderId="14" xfId="2" applyNumberFormat="1" applyFill="1" applyBorder="1" applyAlignment="1" applyProtection="1">
      <alignment horizontal="center"/>
      <protection hidden="1"/>
    </xf>
    <xf numFmtId="0" fontId="91" fillId="30" borderId="8" xfId="0" applyFont="1" applyFill="1" applyBorder="1" applyAlignment="1">
      <alignment horizontal="center" vertical="center"/>
    </xf>
    <xf numFmtId="0" fontId="105" fillId="30" borderId="8" xfId="0" applyFont="1" applyFill="1" applyBorder="1" applyAlignment="1">
      <alignment horizontal="center" vertical="center"/>
    </xf>
    <xf numFmtId="164" fontId="91" fillId="30" borderId="8" xfId="2" applyNumberFormat="1" applyFont="1" applyFill="1" applyBorder="1" applyAlignment="1" applyProtection="1">
      <alignment horizontal="center" vertical="center"/>
      <protection hidden="1"/>
    </xf>
    <xf numFmtId="0" fontId="102" fillId="30" borderId="8" xfId="0" applyFont="1" applyFill="1" applyBorder="1" applyAlignment="1" applyProtection="1">
      <alignment horizontal="left" vertical="center"/>
      <protection locked="0"/>
    </xf>
    <xf numFmtId="0" fontId="91" fillId="30" borderId="8" xfId="0" applyFont="1" applyFill="1" applyBorder="1" applyAlignment="1" applyProtection="1">
      <alignment vertical="center"/>
      <protection locked="0"/>
    </xf>
    <xf numFmtId="49" fontId="6" fillId="5" borderId="0" xfId="0" applyNumberFormat="1" applyFont="1" applyFill="1" applyAlignment="1">
      <alignment horizontal="center" vertical="center"/>
    </xf>
    <xf numFmtId="164" fontId="119" fillId="11" borderId="115" xfId="0" applyNumberFormat="1" applyFont="1" applyFill="1" applyBorder="1" applyAlignment="1" applyProtection="1">
      <alignment horizontal="center" vertical="center"/>
      <protection locked="0"/>
    </xf>
    <xf numFmtId="0" fontId="119" fillId="0" borderId="0" xfId="0" applyFont="1" applyAlignment="1" applyProtection="1">
      <alignment vertical="center"/>
      <protection locked="0"/>
    </xf>
    <xf numFmtId="0" fontId="119" fillId="0" borderId="29" xfId="0" applyFont="1" applyBorder="1" applyAlignment="1" applyProtection="1">
      <alignment vertical="center"/>
      <protection locked="0"/>
    </xf>
    <xf numFmtId="0" fontId="6" fillId="8" borderId="36" xfId="0" applyFont="1" applyFill="1" applyBorder="1" applyProtection="1">
      <protection hidden="1"/>
    </xf>
    <xf numFmtId="0" fontId="6" fillId="8" borderId="0" xfId="0" applyFont="1" applyFill="1" applyProtection="1">
      <protection hidden="1"/>
    </xf>
    <xf numFmtId="0" fontId="6" fillId="0" borderId="0" xfId="0" applyFont="1" applyAlignment="1">
      <alignment horizontal="right"/>
    </xf>
    <xf numFmtId="0" fontId="43" fillId="0" borderId="113" xfId="0" applyFont="1" applyBorder="1" applyProtection="1">
      <protection hidden="1"/>
    </xf>
    <xf numFmtId="166" fontId="43" fillId="0" borderId="1" xfId="2" applyNumberFormat="1" applyFont="1" applyBorder="1" applyAlignment="1" applyProtection="1">
      <alignment horizontal="center"/>
      <protection hidden="1"/>
    </xf>
    <xf numFmtId="3" fontId="0" fillId="0" borderId="29" xfId="0" applyNumberFormat="1" applyBorder="1" applyProtection="1">
      <protection hidden="1"/>
    </xf>
    <xf numFmtId="3" fontId="0" fillId="0" borderId="119" xfId="0" applyNumberFormat="1" applyBorder="1" applyProtection="1">
      <protection hidden="1"/>
    </xf>
    <xf numFmtId="0" fontId="43" fillId="0" borderId="30" xfId="0" applyFont="1" applyBorder="1" applyProtection="1">
      <protection hidden="1"/>
    </xf>
    <xf numFmtId="166" fontId="43" fillId="0" borderId="4" xfId="0" applyNumberFormat="1" applyFont="1" applyBorder="1" applyAlignment="1" applyProtection="1">
      <alignment horizontal="center"/>
      <protection hidden="1"/>
    </xf>
    <xf numFmtId="3" fontId="47" fillId="0" borderId="32" xfId="0" applyNumberFormat="1" applyFont="1" applyBorder="1" applyProtection="1">
      <protection hidden="1"/>
    </xf>
    <xf numFmtId="3" fontId="6" fillId="0" borderId="62" xfId="0" applyNumberFormat="1" applyFont="1" applyBorder="1" applyProtection="1">
      <protection hidden="1"/>
    </xf>
    <xf numFmtId="0" fontId="9" fillId="7" borderId="116" xfId="0" applyFont="1" applyFill="1" applyBorder="1"/>
    <xf numFmtId="3" fontId="9" fillId="7" borderId="115" xfId="0" applyNumberFormat="1" applyFont="1" applyFill="1" applyBorder="1" applyAlignment="1">
      <alignment horizontal="center" vertical="center"/>
    </xf>
    <xf numFmtId="0" fontId="0" fillId="7" borderId="32" xfId="0" applyFill="1" applyBorder="1" applyAlignment="1">
      <alignment horizontal="center" vertical="center"/>
    </xf>
    <xf numFmtId="3" fontId="0" fillId="0" borderId="0" xfId="0" applyNumberFormat="1" applyAlignment="1">
      <alignment horizontal="center" vertical="center"/>
    </xf>
    <xf numFmtId="3" fontId="0" fillId="12" borderId="0" xfId="0" applyNumberFormat="1" applyFill="1"/>
    <xf numFmtId="166" fontId="43" fillId="0" borderId="30" xfId="0" applyNumberFormat="1" applyFont="1" applyBorder="1" applyAlignment="1" applyProtection="1">
      <alignment horizontal="center" vertical="center"/>
      <protection hidden="1"/>
    </xf>
    <xf numFmtId="3" fontId="6" fillId="0" borderId="0" xfId="0" applyNumberFormat="1" applyFont="1" applyAlignment="1">
      <alignment horizontal="center"/>
    </xf>
    <xf numFmtId="0" fontId="9" fillId="7" borderId="113" xfId="0" applyFont="1" applyFill="1" applyBorder="1"/>
    <xf numFmtId="3" fontId="9" fillId="7" borderId="114" xfId="0" applyNumberFormat="1" applyFont="1" applyFill="1" applyBorder="1"/>
    <xf numFmtId="3" fontId="19" fillId="0" borderId="115" xfId="0" applyNumberFormat="1" applyFont="1" applyBorder="1" applyProtection="1">
      <protection hidden="1"/>
    </xf>
    <xf numFmtId="0" fontId="50" fillId="0" borderId="115" xfId="0" applyFont="1" applyBorder="1" applyAlignment="1">
      <alignment vertical="center"/>
    </xf>
    <xf numFmtId="166" fontId="53" fillId="0" borderId="115" xfId="0" applyNumberFormat="1" applyFont="1" applyBorder="1" applyAlignment="1" applyProtection="1">
      <alignment horizontal="center" vertical="center"/>
      <protection hidden="1"/>
    </xf>
    <xf numFmtId="0" fontId="6" fillId="0" borderId="29" xfId="0" applyFont="1" applyBorder="1"/>
    <xf numFmtId="3" fontId="6" fillId="0" borderId="115" xfId="0" applyNumberFormat="1" applyFont="1" applyBorder="1" applyProtection="1">
      <protection hidden="1"/>
    </xf>
    <xf numFmtId="0" fontId="122" fillId="0" borderId="115" xfId="0" applyFont="1" applyBorder="1" applyAlignment="1">
      <alignment vertical="center"/>
    </xf>
    <xf numFmtId="0" fontId="50" fillId="0" borderId="0" xfId="0" applyFont="1"/>
    <xf numFmtId="166" fontId="53" fillId="0" borderId="0" xfId="0" applyNumberFormat="1" applyFont="1" applyAlignment="1" applyProtection="1">
      <alignment horizontal="center" vertical="center"/>
      <protection hidden="1"/>
    </xf>
    <xf numFmtId="3" fontId="68" fillId="7" borderId="0" xfId="0" applyNumberFormat="1" applyFont="1" applyFill="1" applyProtection="1">
      <protection hidden="1"/>
    </xf>
    <xf numFmtId="0" fontId="123" fillId="0" borderId="45" xfId="0" applyFont="1" applyBorder="1" applyProtection="1">
      <protection hidden="1"/>
    </xf>
    <xf numFmtId="166" fontId="123" fillId="0" borderId="113" xfId="0" applyNumberFormat="1" applyFont="1" applyBorder="1" applyAlignment="1" applyProtection="1">
      <alignment horizontal="center" vertical="center"/>
      <protection hidden="1"/>
    </xf>
    <xf numFmtId="0" fontId="122" fillId="0" borderId="115" xfId="0" applyFont="1" applyBorder="1" applyAlignment="1">
      <alignment horizontal="left"/>
    </xf>
    <xf numFmtId="0" fontId="50" fillId="0" borderId="115" xfId="0" applyFont="1" applyBorder="1" applyAlignment="1">
      <alignment horizontal="center" vertical="center"/>
    </xf>
    <xf numFmtId="0" fontId="6" fillId="0" borderId="118" xfId="0" applyFont="1" applyBorder="1" applyProtection="1">
      <protection hidden="1"/>
    </xf>
    <xf numFmtId="0" fontId="50" fillId="0" borderId="115" xfId="0" applyFont="1" applyBorder="1" applyAlignment="1" applyProtection="1">
      <alignment horizontal="left"/>
      <protection hidden="1"/>
    </xf>
    <xf numFmtId="0" fontId="50" fillId="0" borderId="115" xfId="0" applyFont="1" applyBorder="1" applyAlignment="1">
      <alignment horizontal="left"/>
    </xf>
    <xf numFmtId="0" fontId="50" fillId="7" borderId="115" xfId="0" applyFont="1" applyFill="1" applyBorder="1" applyAlignment="1">
      <alignment horizontal="center" vertical="center"/>
    </xf>
    <xf numFmtId="0" fontId="74" fillId="0" borderId="115" xfId="0" applyFont="1" applyBorder="1" applyAlignment="1">
      <alignment vertical="center"/>
    </xf>
    <xf numFmtId="0" fontId="0" fillId="7" borderId="115" xfId="0" applyFill="1" applyBorder="1" applyAlignment="1">
      <alignment horizontal="center" vertical="center"/>
    </xf>
    <xf numFmtId="0" fontId="50" fillId="0" borderId="62" xfId="0" applyFont="1" applyBorder="1" applyAlignment="1">
      <alignment vertical="center"/>
    </xf>
    <xf numFmtId="166" fontId="53" fillId="0" borderId="102" xfId="0" applyNumberFormat="1" applyFont="1" applyBorder="1" applyAlignment="1" applyProtection="1">
      <alignment horizontal="center" vertical="center"/>
      <protection hidden="1"/>
    </xf>
    <xf numFmtId="0" fontId="8" fillId="0" borderId="29" xfId="0" applyFont="1" applyBorder="1"/>
    <xf numFmtId="3" fontId="125" fillId="0" borderId="62" xfId="0" applyNumberFormat="1" applyFont="1" applyBorder="1"/>
    <xf numFmtId="3" fontId="50" fillId="0" borderId="0" xfId="0" applyNumberFormat="1" applyFont="1" applyProtection="1">
      <protection locked="0"/>
    </xf>
    <xf numFmtId="3" fontId="9" fillId="0" borderId="119" xfId="0" applyNumberFormat="1" applyFont="1" applyBorder="1" applyProtection="1">
      <protection hidden="1"/>
    </xf>
    <xf numFmtId="3" fontId="9" fillId="0" borderId="65" xfId="0" applyNumberFormat="1" applyFont="1" applyBorder="1" applyProtection="1">
      <protection hidden="1"/>
    </xf>
    <xf numFmtId="3" fontId="19" fillId="0" borderId="118" xfId="0" applyNumberFormat="1" applyFont="1" applyBorder="1" applyProtection="1">
      <protection hidden="1"/>
    </xf>
    <xf numFmtId="49" fontId="19" fillId="7" borderId="0" xfId="0" applyNumberFormat="1" applyFont="1" applyFill="1" applyAlignment="1">
      <alignment vertical="top"/>
    </xf>
    <xf numFmtId="0" fontId="0" fillId="7" borderId="0" xfId="0" applyFill="1"/>
    <xf numFmtId="3" fontId="9" fillId="7" borderId="118" xfId="0" applyNumberFormat="1" applyFont="1" applyFill="1" applyBorder="1" applyAlignment="1">
      <alignment horizontal="center" vertical="center"/>
    </xf>
    <xf numFmtId="0" fontId="19" fillId="17" borderId="2" xfId="0" applyFont="1" applyFill="1" applyBorder="1" applyAlignment="1">
      <alignment horizontal="center" vertical="center"/>
    </xf>
    <xf numFmtId="3" fontId="19" fillId="17" borderId="14" xfId="0" applyNumberFormat="1" applyFont="1" applyFill="1" applyBorder="1" applyAlignment="1" applyProtection="1">
      <alignment horizontal="center" vertical="center"/>
      <protection hidden="1"/>
    </xf>
    <xf numFmtId="0" fontId="19" fillId="17" borderId="39" xfId="0" applyFont="1" applyFill="1" applyBorder="1" applyAlignment="1">
      <alignment horizontal="center" vertical="center"/>
    </xf>
    <xf numFmtId="49" fontId="19" fillId="17" borderId="39" xfId="0" applyNumberFormat="1" applyFont="1" applyFill="1" applyBorder="1" applyAlignment="1">
      <alignment horizontal="center" vertical="center"/>
    </xf>
    <xf numFmtId="0" fontId="19" fillId="17" borderId="0" xfId="0" applyFont="1" applyFill="1" applyAlignment="1">
      <alignment horizontal="center" vertical="center"/>
    </xf>
    <xf numFmtId="0" fontId="50" fillId="0" borderId="0" xfId="0" applyFont="1" applyAlignment="1" applyProtection="1">
      <alignment horizontal="left"/>
      <protection hidden="1"/>
    </xf>
    <xf numFmtId="0" fontId="18" fillId="12" borderId="0" xfId="0" applyFont="1" applyFill="1" applyAlignment="1" applyProtection="1">
      <alignment horizontal="left"/>
      <protection hidden="1"/>
    </xf>
    <xf numFmtId="3" fontId="9" fillId="12" borderId="0" xfId="0" applyNumberFormat="1" applyFont="1" applyFill="1"/>
    <xf numFmtId="166" fontId="53" fillId="12" borderId="0" xfId="0" applyNumberFormat="1" applyFont="1" applyFill="1" applyAlignment="1" applyProtection="1">
      <alignment horizontal="center" vertical="center"/>
      <protection hidden="1"/>
    </xf>
    <xf numFmtId="3" fontId="50" fillId="12" borderId="0" xfId="0" applyNumberFormat="1" applyFont="1" applyFill="1" applyProtection="1">
      <protection locked="0"/>
    </xf>
    <xf numFmtId="3" fontId="68" fillId="12" borderId="0" xfId="0" applyNumberFormat="1" applyFont="1" applyFill="1" applyProtection="1">
      <protection hidden="1"/>
    </xf>
    <xf numFmtId="0" fontId="119" fillId="0" borderId="117" xfId="0" applyFont="1" applyBorder="1" applyAlignment="1">
      <alignment horizontal="center" vertical="center"/>
    </xf>
    <xf numFmtId="0" fontId="2" fillId="0" borderId="31" xfId="0" applyFont="1" applyBorder="1" applyAlignment="1">
      <alignment horizontal="left" vertical="center"/>
    </xf>
    <xf numFmtId="166" fontId="120" fillId="11" borderId="62" xfId="0" applyNumberFormat="1" applyFont="1" applyFill="1" applyBorder="1" applyAlignment="1" applyProtection="1">
      <alignment horizontal="center" vertical="center"/>
      <protection locked="0"/>
    </xf>
    <xf numFmtId="3" fontId="68" fillId="11" borderId="115" xfId="0" applyNumberFormat="1" applyFont="1" applyFill="1" applyBorder="1" applyAlignment="1" applyProtection="1">
      <alignment horizontal="center" vertical="center"/>
      <protection locked="0" hidden="1"/>
    </xf>
    <xf numFmtId="3" fontId="50" fillId="7" borderId="115" xfId="0" applyNumberFormat="1" applyFont="1" applyFill="1" applyBorder="1" applyAlignment="1" applyProtection="1">
      <alignment horizontal="center" vertical="center"/>
      <protection hidden="1"/>
    </xf>
    <xf numFmtId="167" fontId="6" fillId="0" borderId="0" xfId="0" applyNumberFormat="1" applyFont="1"/>
    <xf numFmtId="0" fontId="19" fillId="0" borderId="115" xfId="0" applyFont="1" applyBorder="1" applyAlignment="1">
      <alignment horizontal="center" vertical="center"/>
    </xf>
    <xf numFmtId="3" fontId="62" fillId="0" borderId="115" xfId="0" applyNumberFormat="1" applyFont="1" applyBorder="1" applyAlignment="1" applyProtection="1">
      <alignment horizontal="center" vertical="center"/>
      <protection locked="0"/>
    </xf>
    <xf numFmtId="0" fontId="18" fillId="0" borderId="116" xfId="0" applyFont="1" applyBorder="1" applyProtection="1">
      <protection hidden="1"/>
    </xf>
    <xf numFmtId="0" fontId="2" fillId="0" borderId="0" xfId="0" applyFont="1" applyProtection="1">
      <protection locked="0"/>
    </xf>
    <xf numFmtId="3" fontId="68" fillId="11" borderId="39" xfId="0" applyNumberFormat="1" applyFont="1" applyFill="1" applyBorder="1" applyAlignment="1" applyProtection="1">
      <alignment horizontal="center" vertical="center"/>
      <protection locked="0" hidden="1"/>
    </xf>
    <xf numFmtId="0" fontId="19" fillId="0" borderId="41" xfId="0" applyFont="1" applyBorder="1" applyAlignment="1" applyProtection="1">
      <alignment horizontal="center"/>
      <protection hidden="1"/>
    </xf>
    <xf numFmtId="0" fontId="49" fillId="0" borderId="118" xfId="0" applyFont="1" applyBorder="1" applyAlignment="1">
      <alignment horizontal="center"/>
    </xf>
    <xf numFmtId="0" fontId="49" fillId="0" borderId="61" xfId="0" applyFont="1" applyBorder="1" applyAlignment="1">
      <alignment horizontal="center"/>
    </xf>
    <xf numFmtId="0" fontId="119" fillId="0" borderId="11" xfId="0" applyFont="1" applyBorder="1" applyAlignment="1">
      <alignment horizontal="center" vertical="center"/>
    </xf>
    <xf numFmtId="49" fontId="62" fillId="0" borderId="13" xfId="0" applyNumberFormat="1" applyFont="1" applyBorder="1" applyAlignment="1">
      <alignment horizontal="center" vertical="center"/>
    </xf>
    <xf numFmtId="49" fontId="62" fillId="0" borderId="29" xfId="0" applyNumberFormat="1" applyFont="1" applyBorder="1" applyAlignment="1">
      <alignment horizontal="center" vertical="center"/>
    </xf>
    <xf numFmtId="49" fontId="62" fillId="0" borderId="32" xfId="0" applyNumberFormat="1" applyFont="1" applyBorder="1" applyAlignment="1">
      <alignment horizontal="center" vertical="center"/>
    </xf>
    <xf numFmtId="0" fontId="119" fillId="0" borderId="137" xfId="0" applyFont="1" applyBorder="1" applyAlignment="1">
      <alignment horizontal="center" vertical="center"/>
    </xf>
    <xf numFmtId="0" fontId="119" fillId="0" borderId="114" xfId="0" applyFont="1" applyBorder="1" applyAlignment="1">
      <alignment horizontal="center" vertical="center"/>
    </xf>
    <xf numFmtId="166" fontId="119" fillId="11" borderId="49" xfId="0" applyNumberFormat="1" applyFont="1" applyFill="1" applyBorder="1" applyAlignment="1" applyProtection="1">
      <alignment horizontal="center" vertical="center"/>
      <protection locked="0"/>
    </xf>
    <xf numFmtId="0" fontId="119" fillId="0" borderId="30" xfId="0" applyFont="1" applyBorder="1" applyAlignment="1">
      <alignment horizontal="left" vertical="center"/>
    </xf>
    <xf numFmtId="0" fontId="120" fillId="0" borderId="32" xfId="0" applyFont="1" applyBorder="1" applyAlignment="1">
      <alignment horizontal="left" vertical="center"/>
    </xf>
    <xf numFmtId="0" fontId="6" fillId="8" borderId="61" xfId="0" applyFont="1" applyFill="1" applyBorder="1" applyAlignment="1" applyProtection="1">
      <alignment horizontal="center"/>
      <protection hidden="1"/>
    </xf>
    <xf numFmtId="49" fontId="74" fillId="0" borderId="22" xfId="0" applyNumberFormat="1" applyFont="1" applyBorder="1" applyAlignment="1">
      <alignment horizontal="left"/>
    </xf>
    <xf numFmtId="0" fontId="0" fillId="7" borderId="115" xfId="0" applyFill="1" applyBorder="1" applyAlignment="1">
      <alignment horizontal="center"/>
    </xf>
    <xf numFmtId="49" fontId="19" fillId="7" borderId="0" xfId="0" applyNumberFormat="1" applyFont="1" applyFill="1"/>
    <xf numFmtId="2" fontId="19" fillId="11" borderId="115" xfId="0" applyNumberFormat="1" applyFont="1" applyFill="1" applyBorder="1" applyAlignment="1" applyProtection="1">
      <alignment horizontal="center" vertical="center"/>
      <protection locked="0"/>
    </xf>
    <xf numFmtId="0" fontId="119" fillId="0" borderId="118" xfId="0" applyFont="1" applyBorder="1" applyAlignment="1">
      <alignment horizontal="center" vertical="center"/>
    </xf>
    <xf numFmtId="0" fontId="9" fillId="0" borderId="0" xfId="0" applyFont="1" applyAlignment="1">
      <alignment horizontal="center" wrapText="1"/>
    </xf>
    <xf numFmtId="3" fontId="19" fillId="11" borderId="15" xfId="0" applyNumberFormat="1" applyFont="1" applyFill="1" applyBorder="1" applyAlignment="1" applyProtection="1">
      <alignment horizontal="center" vertical="center"/>
      <protection locked="0"/>
    </xf>
    <xf numFmtId="3" fontId="19" fillId="11" borderId="32" xfId="0" applyNumberFormat="1" applyFont="1" applyFill="1" applyBorder="1" applyAlignment="1" applyProtection="1">
      <alignment horizontal="center" vertical="center"/>
      <protection locked="0"/>
    </xf>
    <xf numFmtId="0" fontId="122" fillId="0" borderId="119" xfId="0" applyFont="1" applyBorder="1" applyAlignment="1">
      <alignment vertical="center"/>
    </xf>
    <xf numFmtId="49" fontId="50" fillId="0" borderId="115" xfId="0" applyNumberFormat="1" applyFont="1" applyBorder="1" applyAlignment="1">
      <alignment horizontal="left" vertical="center"/>
    </xf>
    <xf numFmtId="0" fontId="9" fillId="12" borderId="0" xfId="1" applyFont="1" applyFill="1" applyBorder="1" applyAlignment="1" applyProtection="1">
      <alignment horizontal="left"/>
    </xf>
    <xf numFmtId="0" fontId="25" fillId="12" borderId="0" xfId="1" applyFont="1" applyFill="1" applyBorder="1" applyAlignment="1" applyProtection="1"/>
    <xf numFmtId="0" fontId="21" fillId="12" borderId="0" xfId="0" applyFont="1" applyFill="1" applyAlignment="1">
      <alignment horizontal="center"/>
    </xf>
    <xf numFmtId="0" fontId="9" fillId="12" borderId="0" xfId="0" applyFont="1" applyFill="1" applyAlignment="1">
      <alignment vertical="center"/>
    </xf>
    <xf numFmtId="0" fontId="29" fillId="12" borderId="0" xfId="0" applyFont="1" applyFill="1"/>
    <xf numFmtId="0" fontId="12" fillId="12" borderId="0" xfId="0" applyFont="1" applyFill="1"/>
    <xf numFmtId="0" fontId="8" fillId="8" borderId="29" xfId="0" applyFont="1" applyFill="1" applyBorder="1" applyAlignment="1" applyProtection="1">
      <alignment horizontal="center"/>
      <protection hidden="1"/>
    </xf>
    <xf numFmtId="0" fontId="119" fillId="0" borderId="138" xfId="0" applyFont="1" applyBorder="1" applyAlignment="1">
      <alignment horizontal="center" vertical="center"/>
    </xf>
    <xf numFmtId="0" fontId="18" fillId="0" borderId="19" xfId="0" applyFont="1" applyBorder="1" applyAlignment="1" applyProtection="1">
      <alignment horizontal="center" vertical="center"/>
      <protection locked="0"/>
    </xf>
    <xf numFmtId="0" fontId="19" fillId="0" borderId="19" xfId="0" applyFont="1" applyBorder="1" applyAlignment="1" applyProtection="1">
      <alignment horizontal="center" vertical="center"/>
      <protection locked="0"/>
    </xf>
    <xf numFmtId="0" fontId="11" fillId="12" borderId="0" xfId="0" applyFont="1" applyFill="1" applyAlignment="1">
      <alignment horizontal="center"/>
    </xf>
    <xf numFmtId="0" fontId="0" fillId="12" borderId="0" xfId="0" applyFill="1"/>
    <xf numFmtId="0" fontId="30" fillId="12" borderId="0" xfId="0" applyFont="1" applyFill="1" applyAlignment="1">
      <alignment horizontal="center"/>
    </xf>
    <xf numFmtId="0" fontId="26" fillId="12" borderId="0" xfId="1" applyFont="1" applyFill="1" applyAlignment="1" applyProtection="1">
      <alignment horizontal="center"/>
    </xf>
    <xf numFmtId="0" fontId="25" fillId="12" borderId="0" xfId="1" applyFont="1" applyFill="1" applyBorder="1" applyAlignment="1" applyProtection="1">
      <alignment horizontal="left"/>
    </xf>
    <xf numFmtId="0" fontId="13" fillId="12" borderId="0" xfId="1" applyFill="1" applyBorder="1" applyAlignment="1" applyProtection="1">
      <alignment horizontal="left"/>
    </xf>
    <xf numFmtId="0" fontId="91" fillId="12" borderId="0" xfId="1" applyFont="1" applyFill="1" applyBorder="1" applyAlignment="1" applyProtection="1">
      <alignment horizontal="right" vertical="top" wrapText="1"/>
    </xf>
    <xf numFmtId="0" fontId="0" fillId="15" borderId="0" xfId="0" applyFill="1"/>
    <xf numFmtId="0" fontId="11" fillId="12" borderId="0" xfId="0" applyFont="1" applyFill="1" applyAlignment="1">
      <alignment horizontal="left"/>
    </xf>
    <xf numFmtId="0" fontId="11" fillId="12" borderId="0" xfId="0" applyFont="1" applyFill="1"/>
    <xf numFmtId="0" fontId="110" fillId="12" borderId="0" xfId="0" applyFont="1" applyFill="1" applyAlignment="1">
      <alignment horizontal="left"/>
    </xf>
    <xf numFmtId="0" fontId="19" fillId="0" borderId="117" xfId="0" applyFont="1" applyBorder="1" applyAlignment="1">
      <alignment horizontal="left" vertical="center"/>
    </xf>
    <xf numFmtId="0" fontId="19" fillId="0" borderId="118" xfId="0" applyFont="1" applyBorder="1" applyAlignment="1">
      <alignment horizontal="left" vertical="center"/>
    </xf>
    <xf numFmtId="0" fontId="18" fillId="0" borderId="117" xfId="0" applyFont="1" applyBorder="1" applyAlignment="1">
      <alignment horizontal="left" vertical="center"/>
    </xf>
    <xf numFmtId="0" fontId="18" fillId="0" borderId="118" xfId="0" applyFont="1" applyBorder="1" applyAlignment="1">
      <alignment horizontal="left" vertical="center"/>
    </xf>
    <xf numFmtId="0" fontId="18" fillId="0" borderId="19" xfId="0" applyFont="1" applyBorder="1" applyAlignment="1" applyProtection="1">
      <alignment vertical="center"/>
      <protection locked="0"/>
    </xf>
    <xf numFmtId="0" fontId="18" fillId="0" borderId="0" xfId="0" applyFont="1" applyAlignment="1" applyProtection="1">
      <alignment vertical="center"/>
      <protection locked="0"/>
    </xf>
    <xf numFmtId="0" fontId="18" fillId="0" borderId="30" xfId="0" applyFont="1" applyBorder="1" applyAlignment="1">
      <alignment horizontal="center"/>
    </xf>
    <xf numFmtId="0" fontId="18" fillId="0" borderId="31" xfId="0" applyFont="1" applyBorder="1" applyAlignment="1">
      <alignment horizontal="center"/>
    </xf>
    <xf numFmtId="0" fontId="19" fillId="0" borderId="22" xfId="0" applyFont="1" applyBorder="1" applyAlignment="1">
      <alignment horizontal="left" vertical="center"/>
    </xf>
    <xf numFmtId="0" fontId="19" fillId="0" borderId="7" xfId="0" applyFont="1" applyBorder="1" applyAlignment="1">
      <alignment horizontal="left" vertical="center"/>
    </xf>
    <xf numFmtId="0" fontId="18" fillId="0" borderId="22" xfId="0" applyFont="1" applyBorder="1" applyAlignment="1">
      <alignment horizontal="left" vertical="center"/>
    </xf>
    <xf numFmtId="0" fontId="18" fillId="0" borderId="7" xfId="0" applyFont="1" applyBorder="1" applyAlignment="1">
      <alignment horizontal="left" vertical="center"/>
    </xf>
    <xf numFmtId="0" fontId="18" fillId="0" borderId="117" xfId="0" applyFont="1" applyBorder="1" applyAlignment="1" applyProtection="1">
      <alignment horizontal="left" vertical="center"/>
      <protection hidden="1"/>
    </xf>
    <xf numFmtId="0" fontId="18" fillId="0" borderId="118" xfId="0" applyFont="1" applyBorder="1" applyAlignment="1" applyProtection="1">
      <alignment horizontal="left" vertical="center"/>
      <protection hidden="1"/>
    </xf>
    <xf numFmtId="0" fontId="19" fillId="0" borderId="8" xfId="0" applyFont="1" applyBorder="1" applyAlignment="1">
      <alignment horizontal="left" vertical="center"/>
    </xf>
    <xf numFmtId="49" fontId="18" fillId="0" borderId="22" xfId="0" applyNumberFormat="1" applyFont="1" applyBorder="1" applyAlignment="1">
      <alignment horizontal="left" vertical="center"/>
    </xf>
    <xf numFmtId="49" fontId="18" fillId="0" borderId="7" xfId="0" applyNumberFormat="1" applyFont="1" applyBorder="1" applyAlignment="1">
      <alignment horizontal="left" vertical="center"/>
    </xf>
    <xf numFmtId="0" fontId="19" fillId="0" borderId="12" xfId="0" applyFont="1" applyBorder="1" applyAlignment="1">
      <alignment horizontal="left" vertical="center"/>
    </xf>
    <xf numFmtId="0" fontId="18" fillId="0" borderId="54" xfId="0" applyFont="1" applyBorder="1" applyAlignment="1">
      <alignment horizontal="left" vertical="center"/>
    </xf>
    <xf numFmtId="0" fontId="19" fillId="0" borderId="57" xfId="0" applyFont="1" applyBorder="1" applyAlignment="1">
      <alignment horizontal="left" vertical="center"/>
    </xf>
    <xf numFmtId="0" fontId="19" fillId="0" borderId="122" xfId="0" applyFont="1" applyBorder="1" applyAlignment="1">
      <alignment horizontal="left" vertical="center"/>
    </xf>
    <xf numFmtId="0" fontId="19" fillId="0" borderId="31" xfId="0" applyFont="1" applyBorder="1" applyAlignment="1">
      <alignment horizontal="left" vertical="center"/>
    </xf>
    <xf numFmtId="0" fontId="19" fillId="0" borderId="66" xfId="0" applyFont="1" applyBorder="1" applyAlignment="1">
      <alignment horizontal="left" vertical="center"/>
    </xf>
    <xf numFmtId="0" fontId="19" fillId="0" borderId="79" xfId="0" applyFont="1" applyBorder="1" applyAlignment="1">
      <alignment horizontal="left" vertical="center"/>
    </xf>
    <xf numFmtId="0" fontId="19" fillId="0" borderId="9" xfId="0" applyFont="1" applyBorder="1" applyAlignment="1">
      <alignment horizontal="left" vertical="center"/>
    </xf>
    <xf numFmtId="0" fontId="18" fillId="0" borderId="71" xfId="0" applyFont="1" applyBorder="1" applyAlignment="1">
      <alignment horizontal="left" vertical="center"/>
    </xf>
    <xf numFmtId="0" fontId="9" fillId="5" borderId="0" xfId="0" applyFont="1" applyFill="1" applyAlignment="1" applyProtection="1">
      <alignment horizontal="center" vertical="center"/>
      <protection locked="0"/>
    </xf>
    <xf numFmtId="0" fontId="9" fillId="0" borderId="0" xfId="0" applyFont="1" applyAlignment="1">
      <alignment horizontal="center" vertical="center"/>
    </xf>
    <xf numFmtId="0" fontId="91" fillId="30" borderId="0" xfId="0" applyFont="1" applyFill="1" applyAlignment="1">
      <alignment horizontal="left" vertical="center" wrapText="1"/>
    </xf>
    <xf numFmtId="0" fontId="84" fillId="4" borderId="0" xfId="0" applyFont="1" applyFill="1" applyAlignment="1">
      <alignment horizontal="center" vertical="center"/>
    </xf>
    <xf numFmtId="0" fontId="71" fillId="4" borderId="0" xfId="0" applyFont="1" applyFill="1" applyAlignment="1">
      <alignment horizontal="center" vertical="center"/>
    </xf>
    <xf numFmtId="0" fontId="7" fillId="5" borderId="0" xfId="0" applyFont="1" applyFill="1" applyAlignment="1">
      <alignment horizontal="center" vertical="center" wrapText="1"/>
    </xf>
    <xf numFmtId="0" fontId="0" fillId="0" borderId="0" xfId="0"/>
    <xf numFmtId="0" fontId="9" fillId="12" borderId="0" xfId="0" applyFont="1" applyFill="1" applyAlignment="1">
      <alignment horizontal="center" vertical="center"/>
    </xf>
    <xf numFmtId="0" fontId="18" fillId="0" borderId="8" xfId="0" applyFont="1" applyBorder="1" applyAlignment="1">
      <alignment horizontal="left" vertical="center"/>
    </xf>
    <xf numFmtId="0" fontId="96" fillId="0" borderId="0" xfId="0" applyFont="1" applyAlignment="1">
      <alignment horizontal="center"/>
    </xf>
    <xf numFmtId="0" fontId="97" fillId="0" borderId="0" xfId="0" applyFont="1" applyAlignment="1">
      <alignment horizontal="center"/>
    </xf>
    <xf numFmtId="0" fontId="18" fillId="0" borderId="0" xfId="0" applyFont="1" applyAlignment="1">
      <alignment horizontal="right" vertical="center"/>
    </xf>
    <xf numFmtId="0" fontId="9" fillId="11" borderId="31" xfId="0" applyFont="1" applyFill="1" applyBorder="1" applyAlignment="1" applyProtection="1">
      <alignment horizontal="left"/>
      <protection locked="0"/>
    </xf>
    <xf numFmtId="0" fontId="9" fillId="0" borderId="0" xfId="0" applyFont="1" applyAlignment="1">
      <alignment horizontal="left"/>
    </xf>
    <xf numFmtId="0" fontId="19" fillId="0" borderId="57" xfId="0" applyFont="1" applyBorder="1" applyAlignment="1">
      <alignment horizontal="left"/>
    </xf>
    <xf numFmtId="0" fontId="19" fillId="0" borderId="12" xfId="0" applyFont="1" applyBorder="1" applyAlignment="1">
      <alignment horizontal="left"/>
    </xf>
    <xf numFmtId="0" fontId="19" fillId="0" borderId="31" xfId="0" applyFont="1" applyBorder="1" applyAlignment="1">
      <alignment horizontal="left"/>
    </xf>
    <xf numFmtId="0" fontId="19" fillId="0" borderId="8" xfId="0" applyFont="1" applyBorder="1" applyAlignment="1">
      <alignment horizontal="left"/>
    </xf>
    <xf numFmtId="0" fontId="9" fillId="5" borderId="0" xfId="0" applyFont="1" applyFill="1" applyAlignment="1">
      <alignment horizontal="center" vertical="center"/>
    </xf>
    <xf numFmtId="0" fontId="9" fillId="5" borderId="0" xfId="0" applyFont="1" applyFill="1" applyAlignment="1" applyProtection="1">
      <alignment horizontal="center" vertical="center"/>
      <protection hidden="1"/>
    </xf>
    <xf numFmtId="0" fontId="28" fillId="0" borderId="0" xfId="0" applyFont="1" applyAlignment="1">
      <alignment horizontal="center"/>
    </xf>
    <xf numFmtId="0" fontId="59" fillId="0" borderId="0" xfId="0" applyFont="1" applyAlignment="1">
      <alignment horizontal="center" vertical="center" wrapText="1"/>
    </xf>
    <xf numFmtId="0" fontId="58" fillId="0" borderId="0" xfId="0" applyFont="1" applyAlignment="1">
      <alignment horizontal="right" vertical="center"/>
    </xf>
    <xf numFmtId="0" fontId="18" fillId="0" borderId="0" xfId="0" applyFont="1" applyAlignment="1">
      <alignment horizontal="left"/>
    </xf>
    <xf numFmtId="0" fontId="60" fillId="0" borderId="0" xfId="0" applyFont="1" applyAlignment="1">
      <alignment horizontal="center" vertical="center" wrapText="1"/>
    </xf>
    <xf numFmtId="0" fontId="18" fillId="9" borderId="116" xfId="0" applyFont="1" applyFill="1" applyBorder="1" applyAlignment="1">
      <alignment horizontal="center" vertical="center"/>
    </xf>
    <xf numFmtId="0" fontId="18" fillId="9" borderId="117" xfId="0" applyFont="1" applyFill="1" applyBorder="1" applyAlignment="1">
      <alignment horizontal="center" vertical="center"/>
    </xf>
    <xf numFmtId="0" fontId="19" fillId="0" borderId="116" xfId="0" applyFont="1" applyBorder="1" applyAlignment="1">
      <alignment horizontal="left" vertical="center"/>
    </xf>
    <xf numFmtId="0" fontId="9" fillId="11" borderId="132" xfId="0" applyFont="1" applyFill="1" applyBorder="1" applyAlignment="1" applyProtection="1">
      <alignment horizontal="left" vertical="center"/>
      <protection locked="0"/>
    </xf>
    <xf numFmtId="3" fontId="19" fillId="0" borderId="33" xfId="0" applyNumberFormat="1" applyFont="1" applyBorder="1" applyAlignment="1" applyProtection="1">
      <alignment horizontal="center" vertical="center"/>
      <protection hidden="1"/>
    </xf>
    <xf numFmtId="3" fontId="19" fillId="0" borderId="10" xfId="0" applyNumberFormat="1" applyFont="1" applyBorder="1" applyAlignment="1" applyProtection="1">
      <alignment horizontal="center" vertical="center"/>
      <protection hidden="1"/>
    </xf>
    <xf numFmtId="3" fontId="19" fillId="11" borderId="14" xfId="0" applyNumberFormat="1" applyFont="1" applyFill="1" applyBorder="1" applyAlignment="1" applyProtection="1">
      <alignment horizontal="center" vertical="center"/>
      <protection locked="0"/>
    </xf>
    <xf numFmtId="164" fontId="19" fillId="11" borderId="33" xfId="0" applyNumberFormat="1" applyFont="1" applyFill="1" applyBorder="1" applyAlignment="1" applyProtection="1">
      <alignment horizontal="center" vertical="center"/>
      <protection locked="0"/>
    </xf>
    <xf numFmtId="164" fontId="19" fillId="11" borderId="12" xfId="0" applyNumberFormat="1" applyFont="1" applyFill="1" applyBorder="1" applyAlignment="1" applyProtection="1">
      <alignment horizontal="center" vertical="center"/>
      <protection locked="0"/>
    </xf>
    <xf numFmtId="3" fontId="18" fillId="0" borderId="14" xfId="0" applyNumberFormat="1" applyFont="1" applyBorder="1" applyAlignment="1" applyProtection="1">
      <alignment horizontal="center" vertical="center"/>
      <protection hidden="1"/>
    </xf>
    <xf numFmtId="0" fontId="19" fillId="0" borderId="33" xfId="0" applyFont="1" applyBorder="1" applyAlignment="1">
      <alignment horizontal="left"/>
    </xf>
    <xf numFmtId="0" fontId="19" fillId="0" borderId="10" xfId="0" applyFont="1" applyBorder="1" applyAlignment="1">
      <alignment horizontal="left"/>
    </xf>
    <xf numFmtId="0" fontId="18" fillId="0" borderId="33" xfId="0" applyFont="1" applyBorder="1" applyAlignment="1">
      <alignment horizontal="left" vertical="center"/>
    </xf>
    <xf numFmtId="0" fontId="18" fillId="0" borderId="12" xfId="0" applyFont="1" applyBorder="1" applyAlignment="1">
      <alignment horizontal="left" vertical="center"/>
    </xf>
    <xf numFmtId="0" fontId="18" fillId="0" borderId="10" xfId="0" applyFont="1" applyBorder="1" applyAlignment="1">
      <alignment horizontal="left" vertical="center"/>
    </xf>
    <xf numFmtId="0" fontId="18" fillId="0" borderId="0" xfId="0" applyFont="1" applyAlignment="1">
      <alignment horizontal="right" vertical="center" indent="1"/>
    </xf>
    <xf numFmtId="0" fontId="18" fillId="0" borderId="29" xfId="0" applyFont="1" applyBorder="1" applyAlignment="1">
      <alignment horizontal="right" vertical="center" indent="1"/>
    </xf>
    <xf numFmtId="0" fontId="19" fillId="0" borderId="33" xfId="0" applyFont="1" applyBorder="1" applyAlignment="1">
      <alignment horizontal="left" vertical="center"/>
    </xf>
    <xf numFmtId="0" fontId="19" fillId="0" borderId="10" xfId="0" applyFont="1" applyBorder="1" applyAlignment="1">
      <alignment horizontal="left" vertical="center"/>
    </xf>
    <xf numFmtId="0" fontId="19" fillId="11" borderId="33" xfId="0" applyFont="1" applyFill="1" applyBorder="1" applyAlignment="1" applyProtection="1">
      <alignment horizontal="left"/>
      <protection locked="0"/>
    </xf>
    <xf numFmtId="0" fontId="19" fillId="11" borderId="12" xfId="0" applyFont="1" applyFill="1" applyBorder="1" applyAlignment="1" applyProtection="1">
      <alignment horizontal="left"/>
      <protection locked="0"/>
    </xf>
    <xf numFmtId="0" fontId="19" fillId="11" borderId="10" xfId="0" applyFont="1" applyFill="1" applyBorder="1" applyAlignment="1" applyProtection="1">
      <alignment horizontal="left"/>
      <protection locked="0"/>
    </xf>
    <xf numFmtId="3" fontId="19" fillId="11" borderId="33" xfId="0" applyNumberFormat="1" applyFont="1" applyFill="1" applyBorder="1" applyAlignment="1" applyProtection="1">
      <alignment horizontal="center" vertical="center"/>
      <protection locked="0"/>
    </xf>
    <xf numFmtId="3" fontId="19" fillId="11" borderId="10" xfId="0" applyNumberFormat="1" applyFont="1" applyFill="1" applyBorder="1" applyAlignment="1" applyProtection="1">
      <alignment horizontal="center" vertical="center"/>
      <protection locked="0"/>
    </xf>
    <xf numFmtId="3" fontId="19" fillId="0" borderId="12" xfId="0" applyNumberFormat="1" applyFont="1" applyBorder="1" applyAlignment="1" applyProtection="1">
      <alignment horizontal="center" vertical="center"/>
      <protection hidden="1"/>
    </xf>
    <xf numFmtId="0" fontId="91" fillId="30" borderId="27" xfId="0" applyFont="1" applyFill="1" applyBorder="1" applyAlignment="1" applyProtection="1">
      <alignment horizontal="center"/>
      <protection hidden="1"/>
    </xf>
    <xf numFmtId="0" fontId="91" fillId="30" borderId="13" xfId="0" applyFont="1" applyFill="1" applyBorder="1" applyAlignment="1" applyProtection="1">
      <alignment horizontal="center"/>
      <protection hidden="1"/>
    </xf>
    <xf numFmtId="0" fontId="18" fillId="0" borderId="30" xfId="0" applyFont="1" applyBorder="1" applyAlignment="1">
      <alignment horizontal="left" vertical="center"/>
    </xf>
    <xf numFmtId="0" fontId="18" fillId="0" borderId="32" xfId="0" applyFont="1" applyBorder="1" applyAlignment="1">
      <alignment horizontal="left" vertical="center"/>
    </xf>
    <xf numFmtId="0" fontId="19" fillId="11" borderId="14" xfId="0" applyFont="1" applyFill="1" applyBorder="1" applyAlignment="1" applyProtection="1">
      <alignment horizontal="left" vertical="center"/>
      <protection locked="0"/>
    </xf>
    <xf numFmtId="3" fontId="10" fillId="0" borderId="19" xfId="0" applyNumberFormat="1" applyFont="1" applyBorder="1" applyAlignment="1">
      <alignment horizontal="center" vertical="center"/>
    </xf>
    <xf numFmtId="3" fontId="10" fillId="0" borderId="29" xfId="0" applyNumberFormat="1" applyFont="1" applyBorder="1" applyAlignment="1">
      <alignment horizontal="center" vertical="center"/>
    </xf>
    <xf numFmtId="0" fontId="18" fillId="9" borderId="33" xfId="0" applyFont="1" applyFill="1" applyBorder="1" applyAlignment="1">
      <alignment horizontal="center" vertical="center"/>
    </xf>
    <xf numFmtId="0" fontId="18" fillId="9" borderId="10" xfId="0" applyFont="1" applyFill="1" applyBorder="1" applyAlignment="1">
      <alignment horizontal="center" vertical="center"/>
    </xf>
    <xf numFmtId="0" fontId="10" fillId="0" borderId="27" xfId="0" applyFont="1" applyBorder="1" applyAlignment="1">
      <alignment horizontal="center" vertical="center"/>
    </xf>
    <xf numFmtId="0" fontId="10" fillId="0" borderId="28" xfId="0" applyFont="1" applyBorder="1" applyAlignment="1">
      <alignment horizontal="center" vertical="center"/>
    </xf>
    <xf numFmtId="3" fontId="18" fillId="0" borderId="14" xfId="0" applyNumberFormat="1" applyFont="1" applyBorder="1" applyAlignment="1" applyProtection="1">
      <alignment horizontal="left" vertical="center"/>
      <protection hidden="1"/>
    </xf>
    <xf numFmtId="3" fontId="19" fillId="3" borderId="33" xfId="0" applyNumberFormat="1" applyFont="1" applyFill="1" applyBorder="1" applyAlignment="1" applyProtection="1">
      <alignment horizontal="center"/>
      <protection hidden="1"/>
    </xf>
    <xf numFmtId="3" fontId="19" fillId="3" borderId="10" xfId="0" applyNumberFormat="1" applyFont="1" applyFill="1" applyBorder="1" applyAlignment="1" applyProtection="1">
      <alignment horizontal="center"/>
      <protection hidden="1"/>
    </xf>
    <xf numFmtId="3" fontId="19" fillId="0" borderId="33" xfId="0" applyNumberFormat="1" applyFont="1" applyBorder="1" applyAlignment="1" applyProtection="1">
      <alignment horizontal="center"/>
      <protection hidden="1"/>
    </xf>
    <xf numFmtId="3" fontId="19" fillId="0" borderId="10" xfId="0" applyNumberFormat="1" applyFont="1" applyBorder="1" applyAlignment="1" applyProtection="1">
      <alignment horizontal="center"/>
      <protection hidden="1"/>
    </xf>
    <xf numFmtId="49" fontId="19" fillId="11" borderId="33" xfId="0" applyNumberFormat="1" applyFont="1" applyFill="1" applyBorder="1" applyAlignment="1" applyProtection="1">
      <alignment horizontal="left" vertical="center"/>
      <protection locked="0"/>
    </xf>
    <xf numFmtId="49" fontId="19" fillId="11" borderId="12" xfId="0" applyNumberFormat="1" applyFont="1" applyFill="1" applyBorder="1" applyAlignment="1" applyProtection="1">
      <alignment horizontal="left" vertical="center"/>
      <protection locked="0"/>
    </xf>
    <xf numFmtId="49" fontId="19" fillId="11" borderId="10" xfId="0" applyNumberFormat="1" applyFont="1" applyFill="1" applyBorder="1" applyAlignment="1" applyProtection="1">
      <alignment horizontal="left" vertical="center"/>
      <protection locked="0"/>
    </xf>
    <xf numFmtId="49" fontId="19" fillId="11" borderId="33" xfId="0" applyNumberFormat="1" applyFont="1" applyFill="1" applyBorder="1" applyAlignment="1" applyProtection="1">
      <alignment horizontal="left"/>
      <protection locked="0"/>
    </xf>
    <xf numFmtId="49" fontId="19" fillId="11" borderId="12" xfId="0" applyNumberFormat="1" applyFont="1" applyFill="1" applyBorder="1" applyAlignment="1" applyProtection="1">
      <alignment horizontal="left"/>
      <protection locked="0"/>
    </xf>
    <xf numFmtId="49" fontId="19" fillId="11" borderId="10" xfId="0" applyNumberFormat="1" applyFont="1" applyFill="1" applyBorder="1" applyAlignment="1" applyProtection="1">
      <alignment horizontal="left"/>
      <protection locked="0"/>
    </xf>
    <xf numFmtId="0" fontId="18" fillId="0" borderId="28" xfId="0" applyFont="1" applyBorder="1" applyAlignment="1">
      <alignment horizontal="right" indent="1"/>
    </xf>
    <xf numFmtId="0" fontId="18" fillId="0" borderId="13" xfId="0" applyFont="1" applyBorder="1" applyAlignment="1">
      <alignment horizontal="right" indent="1"/>
    </xf>
    <xf numFmtId="167" fontId="9" fillId="0" borderId="33" xfId="0" applyNumberFormat="1" applyFont="1" applyBorder="1" applyAlignment="1" applyProtection="1">
      <alignment horizontal="center"/>
      <protection hidden="1"/>
    </xf>
    <xf numFmtId="167" fontId="9" fillId="0" borderId="10" xfId="0" applyNumberFormat="1" applyFont="1" applyBorder="1" applyAlignment="1" applyProtection="1">
      <alignment horizontal="center"/>
      <protection hidden="1"/>
    </xf>
    <xf numFmtId="1" fontId="102" fillId="30" borderId="31" xfId="0" applyNumberFormat="1" applyFont="1" applyFill="1" applyBorder="1" applyAlignment="1" applyProtection="1">
      <alignment horizontal="center"/>
      <protection hidden="1"/>
    </xf>
    <xf numFmtId="1" fontId="102" fillId="30" borderId="32" xfId="0" applyNumberFormat="1" applyFont="1" applyFill="1" applyBorder="1" applyAlignment="1" applyProtection="1">
      <alignment horizontal="center"/>
      <protection hidden="1"/>
    </xf>
    <xf numFmtId="3" fontId="18" fillId="7" borderId="33" xfId="0" applyNumberFormat="1" applyFont="1" applyFill="1" applyBorder="1" applyAlignment="1" applyProtection="1">
      <alignment horizontal="center" vertical="center"/>
      <protection hidden="1"/>
    </xf>
    <xf numFmtId="3" fontId="18" fillId="7" borderId="12" xfId="0" applyNumberFormat="1" applyFont="1" applyFill="1" applyBorder="1" applyAlignment="1" applyProtection="1">
      <alignment horizontal="center" vertical="center"/>
      <protection hidden="1"/>
    </xf>
    <xf numFmtId="0" fontId="104" fillId="30" borderId="27" xfId="0" applyFont="1" applyFill="1" applyBorder="1" applyAlignment="1" applyProtection="1">
      <alignment horizontal="center" vertical="center"/>
      <protection hidden="1"/>
    </xf>
    <xf numFmtId="0" fontId="104" fillId="30" borderId="28" xfId="0" applyFont="1" applyFill="1" applyBorder="1" applyAlignment="1">
      <alignment horizontal="center" vertical="center"/>
    </xf>
    <xf numFmtId="0" fontId="104" fillId="30" borderId="13" xfId="0" applyFont="1" applyFill="1" applyBorder="1" applyAlignment="1">
      <alignment horizontal="center" vertical="center"/>
    </xf>
    <xf numFmtId="0" fontId="104" fillId="30" borderId="30" xfId="0" applyFont="1" applyFill="1" applyBorder="1" applyAlignment="1">
      <alignment horizontal="center" vertical="center"/>
    </xf>
    <xf numFmtId="0" fontId="104" fillId="30" borderId="31" xfId="0" applyFont="1" applyFill="1" applyBorder="1" applyAlignment="1">
      <alignment horizontal="center" vertical="center"/>
    </xf>
    <xf numFmtId="0" fontId="104" fillId="30" borderId="32" xfId="0" applyFont="1" applyFill="1" applyBorder="1" applyAlignment="1">
      <alignment horizontal="center" vertical="center"/>
    </xf>
    <xf numFmtId="0" fontId="18" fillId="0" borderId="33" xfId="0" applyFont="1" applyBorder="1" applyAlignment="1">
      <alignment horizontal="left"/>
    </xf>
    <xf numFmtId="0" fontId="18" fillId="0" borderId="10" xfId="0" applyFont="1" applyBorder="1" applyAlignment="1">
      <alignment horizontal="left"/>
    </xf>
    <xf numFmtId="3" fontId="18" fillId="0" borderId="33" xfId="0" applyNumberFormat="1" applyFont="1" applyBorder="1" applyAlignment="1" applyProtection="1">
      <alignment horizontal="center" vertical="center"/>
      <protection hidden="1"/>
    </xf>
    <xf numFmtId="3" fontId="18" fillId="0" borderId="10" xfId="0" applyNumberFormat="1" applyFont="1" applyBorder="1" applyAlignment="1" applyProtection="1">
      <alignment horizontal="center" vertical="center"/>
      <protection hidden="1"/>
    </xf>
    <xf numFmtId="0" fontId="18" fillId="5" borderId="0" xfId="0" applyFont="1" applyFill="1" applyAlignment="1">
      <alignment horizontal="center" vertical="center"/>
    </xf>
    <xf numFmtId="9" fontId="19" fillId="11" borderId="14" xfId="2" applyFont="1" applyFill="1" applyBorder="1" applyAlignment="1" applyProtection="1">
      <alignment horizontal="center" vertical="center"/>
      <protection locked="0"/>
    </xf>
    <xf numFmtId="3" fontId="19" fillId="3" borderId="33" xfId="0" applyNumberFormat="1" applyFont="1" applyFill="1" applyBorder="1" applyAlignment="1" applyProtection="1">
      <alignment horizontal="center" vertical="center"/>
      <protection hidden="1"/>
    </xf>
    <xf numFmtId="3" fontId="19" fillId="3" borderId="10" xfId="0" applyNumberFormat="1" applyFont="1" applyFill="1" applyBorder="1" applyAlignment="1" applyProtection="1">
      <alignment horizontal="center" vertical="center"/>
      <protection hidden="1"/>
    </xf>
    <xf numFmtId="1" fontId="91" fillId="30" borderId="14" xfId="0" applyNumberFormat="1" applyFont="1" applyFill="1" applyBorder="1" applyAlignment="1" applyProtection="1">
      <alignment horizontal="center" vertical="center"/>
      <protection hidden="1"/>
    </xf>
    <xf numFmtId="3" fontId="19" fillId="0" borderId="33" xfId="0" applyNumberFormat="1" applyFont="1" applyBorder="1" applyAlignment="1">
      <alignment horizontal="center" vertical="center"/>
    </xf>
    <xf numFmtId="3" fontId="19" fillId="0" borderId="10" xfId="0" applyNumberFormat="1" applyFont="1" applyBorder="1" applyAlignment="1">
      <alignment horizontal="center" vertical="center"/>
    </xf>
    <xf numFmtId="3" fontId="18" fillId="0" borderId="12" xfId="0" applyNumberFormat="1" applyFont="1" applyBorder="1" applyAlignment="1" applyProtection="1">
      <alignment horizontal="center" vertical="center"/>
      <protection hidden="1"/>
    </xf>
    <xf numFmtId="164" fontId="19" fillId="0" borderId="33" xfId="0" applyNumberFormat="1" applyFont="1" applyBorder="1" applyAlignment="1">
      <alignment horizontal="center" vertical="center"/>
    </xf>
    <xf numFmtId="164" fontId="19" fillId="0" borderId="10" xfId="0" applyNumberFormat="1" applyFont="1" applyBorder="1" applyAlignment="1">
      <alignment horizontal="center" vertical="center"/>
    </xf>
    <xf numFmtId="0" fontId="19" fillId="0" borderId="0" xfId="0" applyFont="1"/>
    <xf numFmtId="0" fontId="19" fillId="0" borderId="0" xfId="0" applyFont="1" applyAlignment="1">
      <alignment horizontal="left"/>
    </xf>
    <xf numFmtId="3" fontId="10" fillId="0" borderId="33" xfId="0" applyNumberFormat="1" applyFont="1" applyBorder="1" applyAlignment="1">
      <alignment horizontal="center" vertical="center"/>
    </xf>
    <xf numFmtId="3" fontId="10" fillId="0" borderId="10" xfId="0" applyNumberFormat="1" applyFont="1" applyBorder="1" applyAlignment="1">
      <alignment horizontal="center" vertical="center"/>
    </xf>
    <xf numFmtId="3" fontId="18" fillId="7" borderId="10" xfId="0" applyNumberFormat="1" applyFont="1" applyFill="1" applyBorder="1" applyAlignment="1" applyProtection="1">
      <alignment horizontal="center" vertical="center"/>
      <protection hidden="1"/>
    </xf>
    <xf numFmtId="0" fontId="19" fillId="0" borderId="0" xfId="0" applyFont="1" applyAlignment="1" applyProtection="1">
      <alignment horizontal="right" vertical="center" indent="1"/>
      <protection hidden="1"/>
    </xf>
    <xf numFmtId="49" fontId="19" fillId="0" borderId="33" xfId="0" applyNumberFormat="1" applyFont="1" applyBorder="1" applyAlignment="1" applyProtection="1">
      <alignment horizontal="left" vertical="center"/>
      <protection hidden="1"/>
    </xf>
    <xf numFmtId="49" fontId="19" fillId="0" borderId="12" xfId="0" applyNumberFormat="1" applyFont="1" applyBorder="1" applyAlignment="1" applyProtection="1">
      <alignment horizontal="left" vertical="center"/>
      <protection hidden="1"/>
    </xf>
    <xf numFmtId="49" fontId="19" fillId="0" borderId="10" xfId="0" applyNumberFormat="1" applyFont="1" applyBorder="1" applyAlignment="1" applyProtection="1">
      <alignment horizontal="left" vertical="center"/>
      <protection hidden="1"/>
    </xf>
    <xf numFmtId="1" fontId="102" fillId="30" borderId="30" xfId="0" applyNumberFormat="1" applyFont="1" applyFill="1" applyBorder="1" applyAlignment="1" applyProtection="1">
      <alignment horizontal="center"/>
      <protection hidden="1"/>
    </xf>
    <xf numFmtId="0" fontId="96" fillId="0" borderId="0" xfId="0" applyFont="1" applyAlignment="1">
      <alignment horizontal="center" vertical="center"/>
    </xf>
    <xf numFmtId="0" fontId="18" fillId="0" borderId="27" xfId="0" applyFont="1" applyBorder="1" applyAlignment="1">
      <alignment horizontal="right"/>
    </xf>
    <xf numFmtId="0" fontId="18" fillId="0" borderId="28" xfId="0" applyFont="1" applyBorder="1" applyAlignment="1">
      <alignment horizontal="right"/>
    </xf>
    <xf numFmtId="0" fontId="10" fillId="0" borderId="0" xfId="0" applyFont="1" applyAlignment="1">
      <alignment horizontal="right" vertical="center"/>
    </xf>
    <xf numFmtId="0" fontId="18" fillId="9" borderId="116" xfId="0" applyFont="1" applyFill="1" applyBorder="1" applyAlignment="1">
      <alignment horizontal="left" vertical="center"/>
    </xf>
    <xf numFmtId="0" fontId="18" fillId="9" borderId="117" xfId="0" applyFont="1" applyFill="1" applyBorder="1" applyAlignment="1">
      <alignment horizontal="left" vertical="center"/>
    </xf>
    <xf numFmtId="0" fontId="18" fillId="9" borderId="118" xfId="0" applyFont="1" applyFill="1" applyBorder="1" applyAlignment="1">
      <alignment horizontal="left" vertical="center"/>
    </xf>
    <xf numFmtId="0" fontId="9" fillId="0" borderId="132" xfId="0" applyFont="1" applyBorder="1" applyAlignment="1">
      <alignment horizontal="left" vertical="center"/>
    </xf>
    <xf numFmtId="0" fontId="19" fillId="11" borderId="27" xfId="0" applyFont="1" applyFill="1" applyBorder="1" applyAlignment="1" applyProtection="1">
      <alignment vertical="center" wrapText="1"/>
      <protection locked="0"/>
    </xf>
    <xf numFmtId="0" fontId="19" fillId="11" borderId="28" xfId="0" applyFont="1" applyFill="1" applyBorder="1" applyAlignment="1" applyProtection="1">
      <alignment vertical="center" wrapText="1"/>
      <protection locked="0"/>
    </xf>
    <xf numFmtId="0" fontId="19" fillId="11" borderId="13" xfId="0" applyFont="1" applyFill="1" applyBorder="1" applyAlignment="1" applyProtection="1">
      <alignment vertical="center" wrapText="1"/>
      <protection locked="0"/>
    </xf>
    <xf numFmtId="0" fontId="19" fillId="11" borderId="30" xfId="0" applyFont="1" applyFill="1" applyBorder="1" applyAlignment="1" applyProtection="1">
      <alignment vertical="center" wrapText="1"/>
      <protection locked="0"/>
    </xf>
    <xf numFmtId="0" fontId="19" fillId="11" borderId="31" xfId="0" applyFont="1" applyFill="1" applyBorder="1" applyAlignment="1" applyProtection="1">
      <alignment vertical="center" wrapText="1"/>
      <protection locked="0"/>
    </xf>
    <xf numFmtId="0" fontId="19" fillId="11" borderId="32" xfId="0" applyFont="1" applyFill="1" applyBorder="1" applyAlignment="1" applyProtection="1">
      <alignment vertical="center" wrapText="1"/>
      <protection locked="0"/>
    </xf>
    <xf numFmtId="0" fontId="12" fillId="0" borderId="0" xfId="0" applyFont="1" applyAlignment="1">
      <alignment horizontal="left"/>
    </xf>
    <xf numFmtId="0" fontId="10" fillId="0" borderId="0" xfId="0" applyFont="1" applyAlignment="1">
      <alignment wrapText="1"/>
    </xf>
    <xf numFmtId="0" fontId="19" fillId="11" borderId="27" xfId="0" applyFont="1" applyFill="1" applyBorder="1" applyAlignment="1" applyProtection="1">
      <alignment horizontal="center" vertical="center"/>
      <protection locked="0"/>
    </xf>
    <xf numFmtId="0" fontId="19" fillId="11" borderId="13" xfId="0" applyFont="1" applyFill="1" applyBorder="1" applyAlignment="1" applyProtection="1">
      <alignment horizontal="center" vertical="center"/>
      <protection locked="0"/>
    </xf>
    <xf numFmtId="0" fontId="19" fillId="11" borderId="30" xfId="0" applyFont="1" applyFill="1" applyBorder="1" applyAlignment="1" applyProtection="1">
      <alignment horizontal="center" vertical="center"/>
      <protection locked="0"/>
    </xf>
    <xf numFmtId="0" fontId="19" fillId="11" borderId="32" xfId="0" applyFont="1" applyFill="1" applyBorder="1" applyAlignment="1" applyProtection="1">
      <alignment horizontal="center" vertical="center"/>
      <protection locked="0"/>
    </xf>
    <xf numFmtId="0" fontId="12" fillId="0" borderId="31" xfId="1" applyFont="1" applyBorder="1" applyAlignment="1" applyProtection="1">
      <alignment horizontal="center" wrapText="1"/>
      <protection hidden="1"/>
    </xf>
    <xf numFmtId="0" fontId="19" fillId="0" borderId="27" xfId="0" applyFont="1" applyBorder="1" applyAlignment="1" applyProtection="1">
      <alignment horizontal="left" vertical="center" wrapText="1" indent="1"/>
      <protection hidden="1"/>
    </xf>
    <xf numFmtId="0" fontId="19" fillId="0" borderId="28" xfId="0" applyFont="1" applyBorder="1" applyAlignment="1" applyProtection="1">
      <alignment horizontal="left" vertical="center" wrapText="1" indent="1"/>
      <protection hidden="1"/>
    </xf>
    <xf numFmtId="0" fontId="19" fillId="0" borderId="30" xfId="0" applyFont="1" applyBorder="1" applyAlignment="1" applyProtection="1">
      <alignment horizontal="left" vertical="center" wrapText="1" indent="1"/>
      <protection hidden="1"/>
    </xf>
    <xf numFmtId="0" fontId="19" fillId="0" borderId="31" xfId="0" applyFont="1" applyBorder="1" applyAlignment="1" applyProtection="1">
      <alignment horizontal="left" vertical="center" wrapText="1" indent="1"/>
      <protection hidden="1"/>
    </xf>
    <xf numFmtId="0" fontId="91" fillId="30" borderId="28" xfId="0" applyFont="1" applyFill="1" applyBorder="1" applyAlignment="1" applyProtection="1">
      <alignment horizontal="center"/>
      <protection hidden="1"/>
    </xf>
    <xf numFmtId="0" fontId="19" fillId="7" borderId="0" xfId="0" applyFont="1" applyFill="1" applyAlignment="1">
      <alignment horizontal="left" vertical="center"/>
    </xf>
    <xf numFmtId="0" fontId="19" fillId="7" borderId="29" xfId="0" applyFont="1" applyFill="1" applyBorder="1" applyAlignment="1">
      <alignment horizontal="left" vertical="center"/>
    </xf>
    <xf numFmtId="0" fontId="19" fillId="7" borderId="39" xfId="0" applyFont="1" applyFill="1" applyBorder="1" applyAlignment="1">
      <alignment horizontal="left" vertical="center"/>
    </xf>
    <xf numFmtId="0" fontId="9" fillId="0" borderId="31" xfId="0" applyFont="1" applyBorder="1" applyAlignment="1">
      <alignment horizontal="left"/>
    </xf>
    <xf numFmtId="1" fontId="102" fillId="30" borderId="30" xfId="0" applyNumberFormat="1" applyFont="1" applyFill="1" applyBorder="1" applyAlignment="1">
      <alignment horizontal="center"/>
    </xf>
    <xf numFmtId="1" fontId="102" fillId="30" borderId="32" xfId="0" applyNumberFormat="1" applyFont="1" applyFill="1" applyBorder="1" applyAlignment="1">
      <alignment horizontal="center"/>
    </xf>
    <xf numFmtId="3" fontId="19" fillId="0" borderId="14" xfId="0" applyNumberFormat="1" applyFont="1" applyBorder="1" applyAlignment="1">
      <alignment horizontal="center" vertical="center"/>
    </xf>
    <xf numFmtId="164" fontId="50" fillId="0" borderId="33" xfId="0" applyNumberFormat="1" applyFont="1" applyBorder="1" applyAlignment="1" applyProtection="1">
      <alignment horizontal="center" vertical="center"/>
      <protection hidden="1"/>
    </xf>
    <xf numFmtId="164" fontId="50" fillId="0" borderId="10" xfId="0" applyNumberFormat="1" applyFont="1" applyBorder="1" applyAlignment="1" applyProtection="1">
      <alignment horizontal="center" vertical="center"/>
      <protection hidden="1"/>
    </xf>
    <xf numFmtId="1" fontId="9" fillId="0" borderId="33" xfId="0" applyNumberFormat="1" applyFont="1" applyBorder="1" applyAlignment="1">
      <alignment horizontal="center"/>
    </xf>
    <xf numFmtId="1" fontId="9" fillId="0" borderId="10" xfId="0" applyNumberFormat="1" applyFont="1" applyBorder="1" applyAlignment="1">
      <alignment horizontal="center"/>
    </xf>
    <xf numFmtId="3" fontId="18" fillId="7" borderId="19" xfId="0" applyNumberFormat="1" applyFont="1" applyFill="1" applyBorder="1" applyAlignment="1" applyProtection="1">
      <alignment horizontal="center" vertical="center"/>
      <protection hidden="1"/>
    </xf>
    <xf numFmtId="3" fontId="18" fillId="7" borderId="0" xfId="0" applyNumberFormat="1" applyFont="1" applyFill="1" applyAlignment="1" applyProtection="1">
      <alignment horizontal="center" vertical="center"/>
      <protection hidden="1"/>
    </xf>
    <xf numFmtId="0" fontId="19" fillId="0" borderId="12" xfId="0" applyFont="1" applyBorder="1" applyAlignment="1" applyProtection="1">
      <alignment horizontal="left" vertical="center"/>
      <protection hidden="1"/>
    </xf>
    <xf numFmtId="0" fontId="19" fillId="0" borderId="10" xfId="0" applyFont="1" applyBorder="1" applyAlignment="1" applyProtection="1">
      <alignment horizontal="left" vertical="center"/>
      <protection hidden="1"/>
    </xf>
    <xf numFmtId="0" fontId="19" fillId="0" borderId="116" xfId="0" applyFont="1" applyBorder="1" applyAlignment="1" applyProtection="1">
      <alignment horizontal="left" vertical="center"/>
      <protection hidden="1"/>
    </xf>
    <xf numFmtId="0" fontId="19" fillId="0" borderId="117" xfId="0" applyFont="1" applyBorder="1" applyAlignment="1" applyProtection="1">
      <alignment horizontal="left" vertical="center"/>
      <protection hidden="1"/>
    </xf>
    <xf numFmtId="0" fontId="19" fillId="0" borderId="118" xfId="0" applyFont="1" applyBorder="1" applyAlignment="1" applyProtection="1">
      <alignment horizontal="left" vertical="center"/>
      <protection hidden="1"/>
    </xf>
    <xf numFmtId="0" fontId="18" fillId="0" borderId="33" xfId="0" applyFont="1" applyBorder="1" applyAlignment="1" applyProtection="1">
      <alignment horizontal="left" vertical="center" wrapText="1"/>
      <protection hidden="1"/>
    </xf>
    <xf numFmtId="0" fontId="18" fillId="0" borderId="12" xfId="0" applyFont="1" applyBorder="1" applyAlignment="1" applyProtection="1">
      <alignment horizontal="left" vertical="center" wrapText="1"/>
      <protection hidden="1"/>
    </xf>
    <xf numFmtId="3" fontId="19" fillId="0" borderId="0" xfId="0" applyNumberFormat="1" applyFont="1" applyAlignment="1" applyProtection="1">
      <alignment horizontal="left" vertical="center"/>
      <protection locked="0"/>
    </xf>
    <xf numFmtId="0" fontId="0" fillId="0" borderId="12" xfId="0" applyBorder="1" applyAlignment="1">
      <alignment horizontal="left"/>
    </xf>
    <xf numFmtId="0" fontId="0" fillId="0" borderId="10" xfId="0" applyBorder="1" applyAlignment="1">
      <alignment horizontal="left"/>
    </xf>
    <xf numFmtId="0" fontId="19" fillId="0" borderId="29" xfId="0" applyFont="1" applyBorder="1" applyAlignment="1" applyProtection="1">
      <alignment horizontal="right" vertical="center" indent="1"/>
      <protection hidden="1"/>
    </xf>
    <xf numFmtId="0" fontId="104" fillId="30" borderId="28" xfId="0" applyFont="1" applyFill="1" applyBorder="1" applyAlignment="1">
      <alignment horizontal="left" vertical="center"/>
    </xf>
    <xf numFmtId="0" fontId="103" fillId="30" borderId="31" xfId="0" applyFont="1" applyFill="1" applyBorder="1" applyAlignment="1">
      <alignment horizontal="left" vertical="center"/>
    </xf>
    <xf numFmtId="3" fontId="60" fillId="0" borderId="14" xfId="0" applyNumberFormat="1" applyFont="1" applyBorder="1" applyAlignment="1" applyProtection="1">
      <alignment horizontal="center" vertical="center"/>
      <protection hidden="1"/>
    </xf>
    <xf numFmtId="1" fontId="91" fillId="30" borderId="33" xfId="0" applyNumberFormat="1" applyFont="1" applyFill="1" applyBorder="1" applyAlignment="1" applyProtection="1">
      <alignment horizontal="center" vertical="center"/>
      <protection hidden="1"/>
    </xf>
    <xf numFmtId="1" fontId="91" fillId="30" borderId="10" xfId="0" applyNumberFormat="1" applyFont="1" applyFill="1" applyBorder="1" applyAlignment="1" applyProtection="1">
      <alignment horizontal="center" vertical="center"/>
      <protection hidden="1"/>
    </xf>
    <xf numFmtId="14" fontId="9" fillId="0" borderId="31" xfId="0" applyNumberFormat="1" applyFont="1" applyBorder="1" applyAlignment="1">
      <alignment horizontal="left"/>
    </xf>
    <xf numFmtId="3" fontId="18" fillId="7" borderId="30" xfId="0" applyNumberFormat="1" applyFont="1" applyFill="1" applyBorder="1" applyAlignment="1" applyProtection="1">
      <alignment horizontal="center" vertical="center"/>
      <protection hidden="1"/>
    </xf>
    <xf numFmtId="3" fontId="18" fillId="7" borderId="31" xfId="0" applyNumberFormat="1" applyFont="1" applyFill="1" applyBorder="1" applyAlignment="1" applyProtection="1">
      <alignment horizontal="center" vertical="center"/>
      <protection hidden="1"/>
    </xf>
    <xf numFmtId="0" fontId="9" fillId="0" borderId="31" xfId="0" applyFont="1" applyBorder="1" applyAlignment="1">
      <alignment horizontal="left" vertical="center"/>
    </xf>
    <xf numFmtId="49" fontId="19" fillId="3" borderId="116" xfId="0" applyNumberFormat="1" applyFont="1" applyFill="1" applyBorder="1" applyAlignment="1">
      <alignment horizontal="left" vertical="center"/>
    </xf>
    <xf numFmtId="49" fontId="19" fillId="3" borderId="117" xfId="0" applyNumberFormat="1" applyFont="1" applyFill="1" applyBorder="1" applyAlignment="1">
      <alignment horizontal="left" vertical="center"/>
    </xf>
    <xf numFmtId="49" fontId="19" fillId="3" borderId="118" xfId="0" applyNumberFormat="1" applyFont="1" applyFill="1" applyBorder="1" applyAlignment="1">
      <alignment horizontal="left" vertical="center"/>
    </xf>
    <xf numFmtId="1" fontId="9" fillId="0" borderId="12" xfId="0" applyNumberFormat="1" applyFont="1" applyBorder="1" applyAlignment="1" applyProtection="1">
      <alignment horizontal="center"/>
      <protection hidden="1"/>
    </xf>
    <xf numFmtId="1" fontId="9" fillId="0" borderId="10" xfId="0" applyNumberFormat="1" applyFont="1" applyBorder="1" applyAlignment="1" applyProtection="1">
      <alignment horizontal="center"/>
      <protection hidden="1"/>
    </xf>
    <xf numFmtId="1" fontId="9" fillId="0" borderId="33" xfId="0" applyNumberFormat="1" applyFont="1" applyBorder="1" applyAlignment="1" applyProtection="1">
      <alignment horizontal="center"/>
      <protection hidden="1"/>
    </xf>
    <xf numFmtId="0" fontId="72" fillId="0" borderId="0" xfId="0" applyFont="1" applyAlignment="1">
      <alignment horizontal="center" vertical="center"/>
    </xf>
    <xf numFmtId="0" fontId="35" fillId="0" borderId="0" xfId="0" applyFont="1" applyAlignment="1">
      <alignment horizontal="left" vertical="center"/>
    </xf>
    <xf numFmtId="0" fontId="59" fillId="0" borderId="0" xfId="0" applyFont="1" applyAlignment="1">
      <alignment horizontal="center" wrapText="1"/>
    </xf>
    <xf numFmtId="0" fontId="119" fillId="0" borderId="33" xfId="0" applyFont="1" applyBorder="1" applyAlignment="1">
      <alignment horizontal="left" vertical="center"/>
    </xf>
    <xf numFmtId="0" fontId="119" fillId="0" borderId="12" xfId="0" applyFont="1" applyBorder="1" applyAlignment="1">
      <alignment horizontal="left" vertical="center"/>
    </xf>
    <xf numFmtId="0" fontId="119" fillId="0" borderId="10" xfId="0" applyFont="1" applyBorder="1" applyAlignment="1">
      <alignment horizontal="left" vertical="center"/>
    </xf>
    <xf numFmtId="0" fontId="11" fillId="5" borderId="0" xfId="0" applyFont="1" applyFill="1" applyAlignment="1" applyProtection="1">
      <alignment horizontal="center"/>
      <protection locked="0"/>
    </xf>
    <xf numFmtId="0" fontId="9" fillId="5" borderId="0" xfId="0" applyFont="1" applyFill="1" applyAlignment="1" applyProtection="1">
      <alignment horizontal="center"/>
      <protection locked="0"/>
    </xf>
    <xf numFmtId="0" fontId="119" fillId="0" borderId="116" xfId="0" applyFont="1" applyBorder="1" applyAlignment="1">
      <alignment horizontal="left" vertical="center"/>
    </xf>
    <xf numFmtId="0" fontId="119" fillId="0" borderId="117" xfId="0" applyFont="1" applyBorder="1" applyAlignment="1">
      <alignment horizontal="left" vertical="center"/>
    </xf>
    <xf numFmtId="0" fontId="40" fillId="11" borderId="0" xfId="0" applyFont="1" applyFill="1" applyAlignment="1" applyProtection="1">
      <alignment horizontal="left"/>
      <protection locked="0"/>
    </xf>
    <xf numFmtId="0" fontId="116" fillId="3" borderId="0" xfId="0" applyFont="1" applyFill="1" applyAlignment="1">
      <alignment horizontal="center"/>
    </xf>
    <xf numFmtId="0" fontId="115" fillId="3" borderId="0" xfId="0" applyFont="1" applyFill="1" applyAlignment="1" applyProtection="1">
      <alignment horizontal="left" vertical="top"/>
      <protection hidden="1"/>
    </xf>
    <xf numFmtId="0" fontId="102" fillId="30" borderId="22" xfId="0" applyFont="1" applyFill="1" applyBorder="1" applyAlignment="1">
      <alignment horizontal="center" vertical="center"/>
    </xf>
    <xf numFmtId="0" fontId="72" fillId="0" borderId="0" xfId="0" applyFont="1" applyAlignment="1">
      <alignment horizontal="center"/>
    </xf>
    <xf numFmtId="0" fontId="9" fillId="7" borderId="2" xfId="0" applyFont="1" applyFill="1" applyBorder="1" applyAlignment="1">
      <alignment vertical="center"/>
    </xf>
    <xf numFmtId="0" fontId="0" fillId="0" borderId="62" xfId="0" applyBorder="1" applyAlignment="1">
      <alignment vertical="center"/>
    </xf>
    <xf numFmtId="0" fontId="2" fillId="0" borderId="12" xfId="0" applyFont="1" applyBorder="1" applyAlignment="1">
      <alignment horizontal="left" vertical="center"/>
    </xf>
    <xf numFmtId="0" fontId="2" fillId="0" borderId="10" xfId="0" applyFont="1" applyBorder="1" applyAlignment="1">
      <alignment horizontal="left" vertical="center"/>
    </xf>
    <xf numFmtId="0" fontId="9" fillId="7" borderId="27" xfId="0" applyFont="1" applyFill="1" applyBorder="1" applyAlignment="1" applyProtection="1">
      <alignment horizontal="center" vertical="center"/>
      <protection locked="0"/>
    </xf>
    <xf numFmtId="0" fontId="9" fillId="7" borderId="13" xfId="0" applyFont="1" applyFill="1" applyBorder="1" applyAlignment="1" applyProtection="1">
      <alignment horizontal="center" vertical="center"/>
      <protection locked="0"/>
    </xf>
    <xf numFmtId="49" fontId="42" fillId="11" borderId="0" xfId="0" applyNumberFormat="1" applyFont="1" applyFill="1" applyAlignment="1" applyProtection="1">
      <alignment horizontal="left"/>
      <protection locked="0"/>
    </xf>
    <xf numFmtId="0" fontId="102" fillId="30" borderId="7" xfId="0" applyFont="1" applyFill="1" applyBorder="1" applyAlignment="1">
      <alignment horizontal="center" vertical="center"/>
    </xf>
    <xf numFmtId="0" fontId="19" fillId="0" borderId="53" xfId="0" applyFont="1" applyBorder="1" applyAlignment="1" applyProtection="1">
      <alignment horizontal="left"/>
      <protection hidden="1"/>
    </xf>
    <xf numFmtId="0" fontId="19" fillId="0" borderId="54" xfId="0" applyFont="1" applyBorder="1" applyAlignment="1" applyProtection="1">
      <alignment horizontal="left"/>
      <protection hidden="1"/>
    </xf>
    <xf numFmtId="0" fontId="19" fillId="0" borderId="37" xfId="0" applyFont="1" applyBorder="1" applyAlignment="1" applyProtection="1">
      <alignment horizontal="left"/>
      <protection hidden="1"/>
    </xf>
    <xf numFmtId="0" fontId="9" fillId="13" borderId="59" xfId="0" applyFont="1" applyFill="1" applyBorder="1" applyAlignment="1">
      <alignment horizontal="center" vertical="center"/>
    </xf>
    <xf numFmtId="0" fontId="9" fillId="13" borderId="83" xfId="0" applyFont="1" applyFill="1" applyBorder="1" applyAlignment="1">
      <alignment horizontal="center" vertical="center"/>
    </xf>
    <xf numFmtId="0" fontId="9" fillId="13" borderId="60" xfId="0" applyFont="1" applyFill="1" applyBorder="1" applyAlignment="1">
      <alignment horizontal="center" vertical="center"/>
    </xf>
    <xf numFmtId="0" fontId="19" fillId="0" borderId="81" xfId="0" applyFont="1" applyBorder="1" applyAlignment="1">
      <alignment horizontal="left" vertical="center"/>
    </xf>
    <xf numFmtId="0" fontId="19" fillId="0" borderId="82" xfId="0" applyFont="1" applyBorder="1" applyAlignment="1">
      <alignment horizontal="left" vertical="center"/>
    </xf>
    <xf numFmtId="0" fontId="19" fillId="0" borderId="75" xfId="0" applyFont="1" applyBorder="1" applyAlignment="1">
      <alignment horizontal="left" vertical="center"/>
    </xf>
    <xf numFmtId="0" fontId="9" fillId="8" borderId="30" xfId="0" applyFont="1" applyFill="1" applyBorder="1" applyAlignment="1" applyProtection="1">
      <alignment horizontal="left"/>
      <protection hidden="1"/>
    </xf>
    <xf numFmtId="0" fontId="9" fillId="8" borderId="31" xfId="0" applyFont="1" applyFill="1" applyBorder="1" applyAlignment="1" applyProtection="1">
      <alignment horizontal="left"/>
      <protection hidden="1"/>
    </xf>
    <xf numFmtId="0" fontId="9" fillId="8" borderId="32" xfId="0" applyFont="1" applyFill="1" applyBorder="1" applyAlignment="1" applyProtection="1">
      <alignment horizontal="left"/>
      <protection hidden="1"/>
    </xf>
    <xf numFmtId="0" fontId="119" fillId="0" borderId="27" xfId="0" applyFont="1" applyBorder="1" applyAlignment="1">
      <alignment horizontal="left" vertical="center"/>
    </xf>
    <xf numFmtId="0" fontId="2" fillId="0" borderId="28" xfId="0" applyFont="1" applyBorder="1" applyAlignment="1">
      <alignment horizontal="left" vertical="center"/>
    </xf>
    <xf numFmtId="0" fontId="9" fillId="8" borderId="33" xfId="0" applyFont="1" applyFill="1" applyBorder="1" applyAlignment="1" applyProtection="1">
      <alignment horizontal="left"/>
      <protection hidden="1"/>
    </xf>
    <xf numFmtId="0" fontId="9" fillId="8" borderId="12" xfId="0" applyFont="1" applyFill="1" applyBorder="1" applyAlignment="1" applyProtection="1">
      <alignment horizontal="left"/>
      <protection hidden="1"/>
    </xf>
    <xf numFmtId="0" fontId="9" fillId="8" borderId="10" xfId="0" applyFont="1" applyFill="1" applyBorder="1" applyAlignment="1" applyProtection="1">
      <alignment horizontal="left"/>
      <protection hidden="1"/>
    </xf>
    <xf numFmtId="0" fontId="119" fillId="0" borderId="139" xfId="0" applyFont="1" applyBorder="1" applyAlignment="1">
      <alignment horizontal="left" vertical="center"/>
    </xf>
    <xf numFmtId="0" fontId="119" fillId="0" borderId="114" xfId="0" applyFont="1" applyBorder="1" applyAlignment="1">
      <alignment horizontal="left" vertical="center"/>
    </xf>
    <xf numFmtId="0" fontId="2" fillId="0" borderId="117" xfId="0" applyFont="1" applyBorder="1" applyAlignment="1">
      <alignment horizontal="left" vertical="center"/>
    </xf>
    <xf numFmtId="0" fontId="1" fillId="0" borderId="33" xfId="0" applyFont="1" applyBorder="1" applyAlignment="1">
      <alignment horizontal="left" vertical="center"/>
    </xf>
    <xf numFmtId="0" fontId="9" fillId="9" borderId="31" xfId="0" applyFont="1" applyFill="1" applyBorder="1" applyAlignment="1" applyProtection="1">
      <alignment horizontal="left" vertical="center"/>
      <protection locked="0"/>
    </xf>
    <xf numFmtId="0" fontId="84" fillId="9" borderId="0" xfId="0" applyFont="1" applyFill="1" applyAlignment="1">
      <alignment horizontal="center" vertical="center"/>
    </xf>
    <xf numFmtId="0" fontId="85" fillId="9" borderId="0" xfId="0" applyFont="1" applyFill="1" applyAlignment="1">
      <alignment horizontal="center" vertical="center"/>
    </xf>
    <xf numFmtId="0" fontId="71" fillId="0" borderId="0" xfId="0" applyFont="1" applyAlignment="1">
      <alignment horizontal="center" vertical="center"/>
    </xf>
    <xf numFmtId="0" fontId="102" fillId="30" borderId="0" xfId="0" applyFont="1" applyFill="1" applyAlignment="1">
      <alignment horizontal="center" vertical="center" wrapText="1"/>
    </xf>
    <xf numFmtId="0" fontId="102" fillId="30" borderId="20" xfId="0" applyFont="1" applyFill="1" applyBorder="1" applyAlignment="1">
      <alignment horizontal="center" vertical="center" wrapText="1"/>
    </xf>
    <xf numFmtId="0" fontId="18" fillId="0" borderId="114" xfId="0" applyFont="1" applyBorder="1" applyAlignment="1">
      <alignment horizontal="left" vertical="center"/>
    </xf>
    <xf numFmtId="0" fontId="19" fillId="0" borderId="69" xfId="0" applyFont="1" applyBorder="1" applyAlignment="1">
      <alignment horizontal="left" vertical="center"/>
    </xf>
    <xf numFmtId="0" fontId="18" fillId="0" borderId="31" xfId="0" applyFont="1" applyBorder="1" applyAlignment="1">
      <alignment horizontal="left" vertical="center"/>
    </xf>
    <xf numFmtId="0" fontId="19" fillId="0" borderId="11" xfId="0" applyFont="1" applyBorder="1" applyAlignment="1">
      <alignment horizontal="left" vertical="center"/>
    </xf>
    <xf numFmtId="0" fontId="18" fillId="0" borderId="65" xfId="0" applyFont="1" applyBorder="1" applyAlignment="1">
      <alignment horizontal="left" vertical="center"/>
    </xf>
    <xf numFmtId="0" fontId="18" fillId="0" borderId="31" xfId="0" applyFont="1" applyBorder="1" applyAlignment="1" applyProtection="1">
      <alignment horizontal="left" vertical="center"/>
      <protection hidden="1"/>
    </xf>
    <xf numFmtId="0" fontId="18" fillId="0" borderId="66" xfId="0" applyFont="1" applyBorder="1" applyAlignment="1" applyProtection="1">
      <alignment horizontal="left" vertical="center"/>
      <protection hidden="1"/>
    </xf>
    <xf numFmtId="0" fontId="18" fillId="0" borderId="122" xfId="0" applyFont="1" applyBorder="1" applyAlignment="1">
      <alignment horizontal="left" vertical="center"/>
    </xf>
    <xf numFmtId="0" fontId="18" fillId="5" borderId="0" xfId="0" applyFont="1" applyFill="1" applyAlignment="1" applyProtection="1">
      <alignment horizontal="center" vertical="center"/>
      <protection locked="0"/>
    </xf>
    <xf numFmtId="0" fontId="7" fillId="0" borderId="113" xfId="0" applyFont="1" applyBorder="1" applyAlignment="1">
      <alignment horizontal="center" vertical="center"/>
    </xf>
    <xf numFmtId="0" fontId="7" fillId="0" borderId="114" xfId="0" applyFont="1" applyBorder="1" applyAlignment="1">
      <alignment horizontal="center" vertical="center"/>
    </xf>
    <xf numFmtId="0" fontId="8" fillId="0" borderId="0" xfId="0" applyFont="1" applyAlignment="1">
      <alignment horizontal="left"/>
    </xf>
    <xf numFmtId="14" fontId="9" fillId="9" borderId="132" xfId="0" applyNumberFormat="1" applyFont="1" applyFill="1" applyBorder="1" applyAlignment="1" applyProtection="1">
      <alignment horizontal="left" vertical="center"/>
      <protection locked="0"/>
    </xf>
    <xf numFmtId="164" fontId="19" fillId="9" borderId="33" xfId="0" applyNumberFormat="1" applyFont="1" applyFill="1" applyBorder="1" applyAlignment="1" applyProtection="1">
      <alignment horizontal="center" vertical="center"/>
      <protection locked="0"/>
    </xf>
    <xf numFmtId="164" fontId="19" fillId="9" borderId="12" xfId="0" applyNumberFormat="1" applyFont="1" applyFill="1" applyBorder="1" applyAlignment="1" applyProtection="1">
      <alignment horizontal="center" vertical="center"/>
      <protection locked="0"/>
    </xf>
    <xf numFmtId="164" fontId="19" fillId="9" borderId="14" xfId="0" applyNumberFormat="1" applyFont="1" applyFill="1" applyBorder="1" applyAlignment="1" applyProtection="1">
      <alignment horizontal="center" vertical="center"/>
      <protection locked="0"/>
    </xf>
    <xf numFmtId="3" fontId="18" fillId="7" borderId="14" xfId="0" applyNumberFormat="1" applyFont="1" applyFill="1" applyBorder="1" applyAlignment="1" applyProtection="1">
      <alignment horizontal="center" vertical="center"/>
      <protection hidden="1"/>
    </xf>
    <xf numFmtId="0" fontId="9" fillId="0" borderId="0" xfId="0" applyFont="1" applyAlignment="1">
      <alignment horizontal="left" vertical="center"/>
    </xf>
    <xf numFmtId="0" fontId="0" fillId="0" borderId="0" xfId="0" applyAlignment="1">
      <alignment horizontal="left" vertical="center"/>
    </xf>
    <xf numFmtId="0" fontId="19" fillId="9" borderId="33" xfId="0" applyFont="1" applyFill="1" applyBorder="1" applyAlignment="1" applyProtection="1">
      <alignment horizontal="left" vertical="center"/>
      <protection locked="0"/>
    </xf>
    <xf numFmtId="0" fontId="19" fillId="9" borderId="10" xfId="0" applyFont="1" applyFill="1" applyBorder="1" applyAlignment="1" applyProtection="1">
      <alignment horizontal="left" vertical="center"/>
      <protection locked="0"/>
    </xf>
    <xf numFmtId="3" fontId="18" fillId="7" borderId="49" xfId="0" applyNumberFormat="1" applyFont="1" applyFill="1" applyBorder="1" applyAlignment="1" applyProtection="1">
      <alignment horizontal="center" vertical="center"/>
      <protection hidden="1"/>
    </xf>
    <xf numFmtId="1" fontId="9" fillId="0" borderId="30" xfId="0" applyNumberFormat="1" applyFont="1" applyBorder="1" applyAlignment="1" applyProtection="1">
      <alignment horizontal="center"/>
      <protection hidden="1"/>
    </xf>
    <xf numFmtId="1" fontId="9" fillId="0" borderId="31" xfId="0" applyNumberFormat="1" applyFont="1" applyBorder="1" applyAlignment="1" applyProtection="1">
      <alignment horizontal="center"/>
      <protection hidden="1"/>
    </xf>
    <xf numFmtId="1" fontId="9" fillId="0" borderId="32" xfId="0" applyNumberFormat="1" applyFont="1" applyBorder="1" applyAlignment="1" applyProtection="1">
      <alignment horizontal="center"/>
      <protection hidden="1"/>
    </xf>
    <xf numFmtId="0" fontId="91" fillId="30" borderId="0" xfId="0" applyFont="1" applyFill="1" applyAlignment="1" applyProtection="1">
      <alignment horizontal="center"/>
      <protection hidden="1"/>
    </xf>
    <xf numFmtId="3" fontId="19" fillId="9" borderId="33" xfId="0" applyNumberFormat="1" applyFont="1" applyFill="1" applyBorder="1" applyAlignment="1" applyProtection="1">
      <alignment horizontal="center" vertical="center"/>
      <protection locked="0"/>
    </xf>
    <xf numFmtId="3" fontId="19" fillId="9" borderId="10" xfId="0" applyNumberFormat="1" applyFont="1" applyFill="1" applyBorder="1" applyAlignment="1" applyProtection="1">
      <alignment horizontal="center" vertical="center"/>
      <protection locked="0"/>
    </xf>
    <xf numFmtId="49" fontId="19" fillId="9" borderId="12" xfId="0" applyNumberFormat="1" applyFont="1" applyFill="1" applyBorder="1" applyAlignment="1" applyProtection="1">
      <alignment horizontal="left" vertical="center"/>
      <protection locked="0"/>
    </xf>
    <xf numFmtId="49" fontId="19" fillId="9" borderId="10" xfId="0" applyNumberFormat="1" applyFont="1" applyFill="1" applyBorder="1" applyAlignment="1" applyProtection="1">
      <alignment horizontal="left" vertical="center"/>
      <protection locked="0"/>
    </xf>
    <xf numFmtId="0" fontId="18" fillId="9" borderId="30" xfId="0" applyFont="1" applyFill="1" applyBorder="1" applyAlignment="1">
      <alignment horizontal="center" vertical="center"/>
    </xf>
    <xf numFmtId="0" fontId="18" fillId="9" borderId="32" xfId="0" applyFont="1" applyFill="1" applyBorder="1" applyAlignment="1">
      <alignment horizontal="center" vertical="center"/>
    </xf>
    <xf numFmtId="3" fontId="18" fillId="0" borderId="12" xfId="0" applyNumberFormat="1" applyFont="1" applyBorder="1" applyAlignment="1" applyProtection="1">
      <alignment horizontal="left" vertical="center"/>
      <protection hidden="1"/>
    </xf>
    <xf numFmtId="3" fontId="18" fillId="0" borderId="10" xfId="0" applyNumberFormat="1" applyFont="1" applyBorder="1" applyAlignment="1" applyProtection="1">
      <alignment horizontal="left" vertical="center"/>
      <protection hidden="1"/>
    </xf>
    <xf numFmtId="0" fontId="19" fillId="9" borderId="12" xfId="0" applyFont="1" applyFill="1" applyBorder="1" applyAlignment="1" applyProtection="1">
      <alignment horizontal="left" vertical="center"/>
      <protection locked="0"/>
    </xf>
    <xf numFmtId="49" fontId="19" fillId="9" borderId="33" xfId="0" applyNumberFormat="1" applyFont="1" applyFill="1" applyBorder="1" applyAlignment="1" applyProtection="1">
      <alignment horizontal="left" vertical="center"/>
      <protection locked="0"/>
    </xf>
    <xf numFmtId="0" fontId="92" fillId="0" borderId="0" xfId="0" applyFont="1" applyAlignment="1" applyProtection="1">
      <alignment horizontal="left" vertical="center"/>
      <protection hidden="1"/>
    </xf>
    <xf numFmtId="3" fontId="18" fillId="7" borderId="30" xfId="0" applyNumberFormat="1" applyFont="1" applyFill="1" applyBorder="1" applyAlignment="1" applyProtection="1">
      <alignment horizontal="center"/>
      <protection hidden="1"/>
    </xf>
    <xf numFmtId="3" fontId="18" fillId="7" borderId="32" xfId="0" applyNumberFormat="1" applyFont="1" applyFill="1" applyBorder="1" applyAlignment="1" applyProtection="1">
      <alignment horizontal="center"/>
      <protection hidden="1"/>
    </xf>
    <xf numFmtId="3" fontId="60" fillId="0" borderId="33" xfId="0" applyNumberFormat="1" applyFont="1" applyBorder="1" applyAlignment="1" applyProtection="1">
      <alignment horizontal="center" vertical="center"/>
      <protection hidden="1"/>
    </xf>
    <xf numFmtId="3" fontId="60" fillId="0" borderId="10" xfId="0" applyNumberFormat="1" applyFont="1" applyBorder="1" applyAlignment="1" applyProtection="1">
      <alignment horizontal="center" vertical="center"/>
      <protection hidden="1"/>
    </xf>
    <xf numFmtId="3" fontId="19" fillId="0" borderId="14" xfId="0" applyNumberFormat="1" applyFont="1" applyBorder="1" applyAlignment="1" applyProtection="1">
      <alignment horizontal="center" vertical="center"/>
      <protection hidden="1"/>
    </xf>
    <xf numFmtId="3" fontId="91" fillId="30" borderId="0" xfId="0" applyNumberFormat="1" applyFont="1" applyFill="1" applyAlignment="1" applyProtection="1">
      <alignment horizontal="center" vertical="center"/>
      <protection hidden="1"/>
    </xf>
    <xf numFmtId="0" fontId="19" fillId="9" borderId="14" xfId="0" applyFont="1" applyFill="1" applyBorder="1" applyAlignment="1" applyProtection="1">
      <alignment horizontal="center" vertical="center"/>
      <protection locked="0"/>
    </xf>
    <xf numFmtId="0" fontId="19" fillId="0" borderId="13" xfId="0" applyFont="1" applyBorder="1" applyAlignment="1" applyProtection="1">
      <alignment horizontal="left" vertical="center" wrapText="1" indent="1"/>
      <protection hidden="1"/>
    </xf>
    <xf numFmtId="0" fontId="19" fillId="0" borderId="32" xfId="0" applyFont="1" applyBorder="1" applyAlignment="1" applyProtection="1">
      <alignment horizontal="left" vertical="center" wrapText="1" indent="1"/>
      <protection hidden="1"/>
    </xf>
    <xf numFmtId="0" fontId="12" fillId="0" borderId="0" xfId="1" applyFont="1" applyAlignment="1" applyProtection="1">
      <alignment horizontal="center" wrapText="1"/>
      <protection hidden="1"/>
    </xf>
    <xf numFmtId="9" fontId="19" fillId="9" borderId="14" xfId="2" applyFont="1" applyFill="1" applyBorder="1" applyAlignment="1" applyProtection="1">
      <alignment horizontal="center"/>
      <protection locked="0"/>
    </xf>
    <xf numFmtId="0" fontId="19" fillId="9" borderId="27" xfId="0" applyFont="1" applyFill="1" applyBorder="1" applyAlignment="1" applyProtection="1">
      <alignment horizontal="left" vertical="center" wrapText="1"/>
      <protection locked="0"/>
    </xf>
    <xf numFmtId="0" fontId="19" fillId="9" borderId="28" xfId="0" applyFont="1" applyFill="1" applyBorder="1" applyAlignment="1" applyProtection="1">
      <alignment horizontal="left" vertical="center" wrapText="1"/>
      <protection locked="0"/>
    </xf>
    <xf numFmtId="0" fontId="19" fillId="9" borderId="13" xfId="0" applyFont="1" applyFill="1" applyBorder="1" applyAlignment="1" applyProtection="1">
      <alignment horizontal="left" vertical="center" wrapText="1"/>
      <protection locked="0"/>
    </xf>
    <xf numFmtId="0" fontId="19" fillId="9" borderId="30" xfId="0" applyFont="1" applyFill="1" applyBorder="1" applyAlignment="1" applyProtection="1">
      <alignment horizontal="left" vertical="center" wrapText="1"/>
      <protection locked="0"/>
    </xf>
    <xf numFmtId="0" fontId="19" fillId="9" borderId="31" xfId="0" applyFont="1" applyFill="1" applyBorder="1" applyAlignment="1" applyProtection="1">
      <alignment horizontal="left" vertical="center" wrapText="1"/>
      <protection locked="0"/>
    </xf>
    <xf numFmtId="0" fontId="19" fillId="9" borderId="32" xfId="0" applyFont="1" applyFill="1" applyBorder="1" applyAlignment="1" applyProtection="1">
      <alignment horizontal="left" vertical="center" wrapText="1"/>
      <protection locked="0"/>
    </xf>
    <xf numFmtId="1" fontId="91" fillId="30" borderId="33" xfId="0" applyNumberFormat="1" applyFont="1" applyFill="1" applyBorder="1" applyAlignment="1">
      <alignment horizontal="center"/>
    </xf>
    <xf numFmtId="1" fontId="91" fillId="30" borderId="12" xfId="0" applyNumberFormat="1" applyFont="1" applyFill="1" applyBorder="1" applyAlignment="1">
      <alignment horizontal="center"/>
    </xf>
    <xf numFmtId="0" fontId="18" fillId="0" borderId="0" xfId="0" applyFont="1" applyAlignment="1">
      <alignment horizontal="right" indent="1"/>
    </xf>
    <xf numFmtId="0" fontId="18" fillId="0" borderId="29" xfId="0" applyFont="1" applyBorder="1" applyAlignment="1">
      <alignment horizontal="right" indent="1"/>
    </xf>
    <xf numFmtId="0" fontId="104" fillId="30" borderId="0" xfId="0" applyFont="1" applyFill="1" applyAlignment="1">
      <alignment horizontal="left" vertical="center"/>
    </xf>
    <xf numFmtId="0" fontId="103" fillId="30" borderId="0" xfId="0" applyFont="1" applyFill="1" applyAlignment="1">
      <alignment horizontal="left" vertical="center"/>
    </xf>
    <xf numFmtId="166" fontId="18" fillId="0" borderId="50" xfId="0" applyNumberFormat="1" applyFont="1" applyBorder="1" applyAlignment="1" applyProtection="1">
      <alignment horizontal="center"/>
      <protection hidden="1"/>
    </xf>
    <xf numFmtId="1" fontId="102" fillId="30" borderId="0" xfId="0" applyNumberFormat="1" applyFont="1" applyFill="1" applyAlignment="1" applyProtection="1">
      <alignment horizontal="center"/>
      <protection hidden="1"/>
    </xf>
    <xf numFmtId="0" fontId="0" fillId="0" borderId="12" xfId="0" applyBorder="1" applyAlignment="1">
      <alignment horizontal="left" vertical="center"/>
    </xf>
    <xf numFmtId="0" fontId="0" fillId="0" borderId="10" xfId="0" applyBorder="1" applyAlignment="1">
      <alignment horizontal="left" vertical="center"/>
    </xf>
    <xf numFmtId="0" fontId="104" fillId="30" borderId="0" xfId="0" applyFont="1" applyFill="1" applyAlignment="1" applyProtection="1">
      <alignment horizontal="left" vertical="center"/>
      <protection hidden="1"/>
    </xf>
    <xf numFmtId="0" fontId="12" fillId="0" borderId="0" xfId="0" applyFont="1" applyAlignment="1">
      <alignment horizontal="left" vertical="center"/>
    </xf>
    <xf numFmtId="14" fontId="9" fillId="0" borderId="0" xfId="0" applyNumberFormat="1" applyFont="1" applyAlignment="1">
      <alignment horizontal="right"/>
    </xf>
    <xf numFmtId="0" fontId="10" fillId="0" borderId="0" xfId="0" applyFont="1" applyAlignment="1">
      <alignment horizontal="right" wrapText="1"/>
    </xf>
    <xf numFmtId="3" fontId="19" fillId="0" borderId="0" xfId="0" applyNumberFormat="1" applyFont="1" applyAlignment="1" applyProtection="1">
      <alignment horizontal="left" vertical="center"/>
      <protection hidden="1"/>
    </xf>
    <xf numFmtId="1" fontId="102" fillId="30" borderId="0" xfId="0" applyNumberFormat="1" applyFont="1" applyFill="1" applyAlignment="1">
      <alignment horizontal="center"/>
    </xf>
    <xf numFmtId="1" fontId="9" fillId="0" borderId="30" xfId="0" applyNumberFormat="1" applyFont="1" applyBorder="1" applyAlignment="1">
      <alignment horizontal="center"/>
    </xf>
    <xf numFmtId="1" fontId="9" fillId="0" borderId="32" xfId="0" applyNumberFormat="1" applyFont="1" applyBorder="1" applyAlignment="1">
      <alignment horizontal="center"/>
    </xf>
    <xf numFmtId="3" fontId="19" fillId="0" borderId="62" xfId="0" applyNumberFormat="1" applyFont="1" applyBorder="1" applyAlignment="1" applyProtection="1">
      <alignment horizontal="center" vertical="center"/>
      <protection hidden="1"/>
    </xf>
    <xf numFmtId="0" fontId="98" fillId="32" borderId="104" xfId="3" applyFont="1" applyFill="1" applyBorder="1" applyAlignment="1">
      <alignment horizontal="center" vertical="top" wrapText="1"/>
    </xf>
    <xf numFmtId="0" fontId="98" fillId="32" borderId="107" xfId="3" applyFont="1" applyFill="1" applyBorder="1" applyAlignment="1">
      <alignment horizontal="center" vertical="top" wrapText="1"/>
    </xf>
    <xf numFmtId="0" fontId="66" fillId="5" borderId="0" xfId="0" applyFont="1" applyFill="1" applyAlignment="1" applyProtection="1">
      <alignment horizontal="center"/>
      <protection locked="0"/>
    </xf>
    <xf numFmtId="0" fontId="98" fillId="32" borderId="105" xfId="3" applyFont="1" applyFill="1" applyBorder="1" applyAlignment="1">
      <alignment horizontal="center" vertical="top" wrapText="1"/>
    </xf>
    <xf numFmtId="0" fontId="103" fillId="30" borderId="106" xfId="0" applyFont="1" applyFill="1" applyBorder="1" applyAlignment="1">
      <alignment horizontal="center" vertical="top" wrapText="1"/>
    </xf>
    <xf numFmtId="0" fontId="98" fillId="32" borderId="106" xfId="3" applyFont="1" applyFill="1" applyBorder="1" applyAlignment="1">
      <alignment horizontal="center" vertical="top" wrapText="1"/>
    </xf>
    <xf numFmtId="0" fontId="98" fillId="32" borderId="110" xfId="3" applyFont="1" applyFill="1" applyBorder="1" applyAlignment="1">
      <alignment horizontal="center" vertical="center" wrapText="1"/>
    </xf>
    <xf numFmtId="0" fontId="102" fillId="30" borderId="110" xfId="0" applyFont="1" applyFill="1" applyBorder="1" applyAlignment="1">
      <alignment horizontal="center" vertical="center" wrapText="1"/>
    </xf>
    <xf numFmtId="0" fontId="103" fillId="30" borderId="105" xfId="0" applyFont="1" applyFill="1" applyBorder="1" applyAlignment="1">
      <alignment horizontal="center" vertical="top" wrapText="1"/>
    </xf>
    <xf numFmtId="0" fontId="98" fillId="32" borderId="108" xfId="3" applyFont="1" applyFill="1" applyBorder="1" applyAlignment="1">
      <alignment horizontal="center" vertical="top" wrapText="1"/>
    </xf>
    <xf numFmtId="0" fontId="103" fillId="30" borderId="109" xfId="0" applyFont="1" applyFill="1" applyBorder="1" applyAlignment="1">
      <alignment horizontal="center" vertical="top" wrapText="1"/>
    </xf>
    <xf numFmtId="0" fontId="102" fillId="30" borderId="111" xfId="0" applyFont="1" applyFill="1" applyBorder="1" applyAlignment="1">
      <alignment horizontal="center" vertical="center" wrapText="1"/>
    </xf>
    <xf numFmtId="0" fontId="98" fillId="30" borderId="105" xfId="3" applyFont="1" applyFill="1" applyBorder="1" applyAlignment="1">
      <alignment horizontal="center" vertical="top" wrapText="1"/>
    </xf>
    <xf numFmtId="0" fontId="9" fillId="0" borderId="130" xfId="0" applyFont="1" applyBorder="1" applyAlignment="1" applyProtection="1">
      <alignment horizontal="right"/>
      <protection hidden="1"/>
    </xf>
    <xf numFmtId="0" fontId="9" fillId="0" borderId="0" xfId="0" applyFont="1" applyAlignment="1" applyProtection="1">
      <alignment horizontal="center"/>
      <protection hidden="1"/>
    </xf>
    <xf numFmtId="0" fontId="9" fillId="0" borderId="0" xfId="0" applyFont="1" applyAlignment="1">
      <alignment horizontal="center"/>
    </xf>
    <xf numFmtId="3" fontId="9" fillId="7" borderId="14" xfId="0" applyNumberFormat="1" applyFont="1" applyFill="1" applyBorder="1" applyAlignment="1" applyProtection="1">
      <alignment horizontal="center"/>
      <protection hidden="1"/>
    </xf>
    <xf numFmtId="1" fontId="0" fillId="0" borderId="40" xfId="0" applyNumberFormat="1" applyBorder="1" applyAlignment="1">
      <alignment horizontal="center"/>
    </xf>
    <xf numFmtId="1" fontId="0" fillId="0" borderId="6" xfId="0" applyNumberFormat="1" applyBorder="1" applyAlignment="1">
      <alignment horizontal="center"/>
    </xf>
    <xf numFmtId="0" fontId="6" fillId="0" borderId="0" xfId="0" applyFont="1" applyAlignment="1">
      <alignment horizontal="center"/>
    </xf>
    <xf numFmtId="3" fontId="9" fillId="7" borderId="55" xfId="0" applyNumberFormat="1" applyFont="1" applyFill="1" applyBorder="1" applyAlignment="1" applyProtection="1">
      <alignment horizontal="center"/>
      <protection hidden="1"/>
    </xf>
    <xf numFmtId="3" fontId="9" fillId="7" borderId="49" xfId="0" applyNumberFormat="1" applyFont="1" applyFill="1" applyBorder="1" applyAlignment="1" applyProtection="1">
      <alignment horizontal="center"/>
      <protection hidden="1"/>
    </xf>
    <xf numFmtId="1" fontId="9" fillId="0" borderId="40" xfId="0" applyNumberFormat="1" applyFont="1" applyBorder="1" applyAlignment="1">
      <alignment horizontal="center"/>
    </xf>
    <xf numFmtId="1" fontId="9" fillId="0" borderId="6" xfId="0" applyNumberFormat="1" applyFont="1" applyBorder="1" applyAlignment="1">
      <alignment horizontal="center"/>
    </xf>
    <xf numFmtId="164" fontId="83" fillId="0" borderId="115" xfId="2" quotePrefix="1" applyNumberFormat="1" applyFont="1" applyFill="1" applyBorder="1" applyAlignment="1">
      <alignment horizontal="center" vertical="center"/>
    </xf>
    <xf numFmtId="164" fontId="83" fillId="8" borderId="115" xfId="2" quotePrefix="1" applyNumberFormat="1" applyFont="1" applyFill="1" applyBorder="1" applyAlignment="1">
      <alignment horizontal="center" vertical="center"/>
    </xf>
    <xf numFmtId="164" fontId="83" fillId="8" borderId="115" xfId="0" quotePrefix="1" applyNumberFormat="1" applyFont="1" applyFill="1" applyBorder="1" applyAlignment="1">
      <alignment horizontal="center" vertical="center"/>
    </xf>
    <xf numFmtId="164" fontId="83" fillId="0" borderId="115" xfId="2" applyNumberFormat="1" applyFont="1" applyBorder="1" applyAlignment="1">
      <alignment horizontal="center" vertical="center"/>
    </xf>
    <xf numFmtId="0" fontId="83" fillId="12" borderId="115" xfId="0" applyFont="1" applyFill="1" applyBorder="1" applyAlignment="1">
      <alignment horizontal="center" vertical="center"/>
    </xf>
    <xf numFmtId="170" fontId="83" fillId="12" borderId="115" xfId="0" applyNumberFormat="1" applyFont="1" applyFill="1" applyBorder="1" applyAlignment="1">
      <alignment horizontal="center" vertical="center"/>
    </xf>
    <xf numFmtId="164" fontId="83" fillId="12" borderId="115" xfId="0" applyNumberFormat="1" applyFont="1" applyFill="1" applyBorder="1" applyAlignment="1">
      <alignment horizontal="center" vertical="center"/>
    </xf>
    <xf numFmtId="164" fontId="83" fillId="12" borderId="115" xfId="2" applyNumberFormat="1" applyFont="1" applyFill="1" applyBorder="1" applyAlignment="1">
      <alignment horizontal="center" vertical="center"/>
    </xf>
    <xf numFmtId="164" fontId="83" fillId="0" borderId="115" xfId="0" quotePrefix="1" applyNumberFormat="1" applyFont="1" applyBorder="1" applyAlignment="1">
      <alignment horizontal="center" vertical="center"/>
    </xf>
    <xf numFmtId="1" fontId="83" fillId="12" borderId="115" xfId="0" applyNumberFormat="1" applyFont="1" applyFill="1" applyBorder="1" applyAlignment="1">
      <alignment horizontal="center" vertical="center"/>
    </xf>
    <xf numFmtId="9" fontId="83" fillId="12" borderId="115" xfId="2" applyFont="1" applyFill="1" applyBorder="1" applyAlignment="1">
      <alignment horizontal="center" vertical="center"/>
    </xf>
  </cellXfs>
  <cellStyles count="4">
    <cellStyle name="Hyperlinkki" xfId="1" builtinId="8"/>
    <cellStyle name="Normaali" xfId="0" builtinId="0"/>
    <cellStyle name="Normaali 2" xfId="3" xr:uid="{00000000-0005-0000-0000-000002000000}"/>
    <cellStyle name="Prosenttia" xfId="2" builtinId="5"/>
  </cellStyles>
  <dxfs count="40">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9" defaultPivotStyle="PivotStyleLight16"/>
  <colors>
    <mruColors>
      <color rgb="FF0152A1"/>
      <color rgb="FFFFFFCC"/>
      <color rgb="FFFFCC00"/>
      <color rgb="FFFFCC66"/>
      <color rgb="FF0053A3"/>
      <color rgb="FFCCFFCC"/>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sz="1200" b="1">
                <a:latin typeface="Arial" panose="020B0604020202020204" pitchFamily="34" charset="0"/>
                <a:cs typeface="Arial" panose="020B0604020202020204" pitchFamily="34" charset="0"/>
              </a:rPr>
              <a:t>Omsättning</a:t>
            </a:r>
            <a:r>
              <a:rPr lang="fi-FI" sz="1200" b="1" baseline="0">
                <a:latin typeface="Arial" panose="020B0604020202020204" pitchFamily="34" charset="0"/>
                <a:cs typeface="Arial" panose="020B0604020202020204" pitchFamily="34" charset="0"/>
              </a:rPr>
              <a:t> och Driftskapital/person</a:t>
            </a:r>
          </a:p>
          <a:p>
            <a:pPr>
              <a:defRPr/>
            </a:pPr>
            <a:r>
              <a:rPr lang="fi-FI" sz="1200" b="1" baseline="0">
                <a:latin typeface="Arial" panose="020B0604020202020204" pitchFamily="34" charset="0"/>
                <a:cs typeface="Arial" panose="020B0604020202020204" pitchFamily="34" charset="0"/>
              </a:rPr>
              <a:t>1000 €</a:t>
            </a:r>
            <a:endParaRPr lang="fi-FI" sz="1200" b="1">
              <a:latin typeface="Arial" panose="020B0604020202020204" pitchFamily="34" charset="0"/>
              <a:cs typeface="Arial" panose="020B0604020202020204" pitchFamily="34" charset="0"/>
            </a:endParaRPr>
          </a:p>
        </c:rich>
      </c:tx>
      <c:layout>
        <c:manualLayout>
          <c:xMode val="edge"/>
          <c:yMode val="edge"/>
          <c:x val="0.47118226600985219"/>
          <c:y val="3.240740740740740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7.246606135955494E-2"/>
          <c:y val="0.22768518518518518"/>
          <c:w val="0.90489701718319693"/>
          <c:h val="0.58746864975211444"/>
        </c:manualLayout>
      </c:layout>
      <c:barChart>
        <c:barDir val="col"/>
        <c:grouping val="clustered"/>
        <c:varyColors val="0"/>
        <c:ser>
          <c:idx val="0"/>
          <c:order val="0"/>
          <c:tx>
            <c:v>Omsättning/person</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Kaaviot'!$B$21:$F$21</c:f>
              <c:numCache>
                <c:formatCode>General</c:formatCode>
                <c:ptCount val="5"/>
                <c:pt idx="0">
                  <c:v>2023</c:v>
                </c:pt>
                <c:pt idx="1">
                  <c:v>2024</c:v>
                </c:pt>
                <c:pt idx="2" formatCode="0">
                  <c:v>2026</c:v>
                </c:pt>
                <c:pt idx="3" formatCode="0">
                  <c:v>2027</c:v>
                </c:pt>
                <c:pt idx="4" formatCode="0">
                  <c:v>2028</c:v>
                </c:pt>
              </c:numCache>
            </c:numRef>
          </c:cat>
          <c:val>
            <c:numRef>
              <c:f>'6 Kaaviot'!$B$22:$F$22</c:f>
              <c:numCache>
                <c:formatCode>#\ ##0.0</c:formatCode>
                <c:ptCount val="5"/>
                <c:pt idx="0">
                  <c:v>0</c:v>
                </c:pt>
                <c:pt idx="1">
                  <c:v>0</c:v>
                </c:pt>
                <c:pt idx="2">
                  <c:v>0</c:v>
                </c:pt>
                <c:pt idx="3">
                  <c:v>0</c:v>
                </c:pt>
                <c:pt idx="4">
                  <c:v>0</c:v>
                </c:pt>
              </c:numCache>
            </c:numRef>
          </c:val>
          <c:extLst>
            <c:ext xmlns:c16="http://schemas.microsoft.com/office/drawing/2014/chart" uri="{C3380CC4-5D6E-409C-BE32-E72D297353CC}">
              <c16:uniqueId val="{00000000-6FDE-4CF1-B055-B9808B8DC5F7}"/>
            </c:ext>
          </c:extLst>
        </c:ser>
        <c:ser>
          <c:idx val="1"/>
          <c:order val="1"/>
          <c:tx>
            <c:v>Driftskapital/person</c:v>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Kaaviot'!$B$21:$F$21</c:f>
              <c:numCache>
                <c:formatCode>General</c:formatCode>
                <c:ptCount val="5"/>
                <c:pt idx="0">
                  <c:v>2023</c:v>
                </c:pt>
                <c:pt idx="1">
                  <c:v>2024</c:v>
                </c:pt>
                <c:pt idx="2" formatCode="0">
                  <c:v>2026</c:v>
                </c:pt>
                <c:pt idx="3" formatCode="0">
                  <c:v>2027</c:v>
                </c:pt>
                <c:pt idx="4" formatCode="0">
                  <c:v>2028</c:v>
                </c:pt>
              </c:numCache>
            </c:numRef>
          </c:cat>
          <c:val>
            <c:numRef>
              <c:f>'6 Kaaviot'!$B$23:$F$23</c:f>
              <c:numCache>
                <c:formatCode>0.0</c:formatCode>
                <c:ptCount val="5"/>
                <c:pt idx="0">
                  <c:v>0</c:v>
                </c:pt>
                <c:pt idx="1">
                  <c:v>0</c:v>
                </c:pt>
                <c:pt idx="2" formatCode="#\ ##0.0">
                  <c:v>0</c:v>
                </c:pt>
                <c:pt idx="3" formatCode="#\ ##0.0">
                  <c:v>0</c:v>
                </c:pt>
                <c:pt idx="4" formatCode="#\ ##0.0">
                  <c:v>0</c:v>
                </c:pt>
              </c:numCache>
            </c:numRef>
          </c:val>
          <c:extLst>
            <c:ext xmlns:c16="http://schemas.microsoft.com/office/drawing/2014/chart" uri="{C3380CC4-5D6E-409C-BE32-E72D297353CC}">
              <c16:uniqueId val="{00000001-6FDE-4CF1-B055-B9808B8DC5F7}"/>
            </c:ext>
          </c:extLst>
        </c:ser>
        <c:dLbls>
          <c:showLegendKey val="0"/>
          <c:showVal val="0"/>
          <c:showCatName val="0"/>
          <c:showSerName val="0"/>
          <c:showPercent val="0"/>
          <c:showBubbleSize val="0"/>
        </c:dLbls>
        <c:gapWidth val="219"/>
        <c:overlap val="-27"/>
        <c:axId val="812683840"/>
        <c:axId val="812688760"/>
      </c:barChart>
      <c:catAx>
        <c:axId val="812683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fi-FI"/>
          </a:p>
        </c:txPr>
        <c:crossAx val="812688760"/>
        <c:crosses val="autoZero"/>
        <c:auto val="1"/>
        <c:lblAlgn val="ctr"/>
        <c:lblOffset val="100"/>
        <c:noMultiLvlLbl val="0"/>
      </c:catAx>
      <c:valAx>
        <c:axId val="812688760"/>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812683840"/>
        <c:crosses val="autoZero"/>
        <c:crossBetween val="between"/>
      </c:valAx>
      <c:spPr>
        <a:solidFill>
          <a:schemeClr val="bg1">
            <a:lumMod val="95000"/>
          </a:schemeClr>
        </a:solidFill>
        <a:ln>
          <a:noFill/>
        </a:ln>
        <a:effectLst/>
      </c:spPr>
    </c:plotArea>
    <c:legend>
      <c:legendPos val="b"/>
      <c:layout>
        <c:manualLayout>
          <c:xMode val="edge"/>
          <c:yMode val="edge"/>
          <c:x val="0.29705823410004778"/>
          <c:y val="0.90798556430446198"/>
          <c:w val="0.40588337018217552"/>
          <c:h val="7.8125546806649168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9862470412057386"/>
          <c:y val="3.2407407407407406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7.4301459550028578E-2"/>
          <c:y val="0.16051775579334635"/>
          <c:w val="0.90314831494771641"/>
          <c:h val="0.72052852367813003"/>
        </c:manualLayout>
      </c:layout>
      <c:barChart>
        <c:barDir val="col"/>
        <c:grouping val="clustered"/>
        <c:varyColors val="0"/>
        <c:ser>
          <c:idx val="0"/>
          <c:order val="0"/>
          <c:tx>
            <c:v>Driftsbidrags-%</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Kaaviot'!$B$43:$F$43</c:f>
              <c:numCache>
                <c:formatCode>General</c:formatCode>
                <c:ptCount val="5"/>
                <c:pt idx="0">
                  <c:v>2023</c:v>
                </c:pt>
                <c:pt idx="1">
                  <c:v>2024</c:v>
                </c:pt>
                <c:pt idx="2" formatCode="0">
                  <c:v>2027</c:v>
                </c:pt>
                <c:pt idx="3" formatCode="0">
                  <c:v>2028</c:v>
                </c:pt>
                <c:pt idx="4" formatCode="0">
                  <c:v>2029</c:v>
                </c:pt>
              </c:numCache>
            </c:numRef>
          </c:cat>
          <c:val>
            <c:numRef>
              <c:f>'6 Kaaviot'!$B$29:$F$29</c:f>
              <c:numCache>
                <c:formatCode>0.0\ %</c:formatCode>
                <c:ptCount val="5"/>
                <c:pt idx="0">
                  <c:v>0</c:v>
                </c:pt>
                <c:pt idx="1">
                  <c:v>0</c:v>
                </c:pt>
                <c:pt idx="2">
                  <c:v>0</c:v>
                </c:pt>
                <c:pt idx="3">
                  <c:v>0</c:v>
                </c:pt>
                <c:pt idx="4">
                  <c:v>0</c:v>
                </c:pt>
              </c:numCache>
            </c:numRef>
          </c:val>
          <c:extLst>
            <c:ext xmlns:c16="http://schemas.microsoft.com/office/drawing/2014/chart" uri="{C3380CC4-5D6E-409C-BE32-E72D297353CC}">
              <c16:uniqueId val="{00000000-A893-4506-81BF-A6A512BF4838}"/>
            </c:ext>
          </c:extLst>
        </c:ser>
        <c:dLbls>
          <c:dLblPos val="outEnd"/>
          <c:showLegendKey val="0"/>
          <c:showVal val="1"/>
          <c:showCatName val="0"/>
          <c:showSerName val="0"/>
          <c:showPercent val="0"/>
          <c:showBubbleSize val="0"/>
        </c:dLbls>
        <c:gapWidth val="219"/>
        <c:overlap val="-27"/>
        <c:axId val="722667560"/>
        <c:axId val="722663624"/>
      </c:barChart>
      <c:catAx>
        <c:axId val="7226675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fi-FI"/>
          </a:p>
        </c:txPr>
        <c:crossAx val="722663624"/>
        <c:crosses val="autoZero"/>
        <c:auto val="1"/>
        <c:lblAlgn val="ctr"/>
        <c:lblOffset val="100"/>
        <c:noMultiLvlLbl val="0"/>
      </c:catAx>
      <c:valAx>
        <c:axId val="722663624"/>
        <c:scaling>
          <c:orientation val="minMax"/>
        </c:scaling>
        <c:delete val="0"/>
        <c:axPos val="l"/>
        <c:majorGridlines>
          <c:spPr>
            <a:ln w="9525" cap="flat" cmpd="sng" algn="ctr">
              <a:solidFill>
                <a:schemeClr val="tx1">
                  <a:lumMod val="15000"/>
                  <a:lumOff val="85000"/>
                </a:schemeClr>
              </a:solidFill>
              <a:round/>
            </a:ln>
            <a:effectLst/>
          </c:spPr>
        </c:majorGridlines>
        <c:numFmt formatCode="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22667560"/>
        <c:crosses val="autoZero"/>
        <c:crossBetween val="between"/>
      </c:valAx>
      <c:spPr>
        <a:solidFill>
          <a:schemeClr val="bg1">
            <a:lumMod val="95000"/>
          </a:schemeClr>
        </a:solid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7.8880127083159238E-2"/>
          <c:y val="0.14872474948728576"/>
          <c:w val="0.87544077719057456"/>
          <c:h val="0.7771028722624248"/>
        </c:manualLayout>
      </c:layout>
      <c:barChart>
        <c:barDir val="col"/>
        <c:grouping val="clustered"/>
        <c:varyColors val="0"/>
        <c:ser>
          <c:idx val="0"/>
          <c:order val="0"/>
          <c:tx>
            <c:strRef>
              <c:f>Kassabudget!$C$57</c:f>
              <c:strCache>
                <c:ptCount val="1"/>
                <c:pt idx="0">
                  <c:v> INTÄKTER - UTGIFTER</c:v>
                </c:pt>
              </c:strCache>
            </c:strRef>
          </c:tx>
          <c:spPr>
            <a:solidFill>
              <a:schemeClr val="accent5">
                <a:tint val="77000"/>
              </a:schemeClr>
            </a:solidFill>
            <a:ln>
              <a:noFill/>
            </a:ln>
            <a:effectLst/>
          </c:spPr>
          <c:invertIfNegative val="0"/>
          <c:cat>
            <c:strRef>
              <c:f>Kassabudget!$G$6:$R$6</c:f>
              <c:strCache>
                <c:ptCount val="12"/>
                <c:pt idx="0">
                  <c:v>JAN</c:v>
                </c:pt>
                <c:pt idx="1">
                  <c:v>FEB</c:v>
                </c:pt>
                <c:pt idx="2">
                  <c:v>MARS</c:v>
                </c:pt>
                <c:pt idx="3">
                  <c:v>APR</c:v>
                </c:pt>
                <c:pt idx="4">
                  <c:v>MAJ</c:v>
                </c:pt>
                <c:pt idx="5">
                  <c:v>JUNI</c:v>
                </c:pt>
                <c:pt idx="6">
                  <c:v>JULI</c:v>
                </c:pt>
                <c:pt idx="7">
                  <c:v>AUG</c:v>
                </c:pt>
                <c:pt idx="8">
                  <c:v>SEP</c:v>
                </c:pt>
                <c:pt idx="9">
                  <c:v>OKT</c:v>
                </c:pt>
                <c:pt idx="10">
                  <c:v>NOV</c:v>
                </c:pt>
                <c:pt idx="11">
                  <c:v>DEC</c:v>
                </c:pt>
              </c:strCache>
            </c:strRef>
          </c:cat>
          <c:val>
            <c:numRef>
              <c:f>Kassabudget!$G$57:$R$57</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C02-44D3-9583-EFEE0E34CBD1}"/>
            </c:ext>
          </c:extLst>
        </c:ser>
        <c:ser>
          <c:idx val="1"/>
          <c:order val="1"/>
          <c:tx>
            <c:strRef>
              <c:f>Kassabudget!$C$58</c:f>
              <c:strCache>
                <c:ptCount val="1"/>
                <c:pt idx="0">
                  <c:v> KASSA I SLUTET AV PERIODEN</c:v>
                </c:pt>
              </c:strCache>
            </c:strRef>
          </c:tx>
          <c:spPr>
            <a:solidFill>
              <a:schemeClr val="accent5">
                <a:shade val="76000"/>
              </a:schemeClr>
            </a:solidFill>
            <a:ln>
              <a:noFill/>
            </a:ln>
            <a:effectLst/>
          </c:spPr>
          <c:invertIfNegative val="0"/>
          <c:cat>
            <c:strRef>
              <c:f>Kassabudget!$G$6:$R$6</c:f>
              <c:strCache>
                <c:ptCount val="12"/>
                <c:pt idx="0">
                  <c:v>JAN</c:v>
                </c:pt>
                <c:pt idx="1">
                  <c:v>FEB</c:v>
                </c:pt>
                <c:pt idx="2">
                  <c:v>MARS</c:v>
                </c:pt>
                <c:pt idx="3">
                  <c:v>APR</c:v>
                </c:pt>
                <c:pt idx="4">
                  <c:v>MAJ</c:v>
                </c:pt>
                <c:pt idx="5">
                  <c:v>JUNI</c:v>
                </c:pt>
                <c:pt idx="6">
                  <c:v>JULI</c:v>
                </c:pt>
                <c:pt idx="7">
                  <c:v>AUG</c:v>
                </c:pt>
                <c:pt idx="8">
                  <c:v>SEP</c:v>
                </c:pt>
                <c:pt idx="9">
                  <c:v>OKT</c:v>
                </c:pt>
                <c:pt idx="10">
                  <c:v>NOV</c:v>
                </c:pt>
                <c:pt idx="11">
                  <c:v>DEC</c:v>
                </c:pt>
              </c:strCache>
            </c:strRef>
          </c:cat>
          <c:val>
            <c:numRef>
              <c:f>Kassabudget!$G$58:$R$58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EC02-44D3-9583-EFEE0E34CBD1}"/>
            </c:ext>
          </c:extLst>
        </c:ser>
        <c:dLbls>
          <c:showLegendKey val="0"/>
          <c:showVal val="0"/>
          <c:showCatName val="0"/>
          <c:showSerName val="0"/>
          <c:showPercent val="0"/>
          <c:showBubbleSize val="0"/>
        </c:dLbls>
        <c:gapWidth val="150"/>
        <c:axId val="686050848"/>
        <c:axId val="686044864"/>
      </c:barChart>
      <c:catAx>
        <c:axId val="686050848"/>
        <c:scaling>
          <c:orientation val="minMax"/>
        </c:scaling>
        <c:delete val="0"/>
        <c:axPos val="b"/>
        <c:numFmt formatCode="mmm\-yy"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fi-FI"/>
          </a:p>
        </c:txPr>
        <c:crossAx val="686044864"/>
        <c:crosses val="autoZero"/>
        <c:auto val="1"/>
        <c:lblAlgn val="ctr"/>
        <c:lblOffset val="100"/>
        <c:noMultiLvlLbl val="1"/>
      </c:catAx>
      <c:valAx>
        <c:axId val="686044864"/>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fi-FI"/>
          </a:p>
        </c:txPr>
        <c:crossAx val="686050848"/>
        <c:crosses val="autoZero"/>
        <c:crossBetween val="between"/>
      </c:valAx>
      <c:spPr>
        <a:solidFill>
          <a:schemeClr val="bg1">
            <a:lumMod val="95000"/>
          </a:schemeClr>
        </a:solidFill>
        <a:ln>
          <a:noFill/>
        </a:ln>
        <a:effectLst/>
      </c:spPr>
    </c:plotArea>
    <c:legend>
      <c:legendPos val="r"/>
      <c:legendEntry>
        <c:idx val="0"/>
        <c:txPr>
          <a:bodyPr rot="0" spcFirstLastPara="1" vertOverflow="ellipsis" vert="horz" wrap="square" anchor="ctr" anchorCtr="1"/>
          <a:lstStyle/>
          <a:p>
            <a:pPr>
              <a:defRPr sz="1000" b="0" i="0" u="none" strike="noStrike" kern="1200" baseline="0">
                <a:solidFill>
                  <a:srgbClr val="000000"/>
                </a:solidFill>
                <a:latin typeface="Arial"/>
                <a:ea typeface="Arial"/>
                <a:cs typeface="Arial"/>
              </a:defRPr>
            </a:pPr>
            <a:endParaRPr lang="fi-FI"/>
          </a:p>
        </c:txPr>
      </c:legendEntry>
      <c:legendEntry>
        <c:idx val="1"/>
        <c:txPr>
          <a:bodyPr rot="0" spcFirstLastPara="1" vertOverflow="ellipsis" vert="horz" wrap="square" anchor="ctr" anchorCtr="1"/>
          <a:lstStyle/>
          <a:p>
            <a:pPr>
              <a:defRPr sz="1000" b="0" i="0" u="none" strike="noStrike" kern="1200" baseline="0">
                <a:solidFill>
                  <a:srgbClr val="000000"/>
                </a:solidFill>
                <a:latin typeface="Arial"/>
                <a:ea typeface="Arial"/>
                <a:cs typeface="Arial"/>
              </a:defRPr>
            </a:pPr>
            <a:endParaRPr lang="fi-FI"/>
          </a:p>
        </c:txPr>
      </c:legendEntry>
      <c:layout>
        <c:manualLayout>
          <c:xMode val="edge"/>
          <c:yMode val="edge"/>
          <c:x val="0.16867497988454253"/>
          <c:y val="0.17206477732793521"/>
          <c:w val="0.70548960496403812"/>
          <c:h val="8.9068825910931154E-2"/>
        </c:manualLayout>
      </c:layout>
      <c:overlay val="0"/>
      <c:spPr>
        <a:solidFill>
          <a:schemeClr val="accent1">
            <a:lumMod val="20000"/>
            <a:lumOff val="80000"/>
          </a:schemeClr>
        </a:solidFill>
        <a:ln>
          <a:noFill/>
        </a:ln>
        <a:effectLst>
          <a:outerShdw blurRad="50800" dist="50800" dir="5400000" algn="ctr" rotWithShape="0">
            <a:srgbClr val="000000">
              <a:alpha val="0"/>
            </a:srgbClr>
          </a:outerShdw>
        </a:effectLst>
      </c:spPr>
      <c:txPr>
        <a:bodyPr rot="0" spcFirstLastPara="1" vertOverflow="ellipsis" vert="horz" wrap="square" anchor="ctr" anchorCtr="1"/>
        <a:lstStyle/>
        <a:p>
          <a:pPr>
            <a:defRPr sz="165" b="0" i="0" u="none" strike="noStrike" kern="1200" baseline="0">
              <a:solidFill>
                <a:srgbClr val="000000"/>
              </a:solidFill>
              <a:latin typeface="Calibri"/>
              <a:ea typeface="Calibri"/>
              <a:cs typeface="Calibri"/>
            </a:defRPr>
          </a:pPr>
          <a:endParaRPr lang="fi-FI"/>
        </a:p>
      </c:txPr>
    </c:legend>
    <c:plotVisOnly val="1"/>
    <c:dispBlanksAs val="gap"/>
    <c:showDLblsOverMax val="0"/>
  </c:chart>
  <c:spPr>
    <a:solidFill>
      <a:schemeClr val="tx2">
        <a:lumMod val="20000"/>
        <a:lumOff val="80000"/>
      </a:schemeClr>
    </a:solidFill>
    <a:ln w="9525" cap="flat" cmpd="sng" algn="ctr">
      <a:solidFill>
        <a:schemeClr val="tx1">
          <a:tint val="75000"/>
          <a:shade val="95000"/>
          <a:satMod val="10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fi-FI"/>
    </a:p>
  </c:txPr>
  <c:printSettings>
    <c:headerFooter alignWithMargins="0"/>
    <c:pageMargins b="1" l="0.75000000000000022" r="0.75000000000000022" t="1" header="0.49212598450000011" footer="0.49212598450000011"/>
    <c:pageSetup paperSize="9" orientation="landscape" horizontalDpi="300" verticalDpi="300"/>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a:latin typeface="Arial" panose="020B0604020202020204" pitchFamily="34" charset="0"/>
                <a:cs typeface="Arial" panose="020B0604020202020204" pitchFamily="34" charset="0"/>
              </a:rPr>
              <a:t>Driftsbidrags-%</a:t>
            </a:r>
          </a:p>
        </c:rich>
      </c:tx>
      <c:layout>
        <c:manualLayout>
          <c:xMode val="edge"/>
          <c:yMode val="edge"/>
          <c:x val="0.48986098959852242"/>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6.9647092306232811E-2"/>
          <c:y val="0.16621317750753936"/>
          <c:w val="0.90826455428011255"/>
          <c:h val="0.71892696793989574"/>
        </c:manualLayout>
      </c:layout>
      <c:barChart>
        <c:barDir val="col"/>
        <c:grouping val="clustered"/>
        <c:varyColors val="0"/>
        <c:ser>
          <c:idx val="0"/>
          <c:order val="0"/>
          <c:tx>
            <c:v>Dirfsbidrags-%</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Kaaviot'!$B$43:$F$43</c:f>
              <c:numCache>
                <c:formatCode>General</c:formatCode>
                <c:ptCount val="5"/>
                <c:pt idx="0">
                  <c:v>2023</c:v>
                </c:pt>
                <c:pt idx="1">
                  <c:v>2024</c:v>
                </c:pt>
                <c:pt idx="2" formatCode="0">
                  <c:v>2027</c:v>
                </c:pt>
                <c:pt idx="3" formatCode="0">
                  <c:v>2028</c:v>
                </c:pt>
                <c:pt idx="4" formatCode="0">
                  <c:v>2029</c:v>
                </c:pt>
              </c:numCache>
            </c:numRef>
          </c:cat>
          <c:val>
            <c:numRef>
              <c:f>'6 Kaaviot'!$B$44:$F$44</c:f>
              <c:numCache>
                <c:formatCode>0.0\ %</c:formatCode>
                <c:ptCount val="5"/>
                <c:pt idx="0">
                  <c:v>0</c:v>
                </c:pt>
                <c:pt idx="1">
                  <c:v>0</c:v>
                </c:pt>
                <c:pt idx="2">
                  <c:v>0</c:v>
                </c:pt>
                <c:pt idx="3">
                  <c:v>0</c:v>
                </c:pt>
                <c:pt idx="4">
                  <c:v>0</c:v>
                </c:pt>
              </c:numCache>
            </c:numRef>
          </c:val>
          <c:extLst>
            <c:ext xmlns:c16="http://schemas.microsoft.com/office/drawing/2014/chart" uri="{C3380CC4-5D6E-409C-BE32-E72D297353CC}">
              <c16:uniqueId val="{00000000-8B42-494A-B11C-F37535A5B919}"/>
            </c:ext>
          </c:extLst>
        </c:ser>
        <c:dLbls>
          <c:showLegendKey val="0"/>
          <c:showVal val="0"/>
          <c:showCatName val="0"/>
          <c:showSerName val="0"/>
          <c:showPercent val="0"/>
          <c:showBubbleSize val="0"/>
        </c:dLbls>
        <c:gapWidth val="219"/>
        <c:overlap val="-27"/>
        <c:axId val="644394832"/>
        <c:axId val="644396800"/>
      </c:barChart>
      <c:catAx>
        <c:axId val="6443948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fi-FI"/>
          </a:p>
        </c:txPr>
        <c:crossAx val="644396800"/>
        <c:crosses val="autoZero"/>
        <c:auto val="1"/>
        <c:lblAlgn val="ctr"/>
        <c:lblOffset val="100"/>
        <c:noMultiLvlLbl val="0"/>
      </c:catAx>
      <c:valAx>
        <c:axId val="644396800"/>
        <c:scaling>
          <c:orientation val="minMax"/>
        </c:scaling>
        <c:delete val="0"/>
        <c:axPos val="l"/>
        <c:majorGridlines>
          <c:spPr>
            <a:ln w="9525" cap="flat" cmpd="sng" algn="ctr">
              <a:solidFill>
                <a:schemeClr val="tx1">
                  <a:lumMod val="15000"/>
                  <a:lumOff val="85000"/>
                </a:schemeClr>
              </a:solidFill>
              <a:round/>
            </a:ln>
            <a:effectLst/>
          </c:spPr>
        </c:majorGridlines>
        <c:numFmt formatCode="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644394832"/>
        <c:crosses val="autoZero"/>
        <c:crossBetween val="between"/>
      </c:valAx>
      <c:spPr>
        <a:solidFill>
          <a:schemeClr val="bg1">
            <a:lumMod val="95000"/>
          </a:schemeClr>
        </a:solid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sz="1200" b="1">
                <a:latin typeface="Arial" panose="020B0604020202020204" pitchFamily="34" charset="0"/>
                <a:cs typeface="Arial" panose="020B0604020202020204" pitchFamily="34" charset="0"/>
              </a:rPr>
              <a:t>Omsättning</a:t>
            </a:r>
            <a:r>
              <a:rPr lang="fi-FI" sz="1200" b="1" baseline="0">
                <a:latin typeface="Arial" panose="020B0604020202020204" pitchFamily="34" charset="0"/>
                <a:cs typeface="Arial" panose="020B0604020202020204" pitchFamily="34" charset="0"/>
              </a:rPr>
              <a:t> och Driftskapital/person</a:t>
            </a:r>
          </a:p>
          <a:p>
            <a:pPr>
              <a:defRPr/>
            </a:pPr>
            <a:r>
              <a:rPr lang="fi-FI" sz="1200" b="1" baseline="0">
                <a:latin typeface="Arial" panose="020B0604020202020204" pitchFamily="34" charset="0"/>
                <a:cs typeface="Arial" panose="020B0604020202020204" pitchFamily="34" charset="0"/>
              </a:rPr>
              <a:t>1000 €</a:t>
            </a:r>
            <a:endParaRPr lang="fi-FI" sz="1200" b="1">
              <a:latin typeface="Arial" panose="020B0604020202020204" pitchFamily="34" charset="0"/>
              <a:cs typeface="Arial" panose="020B0604020202020204" pitchFamily="34" charset="0"/>
            </a:endParaRPr>
          </a:p>
        </c:rich>
      </c:tx>
      <c:layout>
        <c:manualLayout>
          <c:xMode val="edge"/>
          <c:yMode val="edge"/>
          <c:x val="0.47118226600985219"/>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7.0472440944881892E-2"/>
          <c:y val="0.20916666666666667"/>
          <c:w val="0.90489701718319693"/>
          <c:h val="0.63376494604841049"/>
        </c:manualLayout>
      </c:layout>
      <c:barChart>
        <c:barDir val="col"/>
        <c:grouping val="clustered"/>
        <c:varyColors val="0"/>
        <c:ser>
          <c:idx val="0"/>
          <c:order val="0"/>
          <c:tx>
            <c:v>Omsättning/person</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Kaaviot'!$B$21:$F$21</c:f>
              <c:numCache>
                <c:formatCode>General</c:formatCode>
                <c:ptCount val="5"/>
                <c:pt idx="0">
                  <c:v>2023</c:v>
                </c:pt>
                <c:pt idx="1">
                  <c:v>2024</c:v>
                </c:pt>
                <c:pt idx="2" formatCode="0">
                  <c:v>2026</c:v>
                </c:pt>
                <c:pt idx="3" formatCode="0">
                  <c:v>2027</c:v>
                </c:pt>
                <c:pt idx="4" formatCode="0">
                  <c:v>2028</c:v>
                </c:pt>
              </c:numCache>
            </c:numRef>
          </c:cat>
          <c:val>
            <c:numRef>
              <c:f>'6 Kaaviot'!$B$39:$F$39</c:f>
              <c:numCache>
                <c:formatCode>#\ ##0.0</c:formatCode>
                <c:ptCount val="5"/>
                <c:pt idx="0">
                  <c:v>0</c:v>
                </c:pt>
                <c:pt idx="1">
                  <c:v>0</c:v>
                </c:pt>
                <c:pt idx="2">
                  <c:v>0</c:v>
                </c:pt>
                <c:pt idx="3">
                  <c:v>0</c:v>
                </c:pt>
                <c:pt idx="4">
                  <c:v>0</c:v>
                </c:pt>
              </c:numCache>
            </c:numRef>
          </c:val>
          <c:extLst>
            <c:ext xmlns:c16="http://schemas.microsoft.com/office/drawing/2014/chart" uri="{C3380CC4-5D6E-409C-BE32-E72D297353CC}">
              <c16:uniqueId val="{00000000-0512-46AE-8E6F-FAC5291CA732}"/>
            </c:ext>
          </c:extLst>
        </c:ser>
        <c:ser>
          <c:idx val="1"/>
          <c:order val="1"/>
          <c:tx>
            <c:v>Driftskapital/person</c:v>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Kaaviot'!$B$21:$F$21</c:f>
              <c:numCache>
                <c:formatCode>General</c:formatCode>
                <c:ptCount val="5"/>
                <c:pt idx="0">
                  <c:v>2023</c:v>
                </c:pt>
                <c:pt idx="1">
                  <c:v>2024</c:v>
                </c:pt>
                <c:pt idx="2" formatCode="0">
                  <c:v>2026</c:v>
                </c:pt>
                <c:pt idx="3" formatCode="0">
                  <c:v>2027</c:v>
                </c:pt>
                <c:pt idx="4" formatCode="0">
                  <c:v>2028</c:v>
                </c:pt>
              </c:numCache>
            </c:numRef>
          </c:cat>
          <c:val>
            <c:numRef>
              <c:f>'6 Kaaviot'!$B$40:$F$40</c:f>
              <c:numCache>
                <c:formatCode>#\ ##0.0</c:formatCode>
                <c:ptCount val="5"/>
                <c:pt idx="0">
                  <c:v>0</c:v>
                </c:pt>
                <c:pt idx="1">
                  <c:v>0</c:v>
                </c:pt>
                <c:pt idx="2">
                  <c:v>0</c:v>
                </c:pt>
                <c:pt idx="3">
                  <c:v>0</c:v>
                </c:pt>
                <c:pt idx="4">
                  <c:v>0</c:v>
                </c:pt>
              </c:numCache>
            </c:numRef>
          </c:val>
          <c:extLst>
            <c:ext xmlns:c16="http://schemas.microsoft.com/office/drawing/2014/chart" uri="{C3380CC4-5D6E-409C-BE32-E72D297353CC}">
              <c16:uniqueId val="{00000001-0512-46AE-8E6F-FAC5291CA732}"/>
            </c:ext>
          </c:extLst>
        </c:ser>
        <c:dLbls>
          <c:showLegendKey val="0"/>
          <c:showVal val="0"/>
          <c:showCatName val="0"/>
          <c:showSerName val="0"/>
          <c:showPercent val="0"/>
          <c:showBubbleSize val="0"/>
        </c:dLbls>
        <c:gapWidth val="219"/>
        <c:overlap val="-27"/>
        <c:axId val="812683840"/>
        <c:axId val="812688760"/>
      </c:barChart>
      <c:catAx>
        <c:axId val="812683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fi-FI"/>
          </a:p>
        </c:txPr>
        <c:crossAx val="812688760"/>
        <c:crosses val="autoZero"/>
        <c:auto val="1"/>
        <c:lblAlgn val="ctr"/>
        <c:lblOffset val="100"/>
        <c:noMultiLvlLbl val="0"/>
      </c:catAx>
      <c:valAx>
        <c:axId val="812688760"/>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812683840"/>
        <c:crosses val="autoZero"/>
        <c:crossBetween val="between"/>
      </c:valAx>
      <c:spPr>
        <a:solidFill>
          <a:schemeClr val="bg1">
            <a:lumMod val="95000"/>
          </a:schemeClr>
        </a:solidFill>
        <a:ln>
          <a:noFill/>
        </a:ln>
        <a:effectLst/>
      </c:spPr>
    </c:plotArea>
    <c:legend>
      <c:legendPos val="b"/>
      <c:layout>
        <c:manualLayout>
          <c:xMode val="edge"/>
          <c:yMode val="edge"/>
          <c:x val="0.29911077925604124"/>
          <c:y val="0.90798556430446198"/>
          <c:w val="0.40588337018217552"/>
          <c:h val="7.812554680664916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Reversed" id="25">
  <a:schemeClr val="accent5"/>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K1 Kostnader'!A1"/><Relationship Id="rId2" Type="http://schemas.openxmlformats.org/officeDocument/2006/relationships/hyperlink" Target="#'FS1 Kostnader '!A1"/><Relationship Id="rId1" Type="http://schemas.openxmlformats.org/officeDocument/2006/relationships/image" Target="../media/image1.png"/><Relationship Id="rId6" Type="http://schemas.openxmlformats.org/officeDocument/2006/relationships/image" Target="../media/image4.png"/><Relationship Id="rId5" Type="http://schemas.openxmlformats.org/officeDocument/2006/relationships/image" Target="../media/image3.png"/><Relationship Id="rId4" Type="http://schemas.openxmlformats.org/officeDocument/2006/relationships/image" Target="../media/image2.jpeg"/></Relationships>
</file>

<file path=xl/drawings/_rels/drawing10.xml.rels><?xml version="1.0" encoding="UTF-8" standalone="yes"?>
<Relationships xmlns="http://schemas.openxmlformats.org/package/2006/relationships"><Relationship Id="rId8" Type="http://schemas.openxmlformats.org/officeDocument/2006/relationships/hyperlink" Target="#'Ekonomiska parametrar'!A1"/><Relationship Id="rId3" Type="http://schemas.openxmlformats.org/officeDocument/2006/relationships/image" Target="../media/image18.jpeg"/><Relationship Id="rId7" Type="http://schemas.openxmlformats.org/officeDocument/2006/relationships/hyperlink" Target="#Kassabudget!A1"/><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hyperlink" Target="#'FS2 F&#246;rs&#228;ljning '!A1"/><Relationship Id="rId5" Type="http://schemas.openxmlformats.org/officeDocument/2006/relationships/hyperlink" Target="#'FS1 Kostnader '!A1"/><Relationship Id="rId4" Type="http://schemas.openxmlformats.org/officeDocument/2006/relationships/image" Target="../media/image19.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20.jpeg"/><Relationship Id="rId2" Type="http://schemas.openxmlformats.org/officeDocument/2006/relationships/hyperlink" Target="#'K3 Resultat'!A1"/><Relationship Id="rId1" Type="http://schemas.openxmlformats.org/officeDocument/2006/relationships/hyperlink" Target="#'FS3 Resultat'!A1"/></Relationships>
</file>

<file path=xl/drawings/_rels/drawing12.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xml.rels><?xml version="1.0" encoding="UTF-8" standalone="yes"?>
<Relationships xmlns="http://schemas.openxmlformats.org/package/2006/relationships"><Relationship Id="rId3" Type="http://schemas.openxmlformats.org/officeDocument/2006/relationships/hyperlink" Target="#'K3 Resultat'!A1"/><Relationship Id="rId2" Type="http://schemas.openxmlformats.org/officeDocument/2006/relationships/hyperlink" Target="#'K2 F&#246;rs&#228;ljning'!A1"/><Relationship Id="rId1" Type="http://schemas.openxmlformats.org/officeDocument/2006/relationships/image" Target="../media/image5.jpeg"/></Relationships>
</file>

<file path=xl/drawings/_rels/drawing3.xml.rels><?xml version="1.0" encoding="UTF-8" standalone="yes"?>
<Relationships xmlns="http://schemas.openxmlformats.org/package/2006/relationships"><Relationship Id="rId3" Type="http://schemas.openxmlformats.org/officeDocument/2006/relationships/hyperlink" Target="#'K1 Kostnader'!A1"/><Relationship Id="rId2" Type="http://schemas.openxmlformats.org/officeDocument/2006/relationships/image" Target="../media/image7.jpeg"/><Relationship Id="rId1" Type="http://schemas.openxmlformats.org/officeDocument/2006/relationships/image" Target="../media/image6.jpeg"/><Relationship Id="rId5" Type="http://schemas.openxmlformats.org/officeDocument/2006/relationships/image" Target="../media/image8.jpeg"/><Relationship Id="rId4" Type="http://schemas.openxmlformats.org/officeDocument/2006/relationships/hyperlink" Target="#'K3 Resultat'!A1"/></Relationships>
</file>

<file path=xl/drawings/_rels/drawing4.xml.rels><?xml version="1.0" encoding="UTF-8" standalone="yes"?>
<Relationships xmlns="http://schemas.openxmlformats.org/package/2006/relationships"><Relationship Id="rId8" Type="http://schemas.openxmlformats.org/officeDocument/2006/relationships/hyperlink" Target="#'Ekonomiska parametrar'!A1"/><Relationship Id="rId3" Type="http://schemas.openxmlformats.org/officeDocument/2006/relationships/image" Target="../media/image10.jpeg"/><Relationship Id="rId7" Type="http://schemas.openxmlformats.org/officeDocument/2006/relationships/hyperlink" Target="#Kassabudget!A1"/><Relationship Id="rId2" Type="http://schemas.openxmlformats.org/officeDocument/2006/relationships/image" Target="../media/image9.jpeg"/><Relationship Id="rId1" Type="http://schemas.openxmlformats.org/officeDocument/2006/relationships/chart" Target="../charts/chart1.xml"/><Relationship Id="rId6" Type="http://schemas.openxmlformats.org/officeDocument/2006/relationships/hyperlink" Target="#'K2 F&#246;rs&#228;ljning'!A1"/><Relationship Id="rId5" Type="http://schemas.openxmlformats.org/officeDocument/2006/relationships/hyperlink" Target="#'K1 Kostnader'!A1"/><Relationship Id="rId4" Type="http://schemas.openxmlformats.org/officeDocument/2006/relationships/chart" Target="../charts/chart2.xml"/></Relationships>
</file>

<file path=xl/drawings/_rels/drawing5.xml.rels><?xml version="1.0" encoding="UTF-8" standalone="yes"?>
<Relationships xmlns="http://schemas.openxmlformats.org/package/2006/relationships"><Relationship Id="rId3" Type="http://schemas.openxmlformats.org/officeDocument/2006/relationships/hyperlink" Target="#'K1 Kostnader'!A1"/><Relationship Id="rId2" Type="http://schemas.openxmlformats.org/officeDocument/2006/relationships/hyperlink" Target="#'FS1 Kostnader '!A1"/><Relationship Id="rId1" Type="http://schemas.openxmlformats.org/officeDocument/2006/relationships/image" Target="../media/image11.jpeg"/></Relationships>
</file>

<file path=xl/drawings/_rels/drawing6.xml.rels><?xml version="1.0" encoding="UTF-8" standalone="yes"?>
<Relationships xmlns="http://schemas.openxmlformats.org/package/2006/relationships"><Relationship Id="rId3" Type="http://schemas.openxmlformats.org/officeDocument/2006/relationships/image" Target="../media/image13.jpeg"/><Relationship Id="rId2" Type="http://schemas.openxmlformats.org/officeDocument/2006/relationships/image" Target="../media/image12.jpeg"/><Relationship Id="rId1" Type="http://schemas.openxmlformats.org/officeDocument/2006/relationships/chart" Target="../charts/chart3.xml"/><Relationship Id="rId5" Type="http://schemas.openxmlformats.org/officeDocument/2006/relationships/hyperlink" Target="#'K3 Resultat'!A1"/><Relationship Id="rId4" Type="http://schemas.openxmlformats.org/officeDocument/2006/relationships/hyperlink" Target="#'FS3 Resultat'!A1"/></Relationships>
</file>

<file path=xl/drawings/_rels/drawing8.xml.rels><?xml version="1.0" encoding="UTF-8" standalone="yes"?>
<Relationships xmlns="http://schemas.openxmlformats.org/package/2006/relationships"><Relationship Id="rId3" Type="http://schemas.openxmlformats.org/officeDocument/2006/relationships/hyperlink" Target="#'FS3 Resultat'!A1"/><Relationship Id="rId2" Type="http://schemas.openxmlformats.org/officeDocument/2006/relationships/hyperlink" Target="#'FS2 F&#246;rs&#228;ljning '!A1"/><Relationship Id="rId1" Type="http://schemas.openxmlformats.org/officeDocument/2006/relationships/image" Target="../media/image14.jpeg"/></Relationships>
</file>

<file path=xl/drawings/_rels/drawing9.xml.rels><?xml version="1.0" encoding="UTF-8" standalone="yes"?>
<Relationships xmlns="http://schemas.openxmlformats.org/package/2006/relationships"><Relationship Id="rId3" Type="http://schemas.openxmlformats.org/officeDocument/2006/relationships/image" Target="../media/image17.jpeg"/><Relationship Id="rId2" Type="http://schemas.openxmlformats.org/officeDocument/2006/relationships/image" Target="../media/image16.jpeg"/><Relationship Id="rId1" Type="http://schemas.openxmlformats.org/officeDocument/2006/relationships/image" Target="../media/image15.jpeg"/><Relationship Id="rId5" Type="http://schemas.openxmlformats.org/officeDocument/2006/relationships/hyperlink" Target="#'FS3 Resultat'!A1"/><Relationship Id="rId4" Type="http://schemas.openxmlformats.org/officeDocument/2006/relationships/hyperlink" Target="#'FS1 Kostnader '!A1"/></Relationships>
</file>

<file path=xl/drawings/drawing1.xml><?xml version="1.0" encoding="utf-8"?>
<xdr:wsDr xmlns:xdr="http://schemas.openxmlformats.org/drawingml/2006/spreadsheetDrawing" xmlns:a="http://schemas.openxmlformats.org/drawingml/2006/main">
  <xdr:twoCellAnchor editAs="oneCell">
    <xdr:from>
      <xdr:col>1</xdr:col>
      <xdr:colOff>81642</xdr:colOff>
      <xdr:row>3</xdr:row>
      <xdr:rowOff>48984</xdr:rowOff>
    </xdr:from>
    <xdr:to>
      <xdr:col>12</xdr:col>
      <xdr:colOff>576943</xdr:colOff>
      <xdr:row>32</xdr:row>
      <xdr:rowOff>66824</xdr:rowOff>
    </xdr:to>
    <xdr:pic>
      <xdr:nvPicPr>
        <xdr:cNvPr id="6" name="Kuva 5">
          <a:extLst>
            <a:ext uri="{FF2B5EF4-FFF2-40B4-BE49-F238E27FC236}">
              <a16:creationId xmlns:a16="http://schemas.microsoft.com/office/drawing/2014/main" id="{ED2AF25C-2F94-4D5D-BE3B-C86B5C696E6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53142" y="522513"/>
          <a:ext cx="8180615" cy="4905525"/>
        </a:xfrm>
        <a:prstGeom prst="rect">
          <a:avLst/>
        </a:prstGeom>
      </xdr:spPr>
    </xdr:pic>
    <xdr:clientData/>
  </xdr:twoCellAnchor>
  <xdr:twoCellAnchor>
    <xdr:from>
      <xdr:col>1</xdr:col>
      <xdr:colOff>54429</xdr:colOff>
      <xdr:row>32</xdr:row>
      <xdr:rowOff>32341</xdr:rowOff>
    </xdr:from>
    <xdr:to>
      <xdr:col>12</xdr:col>
      <xdr:colOff>587829</xdr:colOff>
      <xdr:row>32</xdr:row>
      <xdr:rowOff>141515</xdr:rowOff>
    </xdr:to>
    <xdr:sp macro="" textlink="">
      <xdr:nvSpPr>
        <xdr:cNvPr id="46" name="Suorakulmio 45">
          <a:extLst>
            <a:ext uri="{FF2B5EF4-FFF2-40B4-BE49-F238E27FC236}">
              <a16:creationId xmlns:a16="http://schemas.microsoft.com/office/drawing/2014/main" id="{00000000-0008-0000-0000-00002E000000}"/>
            </a:ext>
          </a:extLst>
        </xdr:cNvPr>
        <xdr:cNvSpPr/>
      </xdr:nvSpPr>
      <xdr:spPr>
        <a:xfrm flipV="1">
          <a:off x="625929" y="5393555"/>
          <a:ext cx="8218714" cy="109174"/>
        </a:xfrm>
        <a:prstGeom prst="rect">
          <a:avLst/>
        </a:prstGeom>
        <a:solidFill>
          <a:srgbClr val="0053A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sv-FI"/>
        </a:p>
      </xdr:txBody>
    </xdr:sp>
    <xdr:clientData/>
  </xdr:twoCellAnchor>
  <xdr:twoCellAnchor>
    <xdr:from>
      <xdr:col>6</xdr:col>
      <xdr:colOff>293913</xdr:colOff>
      <xdr:row>9</xdr:row>
      <xdr:rowOff>164645</xdr:rowOff>
    </xdr:from>
    <xdr:to>
      <xdr:col>12</xdr:col>
      <xdr:colOff>66813</xdr:colOff>
      <xdr:row>12</xdr:row>
      <xdr:rowOff>8817</xdr:rowOff>
    </xdr:to>
    <xdr:sp macro="" textlink="">
      <xdr:nvSpPr>
        <xdr:cNvPr id="43" name="Pyöristetty suorakulmio 42">
          <a:hlinkClick xmlns:r="http://schemas.openxmlformats.org/officeDocument/2006/relationships" r:id="rId2"/>
          <a:extLst>
            <a:ext uri="{FF2B5EF4-FFF2-40B4-BE49-F238E27FC236}">
              <a16:creationId xmlns:a16="http://schemas.microsoft.com/office/drawing/2014/main" id="{00000000-0008-0000-0000-00002B000000}"/>
            </a:ext>
          </a:extLst>
        </xdr:cNvPr>
        <xdr:cNvSpPr/>
      </xdr:nvSpPr>
      <xdr:spPr>
        <a:xfrm>
          <a:off x="5083627" y="1579788"/>
          <a:ext cx="3240000" cy="432000"/>
        </a:xfrm>
        <a:prstGeom prst="roundRect">
          <a:avLst>
            <a:gd name="adj" fmla="val 24414"/>
          </a:avLst>
        </a:prstGeom>
        <a:solidFill>
          <a:schemeClr val="tx2">
            <a:lumMod val="20000"/>
            <a:lumOff val="80000"/>
          </a:schemeClr>
        </a:solidFill>
        <a:ln w="25400">
          <a:solidFill>
            <a:schemeClr val="bg1"/>
          </a:solid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300"/>
            </a:lnSpc>
          </a:pPr>
          <a:r>
            <a:rPr lang="fi-FI" sz="1400" b="1" baseline="0">
              <a:solidFill>
                <a:sysClr val="windowText" lastClr="000000"/>
              </a:solidFill>
              <a:effectLst/>
              <a:latin typeface="+mn-lt"/>
              <a:ea typeface="+mn-ea"/>
              <a:cs typeface="+mn-cs"/>
            </a:rPr>
            <a:t>TJÄNSTER FÖR FÖRETAG </a:t>
          </a:r>
          <a:endParaRPr lang="fi-FI" sz="1100">
            <a:solidFill>
              <a:sysClr val="windowText" lastClr="000000"/>
            </a:solidFill>
          </a:endParaRPr>
        </a:p>
      </xdr:txBody>
    </xdr:sp>
    <xdr:clientData/>
  </xdr:twoCellAnchor>
  <xdr:twoCellAnchor>
    <xdr:from>
      <xdr:col>1</xdr:col>
      <xdr:colOff>319089</xdr:colOff>
      <xdr:row>9</xdr:row>
      <xdr:rowOff>152398</xdr:rowOff>
    </xdr:from>
    <xdr:to>
      <xdr:col>5</xdr:col>
      <xdr:colOff>494761</xdr:colOff>
      <xdr:row>11</xdr:row>
      <xdr:rowOff>192512</xdr:rowOff>
    </xdr:to>
    <xdr:sp macro="" textlink="">
      <xdr:nvSpPr>
        <xdr:cNvPr id="40" name="Pyöristetty suorakulmio 39">
          <a:hlinkClick xmlns:r="http://schemas.openxmlformats.org/officeDocument/2006/relationships" r:id="rId3"/>
          <a:extLst>
            <a:ext uri="{FF2B5EF4-FFF2-40B4-BE49-F238E27FC236}">
              <a16:creationId xmlns:a16="http://schemas.microsoft.com/office/drawing/2014/main" id="{00000000-0008-0000-0000-000028000000}"/>
            </a:ext>
          </a:extLst>
        </xdr:cNvPr>
        <xdr:cNvSpPr/>
      </xdr:nvSpPr>
      <xdr:spPr>
        <a:xfrm>
          <a:off x="890589" y="1567541"/>
          <a:ext cx="3240001" cy="432000"/>
        </a:xfrm>
        <a:prstGeom prst="roundRect">
          <a:avLst/>
        </a:prstGeom>
        <a:solidFill>
          <a:srgbClr val="FFFF00"/>
        </a:solidFill>
        <a:ln w="25400">
          <a:solidFill>
            <a:schemeClr val="bg1"/>
          </a:solid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400"/>
            </a:lnSpc>
          </a:pPr>
          <a:r>
            <a:rPr lang="fi-FI" sz="1400" b="1">
              <a:solidFill>
                <a:sysClr val="windowText" lastClr="000000"/>
              </a:solidFill>
            </a:rPr>
            <a:t>KONSUMENTTJÄNSTER</a:t>
          </a:r>
          <a:r>
            <a:rPr lang="fi-FI" sz="1400" b="1" baseline="0">
              <a:solidFill>
                <a:sysClr val="windowText" lastClr="000000"/>
              </a:solidFill>
            </a:rPr>
            <a:t> </a:t>
          </a:r>
          <a:endParaRPr lang="fi-FI" sz="1100" b="1">
            <a:solidFill>
              <a:sysClr val="windowText" lastClr="000000"/>
            </a:solidFill>
          </a:endParaRPr>
        </a:p>
      </xdr:txBody>
    </xdr:sp>
    <xdr:clientData/>
  </xdr:twoCellAnchor>
  <xdr:twoCellAnchor editAs="oneCell">
    <xdr:from>
      <xdr:col>1</xdr:col>
      <xdr:colOff>308431</xdr:colOff>
      <xdr:row>3</xdr:row>
      <xdr:rowOff>48984</xdr:rowOff>
    </xdr:from>
    <xdr:to>
      <xdr:col>3</xdr:col>
      <xdr:colOff>180371</xdr:colOff>
      <xdr:row>5</xdr:row>
      <xdr:rowOff>118408</xdr:rowOff>
    </xdr:to>
    <xdr:pic>
      <xdr:nvPicPr>
        <xdr:cNvPr id="12" name="Kuva 37" descr="Företagstolken logo Liten .jpg">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79931" y="522513"/>
          <a:ext cx="1178226" cy="4068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391886</xdr:colOff>
      <xdr:row>12</xdr:row>
      <xdr:rowOff>152400</xdr:rowOff>
    </xdr:from>
    <xdr:to>
      <xdr:col>5</xdr:col>
      <xdr:colOff>370114</xdr:colOff>
      <xdr:row>28</xdr:row>
      <xdr:rowOff>21771</xdr:rowOff>
    </xdr:to>
    <xdr:sp macro="" textlink="">
      <xdr:nvSpPr>
        <xdr:cNvPr id="7" name="Tekstiruutu 6">
          <a:extLst>
            <a:ext uri="{FF2B5EF4-FFF2-40B4-BE49-F238E27FC236}">
              <a16:creationId xmlns:a16="http://schemas.microsoft.com/office/drawing/2014/main" id="{EF5EE98F-DDBA-4ED0-BA19-333BE99B94E3}"/>
            </a:ext>
          </a:extLst>
        </xdr:cNvPr>
        <xdr:cNvSpPr txBox="1"/>
      </xdr:nvSpPr>
      <xdr:spPr>
        <a:xfrm>
          <a:off x="963386" y="2155371"/>
          <a:ext cx="3042557" cy="2824843"/>
        </a:xfrm>
        <a:prstGeom prst="rect">
          <a:avLst/>
        </a:prstGeom>
        <a:solidFill>
          <a:srgbClr val="FFFF00">
            <a:alpha val="70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i-FI" sz="1100"/>
        </a:p>
      </xdr:txBody>
    </xdr:sp>
    <xdr:clientData/>
  </xdr:twoCellAnchor>
  <xdr:twoCellAnchor>
    <xdr:from>
      <xdr:col>1</xdr:col>
      <xdr:colOff>561976</xdr:colOff>
      <xdr:row>13</xdr:row>
      <xdr:rowOff>104774</xdr:rowOff>
    </xdr:from>
    <xdr:to>
      <xdr:col>5</xdr:col>
      <xdr:colOff>201386</xdr:colOff>
      <xdr:row>21</xdr:row>
      <xdr:rowOff>38099</xdr:rowOff>
    </xdr:to>
    <xdr:sp macro="" textlink="">
      <xdr:nvSpPr>
        <xdr:cNvPr id="2" name="Tekstiruutu 1">
          <a:extLst>
            <a:ext uri="{FF2B5EF4-FFF2-40B4-BE49-F238E27FC236}">
              <a16:creationId xmlns:a16="http://schemas.microsoft.com/office/drawing/2014/main" id="{00000000-0008-0000-0000-000002000000}"/>
            </a:ext>
          </a:extLst>
        </xdr:cNvPr>
        <xdr:cNvSpPr txBox="1"/>
      </xdr:nvSpPr>
      <xdr:spPr>
        <a:xfrm>
          <a:off x="1138919" y="2303688"/>
          <a:ext cx="2703738" cy="15498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71450" marR="0" indent="-171450" defTabSz="914400" eaLnBrk="1" fontAlgn="auto" latinLnBrk="0" hangingPunct="1">
            <a:lnSpc>
              <a:spcPts val="1500"/>
            </a:lnSpc>
            <a:spcBef>
              <a:spcPts val="0"/>
            </a:spcBef>
            <a:spcAft>
              <a:spcPts val="0"/>
            </a:spcAft>
            <a:buClrTx/>
            <a:buSzTx/>
            <a:buFont typeface="Arial" panose="020B0604020202020204" pitchFamily="34" charset="0"/>
            <a:buChar char="•"/>
            <a:tabLst/>
            <a:defRPr/>
          </a:pPr>
          <a:r>
            <a:rPr lang="fi-FI" sz="1100" b="1" baseline="0">
              <a:solidFill>
                <a:schemeClr val="dk1"/>
              </a:solidFill>
              <a:effectLst/>
              <a:latin typeface="+mn-lt"/>
              <a:ea typeface="+mn-ea"/>
              <a:cs typeface="+mn-cs"/>
            </a:rPr>
            <a:t>Detalj- och partihandel </a:t>
          </a:r>
          <a:endParaRPr lang="fi-FI" sz="1100">
            <a:effectLst/>
          </a:endParaRPr>
        </a:p>
        <a:p>
          <a:pPr marL="171450" marR="0" indent="-171450" defTabSz="914400" eaLnBrk="1" fontAlgn="auto" latinLnBrk="0" hangingPunct="1">
            <a:lnSpc>
              <a:spcPts val="1500"/>
            </a:lnSpc>
            <a:spcBef>
              <a:spcPts val="0"/>
            </a:spcBef>
            <a:spcAft>
              <a:spcPts val="0"/>
            </a:spcAft>
            <a:buClrTx/>
            <a:buSzTx/>
            <a:buFont typeface="Arial" panose="020B0604020202020204" pitchFamily="34" charset="0"/>
            <a:buChar char="•"/>
            <a:tabLst/>
            <a:defRPr/>
          </a:pPr>
          <a:r>
            <a:rPr lang="fi-FI" sz="1100" b="1" baseline="0">
              <a:solidFill>
                <a:schemeClr val="dk1"/>
              </a:solidFill>
              <a:effectLst/>
              <a:latin typeface="+mn-lt"/>
              <a:ea typeface="+mn-ea"/>
              <a:cs typeface="+mn-cs"/>
            </a:rPr>
            <a:t>Restaurangbranschen och inkvartering</a:t>
          </a:r>
          <a:endParaRPr lang="fi-FI" sz="1100">
            <a:effectLst/>
          </a:endParaRPr>
        </a:p>
        <a:p>
          <a:pPr marL="171450" marR="0" indent="-171450" defTabSz="914400" eaLnBrk="1" fontAlgn="auto" latinLnBrk="0" hangingPunct="1">
            <a:lnSpc>
              <a:spcPts val="1500"/>
            </a:lnSpc>
            <a:spcBef>
              <a:spcPts val="0"/>
            </a:spcBef>
            <a:spcAft>
              <a:spcPts val="0"/>
            </a:spcAft>
            <a:buClrTx/>
            <a:buSzTx/>
            <a:buFont typeface="Arial" panose="020B0604020202020204" pitchFamily="34" charset="0"/>
            <a:buChar char="•"/>
            <a:tabLst/>
            <a:defRPr/>
          </a:pPr>
          <a:r>
            <a:rPr lang="fi-FI" sz="1100" b="1" baseline="0">
              <a:solidFill>
                <a:schemeClr val="dk1"/>
              </a:solidFill>
              <a:effectLst/>
              <a:latin typeface="+mn-lt"/>
              <a:ea typeface="+mn-ea"/>
              <a:cs typeface="+mn-cs"/>
            </a:rPr>
            <a:t>Turism- och motionstjänster</a:t>
          </a:r>
          <a:endParaRPr lang="fi-FI" sz="1100">
            <a:effectLst/>
          </a:endParaRPr>
        </a:p>
        <a:p>
          <a:pPr marL="171450" marR="0" indent="-171450" defTabSz="914400" eaLnBrk="1" fontAlgn="auto" latinLnBrk="0" hangingPunct="1">
            <a:lnSpc>
              <a:spcPts val="1500"/>
            </a:lnSpc>
            <a:spcBef>
              <a:spcPts val="0"/>
            </a:spcBef>
            <a:spcAft>
              <a:spcPts val="0"/>
            </a:spcAft>
            <a:buClrTx/>
            <a:buSzTx/>
            <a:buFont typeface="Arial" panose="020B0604020202020204" pitchFamily="34" charset="0"/>
            <a:buChar char="•"/>
            <a:tabLst/>
            <a:defRPr/>
          </a:pPr>
          <a:r>
            <a:rPr lang="fi-FI" sz="1100" b="1" baseline="0">
              <a:solidFill>
                <a:schemeClr val="dk1"/>
              </a:solidFill>
              <a:effectLst/>
              <a:latin typeface="+mn-lt"/>
              <a:ea typeface="+mn-ea"/>
              <a:cs typeface="+mn-cs"/>
            </a:rPr>
            <a:t>Skönhetsvård</a:t>
          </a:r>
        </a:p>
        <a:p>
          <a:pPr marL="171450" marR="0" indent="-171450" defTabSz="914400" eaLnBrk="1" fontAlgn="auto" latinLnBrk="0" hangingPunct="1">
            <a:lnSpc>
              <a:spcPts val="1500"/>
            </a:lnSpc>
            <a:spcBef>
              <a:spcPts val="0"/>
            </a:spcBef>
            <a:spcAft>
              <a:spcPts val="0"/>
            </a:spcAft>
            <a:buClrTx/>
            <a:buSzTx/>
            <a:buFont typeface="Arial" panose="020B0604020202020204" pitchFamily="34" charset="0"/>
            <a:buChar char="•"/>
            <a:tabLst/>
            <a:defRPr/>
          </a:pPr>
          <a:r>
            <a:rPr lang="fi-FI" sz="1100" b="1" baseline="0">
              <a:solidFill>
                <a:schemeClr val="dk1"/>
              </a:solidFill>
              <a:effectLst/>
              <a:latin typeface="+mn-lt"/>
              <a:ea typeface="+mn-ea"/>
              <a:cs typeface="+mn-cs"/>
            </a:rPr>
            <a:t>Hälsovård</a:t>
          </a:r>
        </a:p>
        <a:p>
          <a:pPr marL="171450" marR="0" indent="-171450" defTabSz="914400" eaLnBrk="1" fontAlgn="auto" latinLnBrk="0" hangingPunct="1">
            <a:lnSpc>
              <a:spcPts val="1500"/>
            </a:lnSpc>
            <a:spcBef>
              <a:spcPts val="0"/>
            </a:spcBef>
            <a:spcAft>
              <a:spcPts val="0"/>
            </a:spcAft>
            <a:buClrTx/>
            <a:buSzTx/>
            <a:buFont typeface="Arial" panose="020B0604020202020204" pitchFamily="34" charset="0"/>
            <a:buChar char="•"/>
            <a:tabLst/>
            <a:defRPr/>
          </a:pPr>
          <a:r>
            <a:rPr lang="fi-FI" sz="1100" b="1" baseline="0">
              <a:solidFill>
                <a:schemeClr val="dk1"/>
              </a:solidFill>
              <a:effectLst/>
              <a:latin typeface="+mn-lt"/>
              <a:ea typeface="+mn-ea"/>
              <a:cs typeface="+mn-cs"/>
            </a:rPr>
            <a:t>Socialvård</a:t>
          </a:r>
        </a:p>
        <a:p>
          <a:pPr marL="171450" marR="0" indent="-171450" defTabSz="914400" eaLnBrk="1" fontAlgn="auto" latinLnBrk="0" hangingPunct="1">
            <a:lnSpc>
              <a:spcPts val="1500"/>
            </a:lnSpc>
            <a:spcBef>
              <a:spcPts val="0"/>
            </a:spcBef>
            <a:spcAft>
              <a:spcPts val="0"/>
            </a:spcAft>
            <a:buClrTx/>
            <a:buSzTx/>
            <a:buFont typeface="Arial" panose="020B0604020202020204" pitchFamily="34" charset="0"/>
            <a:buChar char="•"/>
            <a:tabLst/>
            <a:defRPr/>
          </a:pPr>
          <a:r>
            <a:rPr lang="fi-FI" sz="1100" b="1" baseline="0">
              <a:solidFill>
                <a:schemeClr val="dk1"/>
              </a:solidFill>
              <a:effectLst/>
              <a:latin typeface="+mn-lt"/>
              <a:ea typeface="+mn-ea"/>
              <a:cs typeface="+mn-cs"/>
            </a:rPr>
            <a:t>Övriga konsumenttjänster</a:t>
          </a:r>
          <a:br>
            <a:rPr lang="fi-FI" sz="1100" b="1" baseline="0">
              <a:solidFill>
                <a:schemeClr val="dk1"/>
              </a:solidFill>
              <a:effectLst/>
              <a:latin typeface="+mn-lt"/>
              <a:ea typeface="+mn-ea"/>
              <a:cs typeface="+mn-cs"/>
            </a:rPr>
          </a:br>
          <a:br>
            <a:rPr lang="fi-FI" sz="1100" b="1" baseline="0">
              <a:solidFill>
                <a:schemeClr val="dk1"/>
              </a:solidFill>
              <a:effectLst/>
              <a:latin typeface="+mn-lt"/>
              <a:ea typeface="+mn-ea"/>
              <a:cs typeface="+mn-cs"/>
            </a:rPr>
          </a:br>
          <a:endParaRPr lang="fi-FI" b="1">
            <a:effectLst/>
          </a:endParaRPr>
        </a:p>
      </xdr:txBody>
    </xdr:sp>
    <xdr:clientData/>
  </xdr:twoCellAnchor>
  <xdr:twoCellAnchor editAs="oneCell">
    <xdr:from>
      <xdr:col>3</xdr:col>
      <xdr:colOff>19595</xdr:colOff>
      <xdr:row>20</xdr:row>
      <xdr:rowOff>133894</xdr:rowOff>
    </xdr:from>
    <xdr:to>
      <xdr:col>4</xdr:col>
      <xdr:colOff>392840</xdr:colOff>
      <xdr:row>26</xdr:row>
      <xdr:rowOff>156619</xdr:rowOff>
    </xdr:to>
    <xdr:pic>
      <xdr:nvPicPr>
        <xdr:cNvPr id="13925221" name="Kuva 39" descr="C:\Users\Henri\AppData\Local\Microsoft\Windows\Temporary Internet Files\Content.IE5\9ZN2D3X7\MC900432666[1].png">
          <a:hlinkClick xmlns:r="http://schemas.openxmlformats.org/officeDocument/2006/relationships" r:id="rId3"/>
          <a:extLst>
            <a:ext uri="{FF2B5EF4-FFF2-40B4-BE49-F238E27FC236}">
              <a16:creationId xmlns:a16="http://schemas.microsoft.com/office/drawing/2014/main" id="{00000000-0008-0000-0000-0000657BD400}"/>
            </a:ext>
          </a:extLst>
        </xdr:cNvPr>
        <xdr:cNvPicPr preferRelativeResize="0">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91245" y="3962944"/>
          <a:ext cx="1078095" cy="108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440872</xdr:colOff>
      <xdr:row>12</xdr:row>
      <xdr:rowOff>141516</xdr:rowOff>
    </xdr:from>
    <xdr:to>
      <xdr:col>11</xdr:col>
      <xdr:colOff>168729</xdr:colOff>
      <xdr:row>28</xdr:row>
      <xdr:rowOff>27214</xdr:rowOff>
    </xdr:to>
    <xdr:sp macro="" textlink="">
      <xdr:nvSpPr>
        <xdr:cNvPr id="16" name="Tekstiruutu 15">
          <a:extLst>
            <a:ext uri="{FF2B5EF4-FFF2-40B4-BE49-F238E27FC236}">
              <a16:creationId xmlns:a16="http://schemas.microsoft.com/office/drawing/2014/main" id="{D5374AE3-EFC3-4BE0-BB30-FBEC1E92408A}"/>
            </a:ext>
          </a:extLst>
        </xdr:cNvPr>
        <xdr:cNvSpPr txBox="1"/>
      </xdr:nvSpPr>
      <xdr:spPr>
        <a:xfrm>
          <a:off x="5230586" y="2144487"/>
          <a:ext cx="2977243" cy="2841170"/>
        </a:xfrm>
        <a:prstGeom prst="rect">
          <a:avLst/>
        </a:prstGeom>
        <a:solidFill>
          <a:schemeClr val="accent1">
            <a:lumMod val="20000"/>
            <a:lumOff val="80000"/>
            <a:alpha val="7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i-FI" sz="1100"/>
        </a:p>
      </xdr:txBody>
    </xdr:sp>
    <xdr:clientData/>
  </xdr:twoCellAnchor>
  <xdr:twoCellAnchor>
    <xdr:from>
      <xdr:col>6</xdr:col>
      <xdr:colOff>609600</xdr:colOff>
      <xdr:row>13</xdr:row>
      <xdr:rowOff>103414</xdr:rowOff>
    </xdr:from>
    <xdr:to>
      <xdr:col>11</xdr:col>
      <xdr:colOff>69396</xdr:colOff>
      <xdr:row>20</xdr:row>
      <xdr:rowOff>151039</xdr:rowOff>
    </xdr:to>
    <xdr:sp macro="" textlink="">
      <xdr:nvSpPr>
        <xdr:cNvPr id="5" name="Tekstiruutu 4">
          <a:extLst>
            <a:ext uri="{FF2B5EF4-FFF2-40B4-BE49-F238E27FC236}">
              <a16:creationId xmlns:a16="http://schemas.microsoft.com/office/drawing/2014/main" id="{00000000-0008-0000-0000-000005000000}"/>
            </a:ext>
          </a:extLst>
        </xdr:cNvPr>
        <xdr:cNvSpPr txBox="1"/>
      </xdr:nvSpPr>
      <xdr:spPr>
        <a:xfrm>
          <a:off x="5404757" y="2302328"/>
          <a:ext cx="2720068" cy="15117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71450" indent="-171450">
            <a:lnSpc>
              <a:spcPts val="1600"/>
            </a:lnSpc>
            <a:buFont typeface="Arial" panose="020B0604020202020204" pitchFamily="34" charset="0"/>
            <a:buChar char="•"/>
          </a:pPr>
          <a:r>
            <a:rPr lang="fi-FI" sz="1100" b="1" baseline="0">
              <a:solidFill>
                <a:schemeClr val="dk1"/>
              </a:solidFill>
              <a:effectLst/>
              <a:latin typeface="+mn-lt"/>
              <a:ea typeface="+mn-ea"/>
              <a:cs typeface="+mn-cs"/>
            </a:rPr>
            <a:t>Industri </a:t>
          </a:r>
          <a:endParaRPr lang="fi-FI" sz="1100">
            <a:effectLst/>
          </a:endParaRPr>
        </a:p>
        <a:p>
          <a:pPr marL="171450" indent="-171450">
            <a:lnSpc>
              <a:spcPts val="1600"/>
            </a:lnSpc>
            <a:buFont typeface="Arial" panose="020B0604020202020204" pitchFamily="34" charset="0"/>
            <a:buChar char="•"/>
          </a:pPr>
          <a:r>
            <a:rPr lang="fi-FI" sz="1100" b="1" baseline="0">
              <a:solidFill>
                <a:schemeClr val="dk1"/>
              </a:solidFill>
              <a:effectLst/>
              <a:latin typeface="+mn-lt"/>
              <a:ea typeface="+mn-ea"/>
              <a:cs typeface="+mn-cs"/>
            </a:rPr>
            <a:t>Företagarservice </a:t>
          </a:r>
          <a:endParaRPr lang="fi-FI">
            <a:effectLst/>
          </a:endParaRPr>
        </a:p>
        <a:p>
          <a:pPr marL="171450" indent="-171450">
            <a:lnSpc>
              <a:spcPts val="1600"/>
            </a:lnSpc>
            <a:buFont typeface="Arial" panose="020B0604020202020204" pitchFamily="34" charset="0"/>
            <a:buChar char="•"/>
          </a:pPr>
          <a:r>
            <a:rPr lang="fi-FI" sz="1100" b="1" baseline="0">
              <a:solidFill>
                <a:schemeClr val="dk1"/>
              </a:solidFill>
              <a:effectLst/>
              <a:latin typeface="+mn-lt"/>
              <a:ea typeface="+mn-ea"/>
              <a:cs typeface="+mn-cs"/>
            </a:rPr>
            <a:t>Installations- och monterigsverksamhet </a:t>
          </a:r>
          <a:endParaRPr lang="fi-FI">
            <a:effectLst/>
          </a:endParaRPr>
        </a:p>
        <a:p>
          <a:pPr marL="171450" indent="-171450">
            <a:lnSpc>
              <a:spcPts val="1600"/>
            </a:lnSpc>
            <a:buFont typeface="Arial" panose="020B0604020202020204" pitchFamily="34" charset="0"/>
            <a:buChar char="•"/>
          </a:pPr>
          <a:r>
            <a:rPr lang="fi-FI" sz="1100" b="1" baseline="0">
              <a:solidFill>
                <a:schemeClr val="dk1"/>
              </a:solidFill>
              <a:effectLst/>
              <a:latin typeface="+mn-lt"/>
              <a:ea typeface="+mn-ea"/>
              <a:cs typeface="+mn-cs"/>
            </a:rPr>
            <a:t>Byggnadsbranschen </a:t>
          </a:r>
          <a:endParaRPr lang="fi-FI">
            <a:effectLst/>
          </a:endParaRPr>
        </a:p>
        <a:p>
          <a:pPr marL="171450" indent="-171450">
            <a:lnSpc>
              <a:spcPts val="1600"/>
            </a:lnSpc>
            <a:buFont typeface="Arial" panose="020B0604020202020204" pitchFamily="34" charset="0"/>
            <a:buChar char="•"/>
          </a:pPr>
          <a:r>
            <a:rPr lang="fi-FI" sz="1100" b="1" baseline="0">
              <a:solidFill>
                <a:schemeClr val="dk1"/>
              </a:solidFill>
              <a:effectLst/>
              <a:latin typeface="+mn-lt"/>
              <a:ea typeface="+mn-ea"/>
              <a:cs typeface="+mn-cs"/>
            </a:rPr>
            <a:t>Maskinentreprenörer </a:t>
          </a:r>
        </a:p>
        <a:p>
          <a:pPr marL="171450" indent="-171450">
            <a:lnSpc>
              <a:spcPts val="1600"/>
            </a:lnSpc>
            <a:buFont typeface="Arial" panose="020B0604020202020204" pitchFamily="34" charset="0"/>
            <a:buChar char="•"/>
          </a:pPr>
          <a:r>
            <a:rPr lang="fi-FI" sz="1100" b="1" baseline="0">
              <a:solidFill>
                <a:schemeClr val="dk1"/>
              </a:solidFill>
              <a:effectLst/>
              <a:latin typeface="+mn-lt"/>
              <a:ea typeface="+mn-ea"/>
              <a:cs typeface="+mn-cs"/>
            </a:rPr>
            <a:t>Yrkesbilister  </a:t>
          </a:r>
          <a:endParaRPr lang="fi-FI">
            <a:effectLst/>
          </a:endParaRPr>
        </a:p>
        <a:p>
          <a:endParaRPr lang="fi-FI" sz="1100"/>
        </a:p>
      </xdr:txBody>
    </xdr:sp>
    <xdr:clientData/>
  </xdr:twoCellAnchor>
  <xdr:twoCellAnchor editAs="oneCell">
    <xdr:from>
      <xdr:col>7</xdr:col>
      <xdr:colOff>327387</xdr:colOff>
      <xdr:row>20</xdr:row>
      <xdr:rowOff>129540</xdr:rowOff>
    </xdr:from>
    <xdr:to>
      <xdr:col>9</xdr:col>
      <xdr:colOff>169137</xdr:colOff>
      <xdr:row>26</xdr:row>
      <xdr:rowOff>156075</xdr:rowOff>
    </xdr:to>
    <xdr:pic>
      <xdr:nvPicPr>
        <xdr:cNvPr id="13925218" name="Kuva 39" descr="C:\Users\Henri\AppData\Local\Microsoft\Windows\Temporary Internet Files\Content.IE5\9ZN2D3X7\MC900432666[1].png">
          <a:hlinkClick xmlns:r="http://schemas.openxmlformats.org/officeDocument/2006/relationships" r:id="rId2"/>
          <a:extLst>
            <a:ext uri="{FF2B5EF4-FFF2-40B4-BE49-F238E27FC236}">
              <a16:creationId xmlns:a16="http://schemas.microsoft.com/office/drawing/2014/main" id="{00000000-0008-0000-0000-0000627BD400}"/>
            </a:ext>
          </a:extLst>
        </xdr:cNvPr>
        <xdr:cNvPicPr preferRelativeResize="0">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899512" y="3958590"/>
          <a:ext cx="1080000" cy="1083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272143</xdr:colOff>
      <xdr:row>3</xdr:row>
      <xdr:rowOff>16327</xdr:rowOff>
    </xdr:from>
    <xdr:to>
      <xdr:col>12</xdr:col>
      <xdr:colOff>582386</xdr:colOff>
      <xdr:row>5</xdr:row>
      <xdr:rowOff>130627</xdr:rowOff>
    </xdr:to>
    <xdr:sp macro="" textlink="">
      <xdr:nvSpPr>
        <xdr:cNvPr id="4" name="Suorakulmio: Pyöristetyt kulmat 3">
          <a:extLst>
            <a:ext uri="{FF2B5EF4-FFF2-40B4-BE49-F238E27FC236}">
              <a16:creationId xmlns:a16="http://schemas.microsoft.com/office/drawing/2014/main" id="{69E4E6A7-FB31-627E-6B1C-7C36B5BE24BA}"/>
            </a:ext>
          </a:extLst>
        </xdr:cNvPr>
        <xdr:cNvSpPr/>
      </xdr:nvSpPr>
      <xdr:spPr>
        <a:xfrm>
          <a:off x="2149929" y="489856"/>
          <a:ext cx="6689271" cy="451757"/>
        </a:xfrm>
        <a:prstGeom prst="roundRect">
          <a:avLst/>
        </a:prstGeom>
        <a:solidFill>
          <a:srgbClr val="0152A1">
            <a:alpha val="9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3</xdr:col>
      <xdr:colOff>555171</xdr:colOff>
      <xdr:row>3</xdr:row>
      <xdr:rowOff>43543</xdr:rowOff>
    </xdr:from>
    <xdr:to>
      <xdr:col>8</xdr:col>
      <xdr:colOff>255814</xdr:colOff>
      <xdr:row>5</xdr:row>
      <xdr:rowOff>70758</xdr:rowOff>
    </xdr:to>
    <xdr:sp macro="" textlink="">
      <xdr:nvSpPr>
        <xdr:cNvPr id="3" name="Tekstiruutu 2">
          <a:extLst>
            <a:ext uri="{FF2B5EF4-FFF2-40B4-BE49-F238E27FC236}">
              <a16:creationId xmlns:a16="http://schemas.microsoft.com/office/drawing/2014/main" id="{6BFFDFDC-5218-E5B1-D6F9-1B1C6C99F734}"/>
            </a:ext>
          </a:extLst>
        </xdr:cNvPr>
        <xdr:cNvSpPr txBox="1"/>
      </xdr:nvSpPr>
      <xdr:spPr>
        <a:xfrm>
          <a:off x="2432957" y="517072"/>
          <a:ext cx="4250871" cy="3646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fi-FI" sz="1400" b="1" i="0">
              <a:solidFill>
                <a:schemeClr val="bg1"/>
              </a:solidFill>
              <a:effectLst/>
              <a:latin typeface="+mn-lt"/>
              <a:ea typeface="+mn-ea"/>
              <a:cs typeface="+mn-cs"/>
            </a:rPr>
            <a:t>  FT5 NYFÖRETAGETS</a:t>
          </a:r>
          <a:r>
            <a:rPr lang="fi-FI" sz="1400" b="1" i="0" baseline="0">
              <a:solidFill>
                <a:schemeClr val="bg1"/>
              </a:solidFill>
              <a:effectLst/>
              <a:latin typeface="+mn-lt"/>
              <a:ea typeface="+mn-ea"/>
              <a:cs typeface="+mn-cs"/>
            </a:rPr>
            <a:t> EKONOMIPLAN</a:t>
          </a:r>
          <a:r>
            <a:rPr lang="fi-FI" sz="1400" b="1" i="0">
              <a:solidFill>
                <a:schemeClr val="bg1"/>
              </a:solidFill>
              <a:effectLst/>
              <a:latin typeface="+mn-lt"/>
              <a:ea typeface="+mn-ea"/>
              <a:cs typeface="+mn-cs"/>
            </a:rPr>
            <a:t> </a:t>
          </a:r>
          <a:endParaRPr lang="fi-FI" sz="1400" i="0">
            <a:solidFill>
              <a:schemeClr val="bg1"/>
            </a:solidFill>
            <a:effectLst/>
          </a:endParaRPr>
        </a:p>
        <a:p>
          <a:endParaRPr lang="fi-FI" sz="1100"/>
        </a:p>
      </xdr:txBody>
    </xdr:sp>
    <xdr:clientData/>
  </xdr:twoCellAnchor>
  <xdr:twoCellAnchor editAs="oneCell">
    <xdr:from>
      <xdr:col>6</xdr:col>
      <xdr:colOff>659947</xdr:colOff>
      <xdr:row>33</xdr:row>
      <xdr:rowOff>111580</xdr:rowOff>
    </xdr:from>
    <xdr:to>
      <xdr:col>12</xdr:col>
      <xdr:colOff>26513</xdr:colOff>
      <xdr:row>35</xdr:row>
      <xdr:rowOff>84149</xdr:rowOff>
    </xdr:to>
    <xdr:pic>
      <xdr:nvPicPr>
        <xdr:cNvPr id="9" name="Kuva 8">
          <a:extLst>
            <a:ext uri="{FF2B5EF4-FFF2-40B4-BE49-F238E27FC236}">
              <a16:creationId xmlns:a16="http://schemas.microsoft.com/office/drawing/2014/main" id="{E1F50CB8-37AF-268B-2A4E-6BB4D5ABC0B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165272" y="5740855"/>
          <a:ext cx="2633641" cy="50596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228600</xdr:colOff>
      <xdr:row>115</xdr:row>
      <xdr:rowOff>167640</xdr:rowOff>
    </xdr:from>
    <xdr:to>
      <xdr:col>11</xdr:col>
      <xdr:colOff>335280</xdr:colOff>
      <xdr:row>132</xdr:row>
      <xdr:rowOff>0</xdr:rowOff>
    </xdr:to>
    <xdr:graphicFrame macro="">
      <xdr:nvGraphicFramePr>
        <xdr:cNvPr id="20" name="Kaavio 19">
          <a:extLst>
            <a:ext uri="{FF2B5EF4-FFF2-40B4-BE49-F238E27FC236}">
              <a16:creationId xmlns:a16="http://schemas.microsoft.com/office/drawing/2014/main" id="{B58BD472-B0BA-41CC-B233-7D8AA1B731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220980</xdr:colOff>
      <xdr:row>99</xdr:row>
      <xdr:rowOff>45720</xdr:rowOff>
    </xdr:from>
    <xdr:to>
      <xdr:col>12</xdr:col>
      <xdr:colOff>0</xdr:colOff>
      <xdr:row>115</xdr:row>
      <xdr:rowOff>106680</xdr:rowOff>
    </xdr:to>
    <xdr:graphicFrame macro="">
      <xdr:nvGraphicFramePr>
        <xdr:cNvPr id="21" name="Kaavio 20">
          <a:extLst>
            <a:ext uri="{FF2B5EF4-FFF2-40B4-BE49-F238E27FC236}">
              <a16:creationId xmlns:a16="http://schemas.microsoft.com/office/drawing/2014/main" id="{C83DDFC1-E57A-4AF9-AEE9-46983E3AAC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495300</xdr:colOff>
      <xdr:row>100</xdr:row>
      <xdr:rowOff>19049</xdr:rowOff>
    </xdr:from>
    <xdr:to>
      <xdr:col>4</xdr:col>
      <xdr:colOff>434340</xdr:colOff>
      <xdr:row>113</xdr:row>
      <xdr:rowOff>11429</xdr:rowOff>
    </xdr:to>
    <xdr:sp macro="" textlink="">
      <xdr:nvSpPr>
        <xdr:cNvPr id="4" name="Tekstiruutu 3">
          <a:extLst>
            <a:ext uri="{FF2B5EF4-FFF2-40B4-BE49-F238E27FC236}">
              <a16:creationId xmlns:a16="http://schemas.microsoft.com/office/drawing/2014/main" id="{61990C60-5E0E-46FB-9FEE-DF6306DFBC53}"/>
            </a:ext>
          </a:extLst>
        </xdr:cNvPr>
        <xdr:cNvSpPr txBox="1"/>
      </xdr:nvSpPr>
      <xdr:spPr>
        <a:xfrm>
          <a:off x="1112520" y="15571469"/>
          <a:ext cx="2255520" cy="2171700"/>
        </a:xfrm>
        <a:prstGeom prst="rect">
          <a:avLst/>
        </a:prstGeom>
        <a:solidFill>
          <a:schemeClr val="tx2">
            <a:lumMod val="20000"/>
            <a:lumOff val="80000"/>
            <a:alpha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fi-FI" sz="1100" b="1">
              <a:solidFill>
                <a:schemeClr val="dk1"/>
              </a:solidFill>
              <a:effectLst/>
              <a:latin typeface="+mn-lt"/>
              <a:ea typeface="+mn-ea"/>
              <a:cs typeface="+mn-cs"/>
            </a:rPr>
            <a:t>Realiserad</a:t>
          </a:r>
          <a:r>
            <a:rPr lang="fi-FI" sz="1100" b="1" baseline="0">
              <a:solidFill>
                <a:schemeClr val="dk1"/>
              </a:solidFill>
              <a:effectLst/>
              <a:latin typeface="+mn-lt"/>
              <a:ea typeface="+mn-ea"/>
              <a:cs typeface="+mn-cs"/>
            </a:rPr>
            <a:t> medianvärde i branschen</a:t>
          </a:r>
          <a:endParaRPr lang="fi-FI">
            <a:effectLst/>
          </a:endParaRPr>
        </a:p>
      </xdr:txBody>
    </xdr:sp>
    <xdr:clientData/>
  </xdr:twoCellAnchor>
  <xdr:twoCellAnchor>
    <xdr:from>
      <xdr:col>2</xdr:col>
      <xdr:colOff>487680</xdr:colOff>
      <xdr:row>115</xdr:row>
      <xdr:rowOff>228600</xdr:rowOff>
    </xdr:from>
    <xdr:to>
      <xdr:col>4</xdr:col>
      <xdr:colOff>396240</xdr:colOff>
      <xdr:row>130</xdr:row>
      <xdr:rowOff>22859</xdr:rowOff>
    </xdr:to>
    <xdr:sp macro="" textlink="">
      <xdr:nvSpPr>
        <xdr:cNvPr id="5" name="Tekstiruutu 4">
          <a:extLst>
            <a:ext uri="{FF2B5EF4-FFF2-40B4-BE49-F238E27FC236}">
              <a16:creationId xmlns:a16="http://schemas.microsoft.com/office/drawing/2014/main" id="{76601EF0-99F4-4A78-BF94-A23E2F23475C}"/>
            </a:ext>
          </a:extLst>
        </xdr:cNvPr>
        <xdr:cNvSpPr txBox="1"/>
      </xdr:nvSpPr>
      <xdr:spPr>
        <a:xfrm>
          <a:off x="1104900" y="18295620"/>
          <a:ext cx="2225040" cy="2438399"/>
        </a:xfrm>
        <a:prstGeom prst="rect">
          <a:avLst/>
        </a:prstGeom>
        <a:solidFill>
          <a:schemeClr val="tx2">
            <a:lumMod val="20000"/>
            <a:lumOff val="80000"/>
            <a:alpha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fi-FI" sz="1100" b="1">
              <a:solidFill>
                <a:schemeClr val="dk1"/>
              </a:solidFill>
              <a:effectLst/>
              <a:latin typeface="+mn-lt"/>
              <a:ea typeface="+mn-ea"/>
              <a:cs typeface="+mn-cs"/>
            </a:rPr>
            <a:t>Realiserad</a:t>
          </a:r>
          <a:r>
            <a:rPr lang="fi-FI" sz="1100" b="1" baseline="0">
              <a:solidFill>
                <a:schemeClr val="dk1"/>
              </a:solidFill>
              <a:effectLst/>
              <a:latin typeface="+mn-lt"/>
              <a:ea typeface="+mn-ea"/>
              <a:cs typeface="+mn-cs"/>
            </a:rPr>
            <a:t> medianvärde i branschen</a:t>
          </a:r>
          <a:endParaRPr lang="fi-FI">
            <a:effectLst/>
          </a:endParaRPr>
        </a:p>
      </xdr:txBody>
    </xdr:sp>
    <xdr:clientData/>
  </xdr:twoCellAnchor>
  <xdr:twoCellAnchor editAs="oneCell">
    <xdr:from>
      <xdr:col>10</xdr:col>
      <xdr:colOff>33338</xdr:colOff>
      <xdr:row>3</xdr:row>
      <xdr:rowOff>23812</xdr:rowOff>
    </xdr:from>
    <xdr:to>
      <xdr:col>12</xdr:col>
      <xdr:colOff>1715</xdr:colOff>
      <xdr:row>5</xdr:row>
      <xdr:rowOff>18478</xdr:rowOff>
    </xdr:to>
    <xdr:pic>
      <xdr:nvPicPr>
        <xdr:cNvPr id="7" name="Kuva 6">
          <a:extLst>
            <a:ext uri="{FF2B5EF4-FFF2-40B4-BE49-F238E27FC236}">
              <a16:creationId xmlns:a16="http://schemas.microsoft.com/office/drawing/2014/main" id="{B40C5D0F-B447-4056-A863-8D06744E0D3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176963" y="566737"/>
          <a:ext cx="1078992" cy="371856"/>
        </a:xfrm>
        <a:prstGeom prst="rect">
          <a:avLst/>
        </a:prstGeom>
      </xdr:spPr>
    </xdr:pic>
    <xdr:clientData/>
  </xdr:twoCellAnchor>
  <xdr:twoCellAnchor editAs="oneCell">
    <xdr:from>
      <xdr:col>9</xdr:col>
      <xdr:colOff>345758</xdr:colOff>
      <xdr:row>70</xdr:row>
      <xdr:rowOff>129540</xdr:rowOff>
    </xdr:from>
    <xdr:to>
      <xdr:col>11</xdr:col>
      <xdr:colOff>321755</xdr:colOff>
      <xdr:row>73</xdr:row>
      <xdr:rowOff>57531</xdr:rowOff>
    </xdr:to>
    <xdr:pic>
      <xdr:nvPicPr>
        <xdr:cNvPr id="9" name="Kuva 8">
          <a:extLst>
            <a:ext uri="{FF2B5EF4-FFF2-40B4-BE49-F238E27FC236}">
              <a16:creationId xmlns:a16="http://schemas.microsoft.com/office/drawing/2014/main" id="{C71E3F83-5799-4B9E-B0D4-F489E50E563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855018" y="10927080"/>
          <a:ext cx="1042797" cy="366141"/>
        </a:xfrm>
        <a:prstGeom prst="rect">
          <a:avLst/>
        </a:prstGeom>
      </xdr:spPr>
    </xdr:pic>
    <xdr:clientData/>
  </xdr:twoCellAnchor>
  <xdr:twoCellAnchor>
    <xdr:from>
      <xdr:col>13</xdr:col>
      <xdr:colOff>0</xdr:colOff>
      <xdr:row>3</xdr:row>
      <xdr:rowOff>171450</xdr:rowOff>
    </xdr:from>
    <xdr:to>
      <xdr:col>15</xdr:col>
      <xdr:colOff>74115</xdr:colOff>
      <xdr:row>6</xdr:row>
      <xdr:rowOff>1363</xdr:rowOff>
    </xdr:to>
    <xdr:sp macro="" textlink="">
      <xdr:nvSpPr>
        <xdr:cNvPr id="2" name="Suorakulmio: Pyöristetyt kulmat 1">
          <a:hlinkClick xmlns:r="http://schemas.openxmlformats.org/officeDocument/2006/relationships" r:id="rId5"/>
          <a:extLst>
            <a:ext uri="{FF2B5EF4-FFF2-40B4-BE49-F238E27FC236}">
              <a16:creationId xmlns:a16="http://schemas.microsoft.com/office/drawing/2014/main" id="{AC39D336-712B-44B0-88BD-381B01880A1F}"/>
            </a:ext>
          </a:extLst>
        </xdr:cNvPr>
        <xdr:cNvSpPr/>
      </xdr:nvSpPr>
      <xdr:spPr>
        <a:xfrm>
          <a:off x="7520609" y="706270"/>
          <a:ext cx="1493990" cy="360000"/>
        </a:xfrm>
        <a:prstGeom prst="roundRect">
          <a:avLst/>
        </a:prstGeom>
        <a:solidFill>
          <a:srgbClr val="0152A1"/>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i-FI" sz="1100" b="1">
              <a:solidFill>
                <a:schemeClr val="bg1"/>
              </a:solidFill>
              <a:effectLst/>
              <a:latin typeface="+mn-lt"/>
              <a:ea typeface="+mn-ea"/>
              <a:cs typeface="+mn-cs"/>
            </a:rPr>
            <a:t>FS1 KOSTNADER</a:t>
          </a:r>
          <a:endParaRPr lang="fi-FI" sz="1100">
            <a:solidFill>
              <a:schemeClr val="bg1"/>
            </a:solidFill>
          </a:endParaRPr>
        </a:p>
      </xdr:txBody>
    </xdr:sp>
    <xdr:clientData fPrintsWithSheet="0"/>
  </xdr:twoCellAnchor>
  <xdr:twoCellAnchor>
    <xdr:from>
      <xdr:col>13</xdr:col>
      <xdr:colOff>0</xdr:colOff>
      <xdr:row>7</xdr:row>
      <xdr:rowOff>9525</xdr:rowOff>
    </xdr:from>
    <xdr:to>
      <xdr:col>15</xdr:col>
      <xdr:colOff>74115</xdr:colOff>
      <xdr:row>9</xdr:row>
      <xdr:rowOff>61885</xdr:rowOff>
    </xdr:to>
    <xdr:sp macro="" textlink="">
      <xdr:nvSpPr>
        <xdr:cNvPr id="3" name="Suorakulmio: Pyöristetyt kulmat 2">
          <a:hlinkClick xmlns:r="http://schemas.openxmlformats.org/officeDocument/2006/relationships" r:id="rId6"/>
          <a:extLst>
            <a:ext uri="{FF2B5EF4-FFF2-40B4-BE49-F238E27FC236}">
              <a16:creationId xmlns:a16="http://schemas.microsoft.com/office/drawing/2014/main" id="{B1BEBBF3-F7FB-4F31-ACAA-95EF4AD59543}"/>
            </a:ext>
          </a:extLst>
        </xdr:cNvPr>
        <xdr:cNvSpPr/>
      </xdr:nvSpPr>
      <xdr:spPr>
        <a:xfrm>
          <a:off x="7520609" y="1225885"/>
          <a:ext cx="1493990" cy="360000"/>
        </a:xfrm>
        <a:prstGeom prst="roundRect">
          <a:avLst/>
        </a:prstGeom>
        <a:solidFill>
          <a:srgbClr val="0152A1"/>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i-FI" sz="1100" b="1">
              <a:solidFill>
                <a:schemeClr val="bg1"/>
              </a:solidFill>
              <a:effectLst/>
              <a:latin typeface="+mn-lt"/>
              <a:ea typeface="+mn-ea"/>
              <a:cs typeface="+mn-cs"/>
            </a:rPr>
            <a:t>FS2 FÖRSÄLJNING</a:t>
          </a:r>
          <a:endParaRPr lang="fi-FI" sz="1100">
            <a:solidFill>
              <a:schemeClr val="bg1"/>
            </a:solidFill>
          </a:endParaRPr>
        </a:p>
      </xdr:txBody>
    </xdr:sp>
    <xdr:clientData fPrintsWithSheet="0"/>
  </xdr:twoCellAnchor>
  <xdr:twoCellAnchor>
    <xdr:from>
      <xdr:col>12</xdr:col>
      <xdr:colOff>253791</xdr:colOff>
      <xdr:row>70</xdr:row>
      <xdr:rowOff>136119</xdr:rowOff>
    </xdr:from>
    <xdr:to>
      <xdr:col>15</xdr:col>
      <xdr:colOff>71405</xdr:colOff>
      <xdr:row>73</xdr:row>
      <xdr:rowOff>69399</xdr:rowOff>
    </xdr:to>
    <xdr:sp macro="" textlink="">
      <xdr:nvSpPr>
        <xdr:cNvPr id="6" name="Suorakulmio: Pyöristetyt kulmat 5">
          <a:hlinkClick xmlns:r="http://schemas.openxmlformats.org/officeDocument/2006/relationships" r:id="rId7"/>
          <a:extLst>
            <a:ext uri="{FF2B5EF4-FFF2-40B4-BE49-F238E27FC236}">
              <a16:creationId xmlns:a16="http://schemas.microsoft.com/office/drawing/2014/main" id="{5743F64C-B0AE-4F7B-9803-FB2BAC729E45}"/>
            </a:ext>
          </a:extLst>
        </xdr:cNvPr>
        <xdr:cNvSpPr/>
      </xdr:nvSpPr>
      <xdr:spPr>
        <a:xfrm>
          <a:off x="7514089" y="10979237"/>
          <a:ext cx="1497800" cy="359243"/>
        </a:xfrm>
        <a:prstGeom prst="roundRect">
          <a:avLst/>
        </a:prstGeom>
        <a:solidFill>
          <a:srgbClr val="0152A1"/>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i-FI" sz="1100" b="1">
              <a:solidFill>
                <a:schemeClr val="bg1"/>
              </a:solidFill>
              <a:effectLst/>
              <a:latin typeface="+mn-lt"/>
              <a:ea typeface="+mn-ea"/>
              <a:cs typeface="+mn-cs"/>
            </a:rPr>
            <a:t>KASSABUDGET</a:t>
          </a:r>
          <a:endParaRPr lang="fi-FI" sz="1100">
            <a:solidFill>
              <a:schemeClr val="bg1"/>
            </a:solidFill>
          </a:endParaRPr>
        </a:p>
      </xdr:txBody>
    </xdr:sp>
    <xdr:clientData fPrintsWithSheet="0"/>
  </xdr:twoCellAnchor>
  <xdr:twoCellAnchor>
    <xdr:from>
      <xdr:col>13</xdr:col>
      <xdr:colOff>5916</xdr:colOff>
      <xdr:row>95</xdr:row>
      <xdr:rowOff>200025</xdr:rowOff>
    </xdr:from>
    <xdr:to>
      <xdr:col>16</xdr:col>
      <xdr:colOff>140497</xdr:colOff>
      <xdr:row>98</xdr:row>
      <xdr:rowOff>20910</xdr:rowOff>
    </xdr:to>
    <xdr:sp macro="" textlink="">
      <xdr:nvSpPr>
        <xdr:cNvPr id="8" name="Suorakulmio: Pyöristetyt kulmat 7">
          <a:hlinkClick xmlns:r="http://schemas.openxmlformats.org/officeDocument/2006/relationships" r:id="rId8"/>
          <a:extLst>
            <a:ext uri="{FF2B5EF4-FFF2-40B4-BE49-F238E27FC236}">
              <a16:creationId xmlns:a16="http://schemas.microsoft.com/office/drawing/2014/main" id="{C0837FDB-E714-4A02-9B44-52FC68C6BFEF}"/>
            </a:ext>
          </a:extLst>
        </xdr:cNvPr>
        <xdr:cNvSpPr/>
      </xdr:nvSpPr>
      <xdr:spPr>
        <a:xfrm>
          <a:off x="7526525" y="14853143"/>
          <a:ext cx="2264395" cy="360437"/>
        </a:xfrm>
        <a:prstGeom prst="roundRect">
          <a:avLst/>
        </a:prstGeom>
        <a:solidFill>
          <a:srgbClr val="0152A1"/>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i-FI" sz="1100" b="1">
              <a:solidFill>
                <a:schemeClr val="bg1"/>
              </a:solidFill>
              <a:effectLst/>
              <a:latin typeface="+mn-lt"/>
              <a:ea typeface="+mn-ea"/>
              <a:cs typeface="+mn-cs"/>
            </a:rPr>
            <a:t>EKONOMISKA PARAMETRAR</a:t>
          </a:r>
          <a:endParaRPr lang="fi-FI" sz="1100">
            <a:solidFill>
              <a:schemeClr val="bg1"/>
            </a:solidFill>
          </a:endParaRPr>
        </a:p>
      </xdr:txBody>
    </xdr:sp>
    <xdr:clientData fPrintsWithSheet="0"/>
  </xdr:twoCellAnchor>
  <xdr:twoCellAnchor>
    <xdr:from>
      <xdr:col>13</xdr:col>
      <xdr:colOff>26268</xdr:colOff>
      <xdr:row>129</xdr:row>
      <xdr:rowOff>110278</xdr:rowOff>
    </xdr:from>
    <xdr:to>
      <xdr:col>15</xdr:col>
      <xdr:colOff>93994</xdr:colOff>
      <xdr:row>131</xdr:row>
      <xdr:rowOff>154570</xdr:rowOff>
    </xdr:to>
    <xdr:sp macro="" textlink="">
      <xdr:nvSpPr>
        <xdr:cNvPr id="10" name="Suorakulmio: Pyöristetyt kulmat 9">
          <a:hlinkClick xmlns:r="http://schemas.openxmlformats.org/officeDocument/2006/relationships" r:id="rId7"/>
          <a:extLst>
            <a:ext uri="{FF2B5EF4-FFF2-40B4-BE49-F238E27FC236}">
              <a16:creationId xmlns:a16="http://schemas.microsoft.com/office/drawing/2014/main" id="{784242F0-EE3B-4611-8350-EEBFD5AAF225}"/>
            </a:ext>
          </a:extLst>
        </xdr:cNvPr>
        <xdr:cNvSpPr/>
      </xdr:nvSpPr>
      <xdr:spPr>
        <a:xfrm>
          <a:off x="7546877" y="20296179"/>
          <a:ext cx="1487601" cy="356664"/>
        </a:xfrm>
        <a:prstGeom prst="roundRect">
          <a:avLst/>
        </a:prstGeom>
        <a:solidFill>
          <a:srgbClr val="0152A1"/>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i-FI" sz="1100" b="1">
              <a:solidFill>
                <a:schemeClr val="bg1"/>
              </a:solidFill>
              <a:effectLst/>
              <a:latin typeface="+mn-lt"/>
              <a:ea typeface="+mn-ea"/>
              <a:cs typeface="+mn-cs"/>
            </a:rPr>
            <a:t>KASSABUDGET</a:t>
          </a:r>
          <a:endParaRPr lang="fi-FI" sz="1100">
            <a:solidFill>
              <a:schemeClr val="bg1"/>
            </a:solidFill>
          </a:endParaRPr>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xdr:from>
      <xdr:col>2</xdr:col>
      <xdr:colOff>1338126</xdr:colOff>
      <xdr:row>1</xdr:row>
      <xdr:rowOff>184513</xdr:rowOff>
    </xdr:from>
    <xdr:to>
      <xdr:col>2</xdr:col>
      <xdr:colOff>2778126</xdr:colOff>
      <xdr:row>2</xdr:row>
      <xdr:rowOff>343127</xdr:rowOff>
    </xdr:to>
    <xdr:sp macro="" textlink="">
      <xdr:nvSpPr>
        <xdr:cNvPr id="6" name="Suorakulmio: Pyöristetyt kulmat 5">
          <a:hlinkClick xmlns:r="http://schemas.openxmlformats.org/officeDocument/2006/relationships" r:id="rId1"/>
          <a:extLst>
            <a:ext uri="{FF2B5EF4-FFF2-40B4-BE49-F238E27FC236}">
              <a16:creationId xmlns:a16="http://schemas.microsoft.com/office/drawing/2014/main" id="{408797C6-F1CE-4618-BA71-EEBBFF4A5AA5}"/>
            </a:ext>
          </a:extLst>
        </xdr:cNvPr>
        <xdr:cNvSpPr/>
      </xdr:nvSpPr>
      <xdr:spPr>
        <a:xfrm>
          <a:off x="1844312" y="342356"/>
          <a:ext cx="1440000" cy="360000"/>
        </a:xfrm>
        <a:prstGeom prst="roundRect">
          <a:avLst/>
        </a:prstGeom>
        <a:solidFill>
          <a:schemeClr val="accent1">
            <a:lumMod val="60000"/>
            <a:lumOff val="40000"/>
          </a:schemeClr>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i-FI" sz="1100" b="1">
              <a:solidFill>
                <a:schemeClr val="tx1"/>
              </a:solidFill>
              <a:effectLst/>
              <a:latin typeface="+mn-lt"/>
              <a:ea typeface="+mn-ea"/>
              <a:cs typeface="+mn-cs"/>
            </a:rPr>
            <a:t>FS3 RESULTAT</a:t>
          </a:r>
          <a:endParaRPr lang="fi-FI" sz="1100">
            <a:solidFill>
              <a:schemeClr val="tx1"/>
            </a:solidFill>
          </a:endParaRPr>
        </a:p>
      </xdr:txBody>
    </xdr:sp>
    <xdr:clientData fPrintsWithSheet="0"/>
  </xdr:twoCellAnchor>
  <xdr:twoCellAnchor>
    <xdr:from>
      <xdr:col>1</xdr:col>
      <xdr:colOff>61777</xdr:colOff>
      <xdr:row>1</xdr:row>
      <xdr:rowOff>177165</xdr:rowOff>
    </xdr:from>
    <xdr:to>
      <xdr:col>2</xdr:col>
      <xdr:colOff>1126220</xdr:colOff>
      <xdr:row>2</xdr:row>
      <xdr:rowOff>335779</xdr:rowOff>
    </xdr:to>
    <xdr:sp macro="" textlink="">
      <xdr:nvSpPr>
        <xdr:cNvPr id="7" name="Suorakulmio: Pyöristetyt kulmat 6">
          <a:hlinkClick xmlns:r="http://schemas.openxmlformats.org/officeDocument/2006/relationships" r:id="rId2"/>
          <a:extLst>
            <a:ext uri="{FF2B5EF4-FFF2-40B4-BE49-F238E27FC236}">
              <a16:creationId xmlns:a16="http://schemas.microsoft.com/office/drawing/2014/main" id="{36576D35-9ED9-4F14-949E-FE076ED2172B}"/>
            </a:ext>
          </a:extLst>
        </xdr:cNvPr>
        <xdr:cNvSpPr/>
      </xdr:nvSpPr>
      <xdr:spPr>
        <a:xfrm>
          <a:off x="192406" y="335008"/>
          <a:ext cx="1440000" cy="360000"/>
        </a:xfrm>
        <a:prstGeom prst="roundRect">
          <a:avLst/>
        </a:prstGeom>
        <a:solidFill>
          <a:srgbClr val="FFFF00"/>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i-FI" sz="1100" b="1">
              <a:solidFill>
                <a:schemeClr val="tx1"/>
              </a:solidFill>
              <a:effectLst/>
              <a:latin typeface="+mn-lt"/>
              <a:ea typeface="+mn-ea"/>
              <a:cs typeface="+mn-cs"/>
            </a:rPr>
            <a:t>K3 RESULTAT</a:t>
          </a:r>
          <a:endParaRPr lang="fi-FI" sz="1100">
            <a:solidFill>
              <a:schemeClr val="tx1"/>
            </a:solidFill>
          </a:endParaRPr>
        </a:p>
      </xdr:txBody>
    </xdr:sp>
    <xdr:clientData fPrintsWithSheet="0"/>
  </xdr:twoCellAnchor>
  <xdr:twoCellAnchor editAs="oneCell">
    <xdr:from>
      <xdr:col>1</xdr:col>
      <xdr:colOff>141514</xdr:colOff>
      <xdr:row>3</xdr:row>
      <xdr:rowOff>68132</xdr:rowOff>
    </xdr:from>
    <xdr:to>
      <xdr:col>2</xdr:col>
      <xdr:colOff>473528</xdr:colOff>
      <xdr:row>4</xdr:row>
      <xdr:rowOff>116041</xdr:rowOff>
    </xdr:to>
    <xdr:pic>
      <xdr:nvPicPr>
        <xdr:cNvPr id="3" name="Kuva 2">
          <a:extLst>
            <a:ext uri="{FF2B5EF4-FFF2-40B4-BE49-F238E27FC236}">
              <a16:creationId xmlns:a16="http://schemas.microsoft.com/office/drawing/2014/main" id="{5076A356-7DE9-E618-ECCB-64D2E564A87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72143" y="928103"/>
          <a:ext cx="707571" cy="24385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845820</xdr:colOff>
      <xdr:row>3</xdr:row>
      <xdr:rowOff>137160</xdr:rowOff>
    </xdr:from>
    <xdr:to>
      <xdr:col>12</xdr:col>
      <xdr:colOff>478155</xdr:colOff>
      <xdr:row>16</xdr:row>
      <xdr:rowOff>133350</xdr:rowOff>
    </xdr:to>
    <xdr:pic>
      <xdr:nvPicPr>
        <xdr:cNvPr id="9" name="Kuva 8">
          <a:extLst>
            <a:ext uri="{FF2B5EF4-FFF2-40B4-BE49-F238E27FC236}">
              <a16:creationId xmlns:a16="http://schemas.microsoft.com/office/drawing/2014/main" id="{2C205ADD-2F03-46A2-859E-E64C28A0A5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5820" y="640080"/>
          <a:ext cx="8498205" cy="2171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480060</xdr:colOff>
      <xdr:row>3</xdr:row>
      <xdr:rowOff>22860</xdr:rowOff>
    </xdr:from>
    <xdr:to>
      <xdr:col>7</xdr:col>
      <xdr:colOff>30480</xdr:colOff>
      <xdr:row>5</xdr:row>
      <xdr:rowOff>129540</xdr:rowOff>
    </xdr:to>
    <xdr:sp macro="" textlink="">
      <xdr:nvSpPr>
        <xdr:cNvPr id="10" name="Ellipsi 9">
          <a:extLst>
            <a:ext uri="{FF2B5EF4-FFF2-40B4-BE49-F238E27FC236}">
              <a16:creationId xmlns:a16="http://schemas.microsoft.com/office/drawing/2014/main" id="{ED32A091-149B-4B9E-BE30-AE3BEEE061E6}"/>
            </a:ext>
          </a:extLst>
        </xdr:cNvPr>
        <xdr:cNvSpPr/>
      </xdr:nvSpPr>
      <xdr:spPr>
        <a:xfrm>
          <a:off x="3703320" y="22860"/>
          <a:ext cx="769620" cy="44196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9</xdr:col>
      <xdr:colOff>15240</xdr:colOff>
      <xdr:row>3</xdr:row>
      <xdr:rowOff>0</xdr:rowOff>
    </xdr:from>
    <xdr:to>
      <xdr:col>10</xdr:col>
      <xdr:colOff>327660</xdr:colOff>
      <xdr:row>5</xdr:row>
      <xdr:rowOff>106680</xdr:rowOff>
    </xdr:to>
    <xdr:sp macro="" textlink="">
      <xdr:nvSpPr>
        <xdr:cNvPr id="11" name="Ellipsi 10">
          <a:extLst>
            <a:ext uri="{FF2B5EF4-FFF2-40B4-BE49-F238E27FC236}">
              <a16:creationId xmlns:a16="http://schemas.microsoft.com/office/drawing/2014/main" id="{C8592F56-4101-4D75-B5F4-5888DD182D3A}"/>
            </a:ext>
          </a:extLst>
        </xdr:cNvPr>
        <xdr:cNvSpPr/>
      </xdr:nvSpPr>
      <xdr:spPr>
        <a:xfrm>
          <a:off x="5676900" y="502920"/>
          <a:ext cx="922020" cy="44196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12</xdr:col>
      <xdr:colOff>449580</xdr:colOff>
      <xdr:row>3</xdr:row>
      <xdr:rowOff>15240</xdr:rowOff>
    </xdr:from>
    <xdr:to>
      <xdr:col>14</xdr:col>
      <xdr:colOff>198120</xdr:colOff>
      <xdr:row>5</xdr:row>
      <xdr:rowOff>121920</xdr:rowOff>
    </xdr:to>
    <xdr:sp macro="" textlink="">
      <xdr:nvSpPr>
        <xdr:cNvPr id="12" name="Ellipsi 11">
          <a:extLst>
            <a:ext uri="{FF2B5EF4-FFF2-40B4-BE49-F238E27FC236}">
              <a16:creationId xmlns:a16="http://schemas.microsoft.com/office/drawing/2014/main" id="{23CC26DE-BCF1-4747-8080-D95E342CDFE9}"/>
            </a:ext>
          </a:extLst>
        </xdr:cNvPr>
        <xdr:cNvSpPr/>
      </xdr:nvSpPr>
      <xdr:spPr>
        <a:xfrm>
          <a:off x="8382000" y="518160"/>
          <a:ext cx="967740" cy="441960"/>
        </a:xfrm>
        <a:prstGeom prst="ellipse">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3</xdr:col>
      <xdr:colOff>403860</xdr:colOff>
      <xdr:row>0</xdr:row>
      <xdr:rowOff>99060</xdr:rowOff>
    </xdr:from>
    <xdr:to>
      <xdr:col>5</xdr:col>
      <xdr:colOff>342900</xdr:colOff>
      <xdr:row>3</xdr:row>
      <xdr:rowOff>53340</xdr:rowOff>
    </xdr:to>
    <xdr:sp macro="" textlink="">
      <xdr:nvSpPr>
        <xdr:cNvPr id="13" name="Kuvaselite: Viiva 12">
          <a:extLst>
            <a:ext uri="{FF2B5EF4-FFF2-40B4-BE49-F238E27FC236}">
              <a16:creationId xmlns:a16="http://schemas.microsoft.com/office/drawing/2014/main" id="{F1175CB3-8E09-40B7-B79F-B72E2269764A}"/>
            </a:ext>
          </a:extLst>
        </xdr:cNvPr>
        <xdr:cNvSpPr/>
      </xdr:nvSpPr>
      <xdr:spPr>
        <a:xfrm>
          <a:off x="2407920" y="99060"/>
          <a:ext cx="1158240" cy="457200"/>
        </a:xfrm>
        <a:prstGeom prst="borderCallout1">
          <a:avLst>
            <a:gd name="adj1" fmla="val 28554"/>
            <a:gd name="adj2" fmla="val 102193"/>
            <a:gd name="adj3" fmla="val 110539"/>
            <a:gd name="adj4" fmla="val 13403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i-FI" sz="1100"/>
            <a:t>H</a:t>
          </a:r>
          <a:r>
            <a:rPr lang="fi-FI" sz="1100" b="1">
              <a:solidFill>
                <a:sysClr val="windowText" lastClr="000000"/>
              </a:solidFill>
            </a:rPr>
            <a:t>´Hakuarvo</a:t>
          </a:r>
          <a:r>
            <a:rPr lang="fi-FI" sz="1100" b="1" baseline="0">
              <a:solidFill>
                <a:sysClr val="windowText" lastClr="000000"/>
              </a:solidFill>
            </a:rPr>
            <a:t> = toimialanumero</a:t>
          </a:r>
          <a:endParaRPr lang="fi-FI" sz="1100" b="1"/>
        </a:p>
      </xdr:txBody>
    </xdr:sp>
    <xdr:clientData/>
  </xdr:twoCellAnchor>
  <xdr:twoCellAnchor>
    <xdr:from>
      <xdr:col>6</xdr:col>
      <xdr:colOff>487680</xdr:colOff>
      <xdr:row>0</xdr:row>
      <xdr:rowOff>60960</xdr:rowOff>
    </xdr:from>
    <xdr:to>
      <xdr:col>9</xdr:col>
      <xdr:colOff>320040</xdr:colOff>
      <xdr:row>3</xdr:row>
      <xdr:rowOff>15240</xdr:rowOff>
    </xdr:to>
    <xdr:sp macro="" textlink="">
      <xdr:nvSpPr>
        <xdr:cNvPr id="14" name="Kuvaselite: Viiva 13">
          <a:extLst>
            <a:ext uri="{FF2B5EF4-FFF2-40B4-BE49-F238E27FC236}">
              <a16:creationId xmlns:a16="http://schemas.microsoft.com/office/drawing/2014/main" id="{233A59DD-2E9F-49BB-8965-A2EECBF0E733}"/>
            </a:ext>
          </a:extLst>
        </xdr:cNvPr>
        <xdr:cNvSpPr/>
      </xdr:nvSpPr>
      <xdr:spPr>
        <a:xfrm>
          <a:off x="4320540" y="60960"/>
          <a:ext cx="1661160" cy="457200"/>
        </a:xfrm>
        <a:prstGeom prst="borderCallout1">
          <a:avLst>
            <a:gd name="adj1" fmla="val 28554"/>
            <a:gd name="adj2" fmla="val 102193"/>
            <a:gd name="adj3" fmla="val 118872"/>
            <a:gd name="adj4" fmla="val 116683"/>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i-FI" sz="1100" b="1"/>
            <a:t>H</a:t>
          </a:r>
          <a:r>
            <a:rPr lang="fi-FI" sz="1100" b="1">
              <a:solidFill>
                <a:sysClr val="windowText" lastClr="000000"/>
              </a:solidFill>
            </a:rPr>
            <a:t>Hakuvektori</a:t>
          </a:r>
          <a:r>
            <a:rPr lang="fi-FI" sz="1100" b="1" baseline="0">
              <a:solidFill>
                <a:sysClr val="windowText" lastClr="000000"/>
              </a:solidFill>
            </a:rPr>
            <a:t> = toimiala-numerot-sarake</a:t>
          </a:r>
          <a:endParaRPr lang="fi-FI" sz="1100" b="1"/>
        </a:p>
      </xdr:txBody>
    </xdr:sp>
    <xdr:clientData/>
  </xdr:twoCellAnchor>
  <xdr:twoCellAnchor>
    <xdr:from>
      <xdr:col>10</xdr:col>
      <xdr:colOff>541020</xdr:colOff>
      <xdr:row>0</xdr:row>
      <xdr:rowOff>68580</xdr:rowOff>
    </xdr:from>
    <xdr:to>
      <xdr:col>12</xdr:col>
      <xdr:colOff>457200</xdr:colOff>
      <xdr:row>3</xdr:row>
      <xdr:rowOff>22860</xdr:rowOff>
    </xdr:to>
    <xdr:sp macro="" textlink="">
      <xdr:nvSpPr>
        <xdr:cNvPr id="15" name="Kuvaselite: Viiva 14">
          <a:extLst>
            <a:ext uri="{FF2B5EF4-FFF2-40B4-BE49-F238E27FC236}">
              <a16:creationId xmlns:a16="http://schemas.microsoft.com/office/drawing/2014/main" id="{F4C940E6-AF85-4087-9029-9FB19AE887D2}"/>
            </a:ext>
          </a:extLst>
        </xdr:cNvPr>
        <xdr:cNvSpPr/>
      </xdr:nvSpPr>
      <xdr:spPr>
        <a:xfrm>
          <a:off x="6812280" y="68580"/>
          <a:ext cx="1135380" cy="457200"/>
        </a:xfrm>
        <a:prstGeom prst="borderCallout1">
          <a:avLst>
            <a:gd name="adj1" fmla="val 28554"/>
            <a:gd name="adj2" fmla="val 102193"/>
            <a:gd name="adj3" fmla="val 107205"/>
            <a:gd name="adj4" fmla="val 125254"/>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i-FI" sz="1100" b="1"/>
            <a:t>H</a:t>
          </a:r>
          <a:r>
            <a:rPr lang="fi-FI" sz="1100" b="1">
              <a:solidFill>
                <a:sysClr val="windowText" lastClr="000000"/>
              </a:solidFill>
            </a:rPr>
            <a:t>Tulosvektori</a:t>
          </a:r>
          <a:r>
            <a:rPr lang="fi-FI" sz="1100" b="1" baseline="0">
              <a:solidFill>
                <a:sysClr val="windowText" lastClr="000000"/>
              </a:solidFill>
            </a:rPr>
            <a:t> = </a:t>
          </a:r>
          <a:br>
            <a:rPr lang="fi-FI" sz="1100" b="1" baseline="0">
              <a:solidFill>
                <a:sysClr val="windowText" lastClr="000000"/>
              </a:solidFill>
            </a:rPr>
          </a:br>
          <a:r>
            <a:rPr lang="fi-FI" sz="1100" b="1" baseline="0">
              <a:solidFill>
                <a:sysClr val="windowText" lastClr="000000"/>
              </a:solidFill>
            </a:rPr>
            <a:t>   tulos-sarake</a:t>
          </a:r>
          <a:endParaRPr lang="fi-FI" sz="1100" b="1"/>
        </a:p>
      </xdr:txBody>
    </xdr:sp>
    <xdr:clientData/>
  </xdr:twoCellAnchor>
  <xdr:twoCellAnchor>
    <xdr:from>
      <xdr:col>10</xdr:col>
      <xdr:colOff>167640</xdr:colOff>
      <xdr:row>4</xdr:row>
      <xdr:rowOff>76200</xdr:rowOff>
    </xdr:from>
    <xdr:to>
      <xdr:col>10</xdr:col>
      <xdr:colOff>464820</xdr:colOff>
      <xdr:row>17</xdr:row>
      <xdr:rowOff>160020</xdr:rowOff>
    </xdr:to>
    <xdr:cxnSp macro="">
      <xdr:nvCxnSpPr>
        <xdr:cNvPr id="19" name="Suora nuoliyhdysviiva 18">
          <a:extLst>
            <a:ext uri="{FF2B5EF4-FFF2-40B4-BE49-F238E27FC236}">
              <a16:creationId xmlns:a16="http://schemas.microsoft.com/office/drawing/2014/main" id="{52BDD80A-4854-4A6C-96A7-99C7009C5E4B}"/>
            </a:ext>
          </a:extLst>
        </xdr:cNvPr>
        <xdr:cNvCxnSpPr/>
      </xdr:nvCxnSpPr>
      <xdr:spPr>
        <a:xfrm flipH="1" flipV="1">
          <a:off x="6438900" y="746760"/>
          <a:ext cx="297180" cy="226314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502920</xdr:colOff>
      <xdr:row>4</xdr:row>
      <xdr:rowOff>99060</xdr:rowOff>
    </xdr:from>
    <xdr:to>
      <xdr:col>13</xdr:col>
      <xdr:colOff>236220</xdr:colOff>
      <xdr:row>17</xdr:row>
      <xdr:rowOff>152400</xdr:rowOff>
    </xdr:to>
    <xdr:cxnSp macro="">
      <xdr:nvCxnSpPr>
        <xdr:cNvPr id="20" name="Suora nuoliyhdysviiva 19">
          <a:extLst>
            <a:ext uri="{FF2B5EF4-FFF2-40B4-BE49-F238E27FC236}">
              <a16:creationId xmlns:a16="http://schemas.microsoft.com/office/drawing/2014/main" id="{C9BDC29A-AE90-4D31-955D-D5C6696FE4B7}"/>
            </a:ext>
          </a:extLst>
        </xdr:cNvPr>
        <xdr:cNvCxnSpPr/>
      </xdr:nvCxnSpPr>
      <xdr:spPr>
        <a:xfrm flipV="1">
          <a:off x="6774180" y="769620"/>
          <a:ext cx="1562100" cy="223266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312420</xdr:colOff>
      <xdr:row>20</xdr:row>
      <xdr:rowOff>68580</xdr:rowOff>
    </xdr:from>
    <xdr:to>
      <xdr:col>0</xdr:col>
      <xdr:colOff>769620</xdr:colOff>
      <xdr:row>23</xdr:row>
      <xdr:rowOff>13335</xdr:rowOff>
    </xdr:to>
    <xdr:sp macro="" textlink="">
      <xdr:nvSpPr>
        <xdr:cNvPr id="16" name="Ellipsi 15">
          <a:extLst>
            <a:ext uri="{FF2B5EF4-FFF2-40B4-BE49-F238E27FC236}">
              <a16:creationId xmlns:a16="http://schemas.microsoft.com/office/drawing/2014/main" id="{323419F5-DA81-4403-9764-DED9003AD295}"/>
            </a:ext>
          </a:extLst>
        </xdr:cNvPr>
        <xdr:cNvSpPr/>
      </xdr:nvSpPr>
      <xdr:spPr>
        <a:xfrm>
          <a:off x="312420" y="3451860"/>
          <a:ext cx="457200" cy="447675"/>
        </a:xfrm>
        <a:prstGeom prst="ellipse">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679429</xdr:colOff>
      <xdr:row>23</xdr:row>
      <xdr:rowOff>35301</xdr:rowOff>
    </xdr:from>
    <xdr:to>
      <xdr:col>8</xdr:col>
      <xdr:colOff>1767</xdr:colOff>
      <xdr:row>23</xdr:row>
      <xdr:rowOff>36491</xdr:rowOff>
    </xdr:to>
    <xdr:cxnSp macro="">
      <xdr:nvCxnSpPr>
        <xdr:cNvPr id="10" name="Suora nuoliyhdysviiva 9">
          <a:extLst>
            <a:ext uri="{FF2B5EF4-FFF2-40B4-BE49-F238E27FC236}">
              <a16:creationId xmlns:a16="http://schemas.microsoft.com/office/drawing/2014/main" id="{4CCA1424-D75B-4326-9189-6679BD0E0A6C}"/>
            </a:ext>
          </a:extLst>
        </xdr:cNvPr>
        <xdr:cNvCxnSpPr/>
      </xdr:nvCxnSpPr>
      <xdr:spPr>
        <a:xfrm flipV="1">
          <a:off x="7748340" y="3726239"/>
          <a:ext cx="77534" cy="119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27947</xdr:colOff>
      <xdr:row>23</xdr:row>
      <xdr:rowOff>34017</xdr:rowOff>
    </xdr:from>
    <xdr:to>
      <xdr:col>8</xdr:col>
      <xdr:colOff>105456</xdr:colOff>
      <xdr:row>23</xdr:row>
      <xdr:rowOff>34543</xdr:rowOff>
    </xdr:to>
    <xdr:cxnSp macro="">
      <xdr:nvCxnSpPr>
        <xdr:cNvPr id="11" name="Suora nuoliyhdysviiva 10">
          <a:extLst>
            <a:ext uri="{FF2B5EF4-FFF2-40B4-BE49-F238E27FC236}">
              <a16:creationId xmlns:a16="http://schemas.microsoft.com/office/drawing/2014/main" id="{2D3F9BA9-F411-4ED1-9929-60B589AF6357}"/>
            </a:ext>
          </a:extLst>
        </xdr:cNvPr>
        <xdr:cNvCxnSpPr/>
      </xdr:nvCxnSpPr>
      <xdr:spPr>
        <a:xfrm flipH="1">
          <a:off x="7852054" y="3724955"/>
          <a:ext cx="77509" cy="526"/>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683252</xdr:colOff>
      <xdr:row>129</xdr:row>
      <xdr:rowOff>37058</xdr:rowOff>
    </xdr:from>
    <xdr:to>
      <xdr:col>8</xdr:col>
      <xdr:colOff>1665</xdr:colOff>
      <xdr:row>129</xdr:row>
      <xdr:rowOff>37435</xdr:rowOff>
    </xdr:to>
    <xdr:cxnSp macro="">
      <xdr:nvCxnSpPr>
        <xdr:cNvPr id="15" name="Suora nuoliyhdysviiva 14">
          <a:extLst>
            <a:ext uri="{FF2B5EF4-FFF2-40B4-BE49-F238E27FC236}">
              <a16:creationId xmlns:a16="http://schemas.microsoft.com/office/drawing/2014/main" id="{BB9AFE80-ED13-40EE-A569-7BCE14AA9EF0}"/>
            </a:ext>
          </a:extLst>
        </xdr:cNvPr>
        <xdr:cNvCxnSpPr/>
      </xdr:nvCxnSpPr>
      <xdr:spPr>
        <a:xfrm>
          <a:off x="7756650" y="19860638"/>
          <a:ext cx="75781" cy="377"/>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16249</xdr:colOff>
      <xdr:row>129</xdr:row>
      <xdr:rowOff>34742</xdr:rowOff>
    </xdr:from>
    <xdr:to>
      <xdr:col>9</xdr:col>
      <xdr:colOff>4632</xdr:colOff>
      <xdr:row>129</xdr:row>
      <xdr:rowOff>36677</xdr:rowOff>
    </xdr:to>
    <xdr:cxnSp macro="">
      <xdr:nvCxnSpPr>
        <xdr:cNvPr id="16" name="Suora nuoliyhdysviiva 15">
          <a:extLst>
            <a:ext uri="{FF2B5EF4-FFF2-40B4-BE49-F238E27FC236}">
              <a16:creationId xmlns:a16="http://schemas.microsoft.com/office/drawing/2014/main" id="{04C0D79A-39AE-4132-AE12-5EDD5E9B0399}"/>
            </a:ext>
          </a:extLst>
        </xdr:cNvPr>
        <xdr:cNvCxnSpPr/>
      </xdr:nvCxnSpPr>
      <xdr:spPr>
        <a:xfrm flipH="1">
          <a:off x="7847015" y="19858322"/>
          <a:ext cx="169040" cy="1935"/>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xdr:col>
      <xdr:colOff>421957</xdr:colOff>
      <xdr:row>6</xdr:row>
      <xdr:rowOff>84771</xdr:rowOff>
    </xdr:from>
    <xdr:to>
      <xdr:col>7</xdr:col>
      <xdr:colOff>709931</xdr:colOff>
      <xdr:row>9</xdr:row>
      <xdr:rowOff>1679</xdr:rowOff>
    </xdr:to>
    <xdr:pic>
      <xdr:nvPicPr>
        <xdr:cNvPr id="8" name="Kuva 7">
          <a:extLst>
            <a:ext uri="{FF2B5EF4-FFF2-40B4-BE49-F238E27FC236}">
              <a16:creationId xmlns:a16="http://schemas.microsoft.com/office/drawing/2014/main" id="{DE027F00-8182-4747-9F92-9DA3A339BAA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37007" y="1132521"/>
          <a:ext cx="1019040" cy="379823"/>
        </a:xfrm>
        <a:prstGeom prst="rect">
          <a:avLst/>
        </a:prstGeom>
      </xdr:spPr>
    </xdr:pic>
    <xdr:clientData/>
  </xdr:twoCellAnchor>
  <xdr:twoCellAnchor>
    <xdr:from>
      <xdr:col>9</xdr:col>
      <xdr:colOff>17142</xdr:colOff>
      <xdr:row>2</xdr:row>
      <xdr:rowOff>137159</xdr:rowOff>
    </xdr:from>
    <xdr:to>
      <xdr:col>11</xdr:col>
      <xdr:colOff>211272</xdr:colOff>
      <xdr:row>4</xdr:row>
      <xdr:rowOff>116159</xdr:rowOff>
    </xdr:to>
    <xdr:sp macro="" textlink="">
      <xdr:nvSpPr>
        <xdr:cNvPr id="2" name="Suorakulmio: Pyöristetyt kulmat 1">
          <a:hlinkClick xmlns:r="http://schemas.openxmlformats.org/officeDocument/2006/relationships" r:id="rId2"/>
          <a:extLst>
            <a:ext uri="{FF2B5EF4-FFF2-40B4-BE49-F238E27FC236}">
              <a16:creationId xmlns:a16="http://schemas.microsoft.com/office/drawing/2014/main" id="{EAA85852-2124-2A8A-99A7-73793439A22A}"/>
            </a:ext>
          </a:extLst>
        </xdr:cNvPr>
        <xdr:cNvSpPr/>
      </xdr:nvSpPr>
      <xdr:spPr>
        <a:xfrm>
          <a:off x="7770492" y="499109"/>
          <a:ext cx="1451430" cy="360000"/>
        </a:xfrm>
        <a:prstGeom prst="roundRect">
          <a:avLst/>
        </a:prstGeom>
        <a:solidFill>
          <a:srgbClr val="0152A1"/>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i-FI" sz="1100" b="1">
              <a:solidFill>
                <a:schemeClr val="bg1"/>
              </a:solidFill>
              <a:effectLst/>
              <a:latin typeface="+mn-lt"/>
              <a:ea typeface="+mn-ea"/>
              <a:cs typeface="+mn-cs"/>
            </a:rPr>
            <a:t>K2 FÖRSÄLJNING</a:t>
          </a:r>
          <a:endParaRPr lang="fi-FI" sz="1100">
            <a:solidFill>
              <a:schemeClr val="bg1"/>
            </a:solidFill>
          </a:endParaRPr>
        </a:p>
      </xdr:txBody>
    </xdr:sp>
    <xdr:clientData fPrintsWithSheet="0"/>
  </xdr:twoCellAnchor>
  <xdr:twoCellAnchor>
    <xdr:from>
      <xdr:col>9</xdr:col>
      <xdr:colOff>19050</xdr:colOff>
      <xdr:row>133</xdr:row>
      <xdr:rowOff>133348</xdr:rowOff>
    </xdr:from>
    <xdr:to>
      <xdr:col>11</xdr:col>
      <xdr:colOff>201750</xdr:colOff>
      <xdr:row>136</xdr:row>
      <xdr:rowOff>13288</xdr:rowOff>
    </xdr:to>
    <xdr:sp macro="" textlink="">
      <xdr:nvSpPr>
        <xdr:cNvPr id="6" name="Suorakulmio: Pyöristetyt kulmat 5">
          <a:hlinkClick xmlns:r="http://schemas.openxmlformats.org/officeDocument/2006/relationships" r:id="rId2"/>
          <a:extLst>
            <a:ext uri="{FF2B5EF4-FFF2-40B4-BE49-F238E27FC236}">
              <a16:creationId xmlns:a16="http://schemas.microsoft.com/office/drawing/2014/main" id="{6673DA78-A704-49E5-8BE4-EDBB1E1A40A0}"/>
            </a:ext>
          </a:extLst>
        </xdr:cNvPr>
        <xdr:cNvSpPr/>
      </xdr:nvSpPr>
      <xdr:spPr>
        <a:xfrm>
          <a:off x="7772400" y="21621748"/>
          <a:ext cx="1440000" cy="365715"/>
        </a:xfrm>
        <a:prstGeom prst="roundRect">
          <a:avLst/>
        </a:prstGeom>
        <a:solidFill>
          <a:srgbClr val="0152A1"/>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i-FI" sz="1100" b="1">
              <a:solidFill>
                <a:schemeClr val="bg1"/>
              </a:solidFill>
              <a:effectLst/>
              <a:latin typeface="+mn-lt"/>
              <a:ea typeface="+mn-ea"/>
              <a:cs typeface="+mn-cs"/>
            </a:rPr>
            <a:t>K2 FÖRSÄLJNING</a:t>
          </a:r>
          <a:endParaRPr lang="fi-FI" sz="1100">
            <a:solidFill>
              <a:schemeClr val="bg1"/>
            </a:solidFill>
          </a:endParaRPr>
        </a:p>
      </xdr:txBody>
    </xdr:sp>
    <xdr:clientData/>
  </xdr:twoCellAnchor>
  <xdr:twoCellAnchor>
    <xdr:from>
      <xdr:col>9</xdr:col>
      <xdr:colOff>19050</xdr:colOff>
      <xdr:row>5</xdr:row>
      <xdr:rowOff>104775</xdr:rowOff>
    </xdr:from>
    <xdr:to>
      <xdr:col>11</xdr:col>
      <xdr:colOff>209370</xdr:colOff>
      <xdr:row>8</xdr:row>
      <xdr:rowOff>7575</xdr:rowOff>
    </xdr:to>
    <xdr:sp macro="" textlink="">
      <xdr:nvSpPr>
        <xdr:cNvPr id="7" name="Suorakulmio: Pyöristetyt kulmat 6">
          <a:hlinkClick xmlns:r="http://schemas.openxmlformats.org/officeDocument/2006/relationships" r:id="rId3"/>
          <a:extLst>
            <a:ext uri="{FF2B5EF4-FFF2-40B4-BE49-F238E27FC236}">
              <a16:creationId xmlns:a16="http://schemas.microsoft.com/office/drawing/2014/main" id="{DCFD30D5-8928-40BB-86B0-6663BCC758BF}"/>
            </a:ext>
          </a:extLst>
        </xdr:cNvPr>
        <xdr:cNvSpPr/>
      </xdr:nvSpPr>
      <xdr:spPr>
        <a:xfrm>
          <a:off x="7772400" y="1000125"/>
          <a:ext cx="1447620" cy="360000"/>
        </a:xfrm>
        <a:prstGeom prst="roundRect">
          <a:avLst/>
        </a:prstGeom>
        <a:solidFill>
          <a:srgbClr val="0152A1"/>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i-FI" sz="1100" b="1">
              <a:solidFill>
                <a:schemeClr val="bg1"/>
              </a:solidFill>
              <a:effectLst/>
              <a:latin typeface="+mn-lt"/>
              <a:ea typeface="+mn-ea"/>
              <a:cs typeface="+mn-cs"/>
            </a:rPr>
            <a:t>K3 RESULTAT</a:t>
          </a:r>
          <a:endParaRPr lang="fi-FI" sz="1100">
            <a:solidFill>
              <a:schemeClr val="bg1"/>
            </a:solidFill>
          </a:endParaRP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editAs="oneCell">
    <xdr:from>
      <xdr:col>6</xdr:col>
      <xdr:colOff>319087</xdr:colOff>
      <xdr:row>70</xdr:row>
      <xdr:rowOff>52387</xdr:rowOff>
    </xdr:from>
    <xdr:to>
      <xdr:col>9</xdr:col>
      <xdr:colOff>18445</xdr:colOff>
      <xdr:row>72</xdr:row>
      <xdr:rowOff>135708</xdr:rowOff>
    </xdr:to>
    <xdr:pic>
      <xdr:nvPicPr>
        <xdr:cNvPr id="14" name="Kuva 13">
          <a:extLst>
            <a:ext uri="{FF2B5EF4-FFF2-40B4-BE49-F238E27FC236}">
              <a16:creationId xmlns:a16="http://schemas.microsoft.com/office/drawing/2014/main" id="{1C9D3686-6C66-4116-8B62-C7A6102268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48412" y="10348912"/>
          <a:ext cx="1093818" cy="376965"/>
        </a:xfrm>
        <a:prstGeom prst="rect">
          <a:avLst/>
        </a:prstGeom>
      </xdr:spPr>
    </xdr:pic>
    <xdr:clientData/>
  </xdr:twoCellAnchor>
  <xdr:twoCellAnchor editAs="oneCell">
    <xdr:from>
      <xdr:col>6</xdr:col>
      <xdr:colOff>309563</xdr:colOff>
      <xdr:row>140</xdr:row>
      <xdr:rowOff>66675</xdr:rowOff>
    </xdr:from>
    <xdr:to>
      <xdr:col>9</xdr:col>
      <xdr:colOff>16814</xdr:colOff>
      <xdr:row>142</xdr:row>
      <xdr:rowOff>131222</xdr:rowOff>
    </xdr:to>
    <xdr:pic>
      <xdr:nvPicPr>
        <xdr:cNvPr id="16" name="Kuva 15">
          <a:extLst>
            <a:ext uri="{FF2B5EF4-FFF2-40B4-BE49-F238E27FC236}">
              <a16:creationId xmlns:a16="http://schemas.microsoft.com/office/drawing/2014/main" id="{4A8E447B-4B8F-4C78-AFF2-6EE9AAB4A42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38888" y="20278725"/>
          <a:ext cx="1093818" cy="376965"/>
        </a:xfrm>
        <a:prstGeom prst="rect">
          <a:avLst/>
        </a:prstGeom>
      </xdr:spPr>
    </xdr:pic>
    <xdr:clientData/>
  </xdr:twoCellAnchor>
  <xdr:twoCellAnchor>
    <xdr:from>
      <xdr:col>10</xdr:col>
      <xdr:colOff>247650</xdr:colOff>
      <xdr:row>3</xdr:row>
      <xdr:rowOff>123825</xdr:rowOff>
    </xdr:from>
    <xdr:to>
      <xdr:col>12</xdr:col>
      <xdr:colOff>413205</xdr:colOff>
      <xdr:row>5</xdr:row>
      <xdr:rowOff>125685</xdr:rowOff>
    </xdr:to>
    <xdr:sp macro="" textlink="">
      <xdr:nvSpPr>
        <xdr:cNvPr id="2" name="Suorakulmio: Pyöristetyt kulmat 1">
          <a:hlinkClick xmlns:r="http://schemas.openxmlformats.org/officeDocument/2006/relationships" r:id="rId3"/>
          <a:extLst>
            <a:ext uri="{FF2B5EF4-FFF2-40B4-BE49-F238E27FC236}">
              <a16:creationId xmlns:a16="http://schemas.microsoft.com/office/drawing/2014/main" id="{FD64B2DD-0086-4675-9E26-19B761723A66}"/>
            </a:ext>
          </a:extLst>
        </xdr:cNvPr>
        <xdr:cNvSpPr/>
      </xdr:nvSpPr>
      <xdr:spPr>
        <a:xfrm>
          <a:off x="7848600" y="542925"/>
          <a:ext cx="1441905" cy="354285"/>
        </a:xfrm>
        <a:prstGeom prst="roundRect">
          <a:avLst/>
        </a:prstGeom>
        <a:solidFill>
          <a:srgbClr val="0152A1"/>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i-FI" sz="1100" b="1">
              <a:solidFill>
                <a:schemeClr val="bg1"/>
              </a:solidFill>
              <a:effectLst/>
              <a:latin typeface="+mn-lt"/>
              <a:ea typeface="+mn-ea"/>
              <a:cs typeface="+mn-cs"/>
            </a:rPr>
            <a:t>K1 KOSTNADER</a:t>
          </a:r>
          <a:endParaRPr lang="fi-FI" sz="1100">
            <a:solidFill>
              <a:schemeClr val="bg1"/>
            </a:solidFill>
          </a:endParaRPr>
        </a:p>
      </xdr:txBody>
    </xdr:sp>
    <xdr:clientData fPrintsWithSheet="0"/>
  </xdr:twoCellAnchor>
  <xdr:twoCellAnchor>
    <xdr:from>
      <xdr:col>10</xdr:col>
      <xdr:colOff>249555</xdr:colOff>
      <xdr:row>6</xdr:row>
      <xdr:rowOff>97155</xdr:rowOff>
    </xdr:from>
    <xdr:to>
      <xdr:col>12</xdr:col>
      <xdr:colOff>417015</xdr:colOff>
      <xdr:row>8</xdr:row>
      <xdr:rowOff>150450</xdr:rowOff>
    </xdr:to>
    <xdr:sp macro="" textlink="">
      <xdr:nvSpPr>
        <xdr:cNvPr id="4" name="Suorakulmio: Pyöristetyt kulmat 3">
          <a:hlinkClick xmlns:r="http://schemas.openxmlformats.org/officeDocument/2006/relationships" r:id="rId4"/>
          <a:extLst>
            <a:ext uri="{FF2B5EF4-FFF2-40B4-BE49-F238E27FC236}">
              <a16:creationId xmlns:a16="http://schemas.microsoft.com/office/drawing/2014/main" id="{3099B811-8637-4AB8-8699-31BB4987CB8C}"/>
            </a:ext>
          </a:extLst>
        </xdr:cNvPr>
        <xdr:cNvSpPr/>
      </xdr:nvSpPr>
      <xdr:spPr>
        <a:xfrm>
          <a:off x="7850505" y="1021080"/>
          <a:ext cx="1443810" cy="358095"/>
        </a:xfrm>
        <a:prstGeom prst="roundRect">
          <a:avLst/>
        </a:prstGeom>
        <a:solidFill>
          <a:srgbClr val="0152A1"/>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i-FI" sz="1100" b="1">
              <a:solidFill>
                <a:schemeClr val="bg1"/>
              </a:solidFill>
              <a:effectLst/>
              <a:latin typeface="+mn-lt"/>
              <a:ea typeface="+mn-ea"/>
              <a:cs typeface="+mn-cs"/>
            </a:rPr>
            <a:t>K3 RESULTAT</a:t>
          </a:r>
          <a:endParaRPr lang="fi-FI" sz="1100">
            <a:solidFill>
              <a:schemeClr val="bg1"/>
            </a:solidFill>
          </a:endParaRPr>
        </a:p>
      </xdr:txBody>
    </xdr:sp>
    <xdr:clientData fPrintsWithSheet="0"/>
  </xdr:twoCellAnchor>
  <xdr:twoCellAnchor editAs="oneCell">
    <xdr:from>
      <xdr:col>6</xdr:col>
      <xdr:colOff>217170</xdr:colOff>
      <xdr:row>3</xdr:row>
      <xdr:rowOff>152400</xdr:rowOff>
    </xdr:from>
    <xdr:to>
      <xdr:col>8</xdr:col>
      <xdr:colOff>400812</xdr:colOff>
      <xdr:row>6</xdr:row>
      <xdr:rowOff>21336</xdr:rowOff>
    </xdr:to>
    <xdr:pic>
      <xdr:nvPicPr>
        <xdr:cNvPr id="7" name="Kuva 6">
          <a:extLst>
            <a:ext uri="{FF2B5EF4-FFF2-40B4-BE49-F238E27FC236}">
              <a16:creationId xmlns:a16="http://schemas.microsoft.com/office/drawing/2014/main" id="{B82DEBE8-32F0-7295-235A-F9482960C46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341745" y="571500"/>
          <a:ext cx="1078992" cy="36995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152400</xdr:colOff>
      <xdr:row>99</xdr:row>
      <xdr:rowOff>45720</xdr:rowOff>
    </xdr:from>
    <xdr:to>
      <xdr:col>11</xdr:col>
      <xdr:colOff>152400</xdr:colOff>
      <xdr:row>115</xdr:row>
      <xdr:rowOff>106680</xdr:rowOff>
    </xdr:to>
    <xdr:graphicFrame macro="">
      <xdr:nvGraphicFramePr>
        <xdr:cNvPr id="22" name="Kaavio 21">
          <a:extLst>
            <a:ext uri="{FF2B5EF4-FFF2-40B4-BE49-F238E27FC236}">
              <a16:creationId xmlns:a16="http://schemas.microsoft.com/office/drawing/2014/main" id="{19267A94-3A45-4E93-9EF0-1699745FB1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52388</xdr:colOff>
      <xdr:row>3</xdr:row>
      <xdr:rowOff>66676</xdr:rowOff>
    </xdr:from>
    <xdr:to>
      <xdr:col>11</xdr:col>
      <xdr:colOff>340861</xdr:colOff>
      <xdr:row>5</xdr:row>
      <xdr:rowOff>97611</xdr:rowOff>
    </xdr:to>
    <xdr:pic>
      <xdr:nvPicPr>
        <xdr:cNvPr id="14" name="Kuva 13">
          <a:extLst>
            <a:ext uri="{FF2B5EF4-FFF2-40B4-BE49-F238E27FC236}">
              <a16:creationId xmlns:a16="http://schemas.microsoft.com/office/drawing/2014/main" id="{EE5424D5-74F7-44EE-9213-90459B31FC4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34101" y="609601"/>
          <a:ext cx="1080000" cy="372203"/>
        </a:xfrm>
        <a:prstGeom prst="rect">
          <a:avLst/>
        </a:prstGeom>
      </xdr:spPr>
    </xdr:pic>
    <xdr:clientData/>
  </xdr:twoCellAnchor>
  <xdr:twoCellAnchor editAs="oneCell">
    <xdr:from>
      <xdr:col>10</xdr:col>
      <xdr:colOff>9526</xdr:colOff>
      <xdr:row>75</xdr:row>
      <xdr:rowOff>4763</xdr:rowOff>
    </xdr:from>
    <xdr:to>
      <xdr:col>11</xdr:col>
      <xdr:colOff>320854</xdr:colOff>
      <xdr:row>77</xdr:row>
      <xdr:rowOff>16917</xdr:rowOff>
    </xdr:to>
    <xdr:pic>
      <xdr:nvPicPr>
        <xdr:cNvPr id="16" name="Kuva 15">
          <a:extLst>
            <a:ext uri="{FF2B5EF4-FFF2-40B4-BE49-F238E27FC236}">
              <a16:creationId xmlns:a16="http://schemas.microsoft.com/office/drawing/2014/main" id="{D98C99A4-823F-4012-B86A-75E16AFCCAB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091239" y="11563351"/>
          <a:ext cx="1080000" cy="372203"/>
        </a:xfrm>
        <a:prstGeom prst="rect">
          <a:avLst/>
        </a:prstGeom>
      </xdr:spPr>
    </xdr:pic>
    <xdr:clientData/>
  </xdr:twoCellAnchor>
  <xdr:twoCellAnchor>
    <xdr:from>
      <xdr:col>2</xdr:col>
      <xdr:colOff>388620</xdr:colOff>
      <xdr:row>99</xdr:row>
      <xdr:rowOff>91440</xdr:rowOff>
    </xdr:from>
    <xdr:to>
      <xdr:col>4</xdr:col>
      <xdr:colOff>365760</xdr:colOff>
      <xdr:row>112</xdr:row>
      <xdr:rowOff>121920</xdr:rowOff>
    </xdr:to>
    <xdr:sp macro="" textlink="">
      <xdr:nvSpPr>
        <xdr:cNvPr id="18" name="Tekstiruutu 1">
          <a:extLst>
            <a:ext uri="{FF2B5EF4-FFF2-40B4-BE49-F238E27FC236}">
              <a16:creationId xmlns:a16="http://schemas.microsoft.com/office/drawing/2014/main" id="{B1D1D6A7-382E-4C07-AC96-01F3F1453EBD}"/>
            </a:ext>
          </a:extLst>
        </xdr:cNvPr>
        <xdr:cNvSpPr txBox="1"/>
      </xdr:nvSpPr>
      <xdr:spPr>
        <a:xfrm>
          <a:off x="960120" y="15910560"/>
          <a:ext cx="2301240" cy="2209800"/>
        </a:xfrm>
        <a:prstGeom prst="rect">
          <a:avLst/>
        </a:prstGeom>
        <a:solidFill>
          <a:srgbClr val="FFCC00">
            <a:alpha val="40000"/>
          </a:srgbClr>
        </a:solidFill>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lang="fi-FI" sz="1100" b="1">
              <a:effectLst/>
              <a:latin typeface="+mn-lt"/>
              <a:ea typeface="+mn-ea"/>
              <a:cs typeface="+mn-cs"/>
            </a:rPr>
            <a:t>Realiserad</a:t>
          </a:r>
          <a:r>
            <a:rPr lang="fi-FI" sz="1100" b="1" baseline="0">
              <a:effectLst/>
              <a:latin typeface="+mn-lt"/>
              <a:ea typeface="+mn-ea"/>
              <a:cs typeface="+mn-cs"/>
            </a:rPr>
            <a:t> medianvärde i b  branschen</a:t>
          </a:r>
          <a:endParaRPr lang="fi-FI">
            <a:effectLst/>
          </a:endParaRPr>
        </a:p>
      </xdr:txBody>
    </xdr:sp>
    <xdr:clientData/>
  </xdr:twoCellAnchor>
  <xdr:twoCellAnchor>
    <xdr:from>
      <xdr:col>1</xdr:col>
      <xdr:colOff>144780</xdr:colOff>
      <xdr:row>115</xdr:row>
      <xdr:rowOff>152400</xdr:rowOff>
    </xdr:from>
    <xdr:to>
      <xdr:col>11</xdr:col>
      <xdr:colOff>152400</xdr:colOff>
      <xdr:row>130</xdr:row>
      <xdr:rowOff>152400</xdr:rowOff>
    </xdr:to>
    <xdr:graphicFrame macro="">
      <xdr:nvGraphicFramePr>
        <xdr:cNvPr id="17" name="Kaavio 16">
          <a:extLst>
            <a:ext uri="{FF2B5EF4-FFF2-40B4-BE49-F238E27FC236}">
              <a16:creationId xmlns:a16="http://schemas.microsoft.com/office/drawing/2014/main" id="{76C1D2BD-3113-469A-8D2F-B5C74CE862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396240</xdr:colOff>
      <xdr:row>116</xdr:row>
      <xdr:rowOff>38101</xdr:rowOff>
    </xdr:from>
    <xdr:to>
      <xdr:col>4</xdr:col>
      <xdr:colOff>365760</xdr:colOff>
      <xdr:row>129</xdr:row>
      <xdr:rowOff>15240</xdr:rowOff>
    </xdr:to>
    <xdr:sp macro="" textlink="">
      <xdr:nvSpPr>
        <xdr:cNvPr id="25" name="Tekstiruutu 1">
          <a:extLst>
            <a:ext uri="{FF2B5EF4-FFF2-40B4-BE49-F238E27FC236}">
              <a16:creationId xmlns:a16="http://schemas.microsoft.com/office/drawing/2014/main" id="{DE767421-D1AF-4280-ABA2-BE1F4A779647}"/>
            </a:ext>
          </a:extLst>
        </xdr:cNvPr>
        <xdr:cNvSpPr txBox="1"/>
      </xdr:nvSpPr>
      <xdr:spPr>
        <a:xfrm>
          <a:off x="967740" y="18707101"/>
          <a:ext cx="2293620" cy="2156459"/>
        </a:xfrm>
        <a:prstGeom prst="rect">
          <a:avLst/>
        </a:prstGeom>
        <a:solidFill>
          <a:srgbClr val="FFCC00">
            <a:alpha val="40000"/>
          </a:srgbClr>
        </a:solidFill>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lang="fi-FI" sz="1100" b="1">
              <a:effectLst/>
              <a:latin typeface="+mn-lt"/>
              <a:ea typeface="+mn-ea"/>
              <a:cs typeface="+mn-cs"/>
            </a:rPr>
            <a:t>Realiserad</a:t>
          </a:r>
          <a:r>
            <a:rPr lang="fi-FI" sz="1100" b="1" baseline="0">
              <a:effectLst/>
              <a:latin typeface="+mn-lt"/>
              <a:ea typeface="+mn-ea"/>
              <a:cs typeface="+mn-cs"/>
            </a:rPr>
            <a:t> medianvärde i branschen</a:t>
          </a:r>
          <a:endParaRPr lang="fi-FI">
            <a:effectLst/>
          </a:endParaRPr>
        </a:p>
      </xdr:txBody>
    </xdr:sp>
    <xdr:clientData/>
  </xdr:twoCellAnchor>
  <xdr:twoCellAnchor>
    <xdr:from>
      <xdr:col>13</xdr:col>
      <xdr:colOff>20955</xdr:colOff>
      <xdr:row>2</xdr:row>
      <xdr:rowOff>177165</xdr:rowOff>
    </xdr:from>
    <xdr:to>
      <xdr:col>15</xdr:col>
      <xdr:colOff>121740</xdr:colOff>
      <xdr:row>5</xdr:row>
      <xdr:rowOff>1860</xdr:rowOff>
    </xdr:to>
    <xdr:sp macro="" textlink="">
      <xdr:nvSpPr>
        <xdr:cNvPr id="2" name="Suorakulmio: Pyöristetyt kulmat 1">
          <a:hlinkClick xmlns:r="http://schemas.openxmlformats.org/officeDocument/2006/relationships" r:id="rId5"/>
          <a:extLst>
            <a:ext uri="{FF2B5EF4-FFF2-40B4-BE49-F238E27FC236}">
              <a16:creationId xmlns:a16="http://schemas.microsoft.com/office/drawing/2014/main" id="{F4017391-71D0-4C66-B068-DDE0D1080241}"/>
            </a:ext>
          </a:extLst>
        </xdr:cNvPr>
        <xdr:cNvSpPr/>
      </xdr:nvSpPr>
      <xdr:spPr>
        <a:xfrm>
          <a:off x="7107555" y="539115"/>
          <a:ext cx="1434285" cy="358095"/>
        </a:xfrm>
        <a:prstGeom prst="roundRect">
          <a:avLst/>
        </a:prstGeom>
        <a:solidFill>
          <a:srgbClr val="0152A1"/>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i-FI" sz="1100" b="1">
              <a:solidFill>
                <a:schemeClr val="bg1"/>
              </a:solidFill>
              <a:effectLst/>
              <a:latin typeface="+mn-lt"/>
              <a:ea typeface="+mn-ea"/>
              <a:cs typeface="+mn-cs"/>
            </a:rPr>
            <a:t>K1 KOSTNADER</a:t>
          </a:r>
          <a:endParaRPr lang="fi-FI" sz="1100">
            <a:solidFill>
              <a:schemeClr val="bg1"/>
            </a:solidFill>
          </a:endParaRPr>
        </a:p>
      </xdr:txBody>
    </xdr:sp>
    <xdr:clientData fPrintsWithSheet="0"/>
  </xdr:twoCellAnchor>
  <xdr:twoCellAnchor>
    <xdr:from>
      <xdr:col>13</xdr:col>
      <xdr:colOff>20955</xdr:colOff>
      <xdr:row>5</xdr:row>
      <xdr:rowOff>139065</xdr:rowOff>
    </xdr:from>
    <xdr:to>
      <xdr:col>15</xdr:col>
      <xdr:colOff>127455</xdr:colOff>
      <xdr:row>8</xdr:row>
      <xdr:rowOff>41865</xdr:rowOff>
    </xdr:to>
    <xdr:sp macro="" textlink="">
      <xdr:nvSpPr>
        <xdr:cNvPr id="4" name="Suorakulmio: Pyöristetyt kulmat 3">
          <a:hlinkClick xmlns:r="http://schemas.openxmlformats.org/officeDocument/2006/relationships" r:id="rId6"/>
          <a:extLst>
            <a:ext uri="{FF2B5EF4-FFF2-40B4-BE49-F238E27FC236}">
              <a16:creationId xmlns:a16="http://schemas.microsoft.com/office/drawing/2014/main" id="{A4C3A144-7F7A-4CC7-ABC3-DC2187FD7A5A}"/>
            </a:ext>
          </a:extLst>
        </xdr:cNvPr>
        <xdr:cNvSpPr/>
      </xdr:nvSpPr>
      <xdr:spPr>
        <a:xfrm>
          <a:off x="7107555" y="1034415"/>
          <a:ext cx="1440000" cy="360000"/>
        </a:xfrm>
        <a:prstGeom prst="roundRect">
          <a:avLst/>
        </a:prstGeom>
        <a:solidFill>
          <a:srgbClr val="0152A1"/>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i-FI" sz="1100" b="1">
              <a:solidFill>
                <a:schemeClr val="bg1"/>
              </a:solidFill>
              <a:effectLst/>
              <a:latin typeface="+mn-lt"/>
              <a:ea typeface="+mn-ea"/>
              <a:cs typeface="+mn-cs"/>
            </a:rPr>
            <a:t>K2 FÖRSÄLJNING</a:t>
          </a:r>
          <a:endParaRPr lang="fi-FI" sz="1100">
            <a:solidFill>
              <a:schemeClr val="bg1"/>
            </a:solidFill>
          </a:endParaRPr>
        </a:p>
      </xdr:txBody>
    </xdr:sp>
    <xdr:clientData fPrintsWithSheet="0"/>
  </xdr:twoCellAnchor>
  <xdr:twoCellAnchor>
    <xdr:from>
      <xdr:col>13</xdr:col>
      <xdr:colOff>180975</xdr:colOff>
      <xdr:row>74</xdr:row>
      <xdr:rowOff>57150</xdr:rowOff>
    </xdr:from>
    <xdr:to>
      <xdr:col>15</xdr:col>
      <xdr:colOff>293190</xdr:colOff>
      <xdr:row>76</xdr:row>
      <xdr:rowOff>146640</xdr:rowOff>
    </xdr:to>
    <xdr:sp macro="" textlink="">
      <xdr:nvSpPr>
        <xdr:cNvPr id="5" name="Suorakulmio: Pyöristetyt kulmat 4">
          <a:hlinkClick xmlns:r="http://schemas.openxmlformats.org/officeDocument/2006/relationships" r:id="rId7"/>
          <a:extLst>
            <a:ext uri="{FF2B5EF4-FFF2-40B4-BE49-F238E27FC236}">
              <a16:creationId xmlns:a16="http://schemas.microsoft.com/office/drawing/2014/main" id="{332A8D10-DD0E-477A-8F7A-BF427D5A03EF}"/>
            </a:ext>
          </a:extLst>
        </xdr:cNvPr>
        <xdr:cNvSpPr/>
      </xdr:nvSpPr>
      <xdr:spPr>
        <a:xfrm>
          <a:off x="7267575" y="11906250"/>
          <a:ext cx="1445715" cy="365715"/>
        </a:xfrm>
        <a:prstGeom prst="roundRect">
          <a:avLst/>
        </a:prstGeom>
        <a:solidFill>
          <a:srgbClr val="0152A1"/>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i-FI" sz="1100" b="1">
              <a:solidFill>
                <a:schemeClr val="bg1"/>
              </a:solidFill>
              <a:effectLst/>
              <a:latin typeface="+mn-lt"/>
              <a:ea typeface="+mn-ea"/>
              <a:cs typeface="+mn-cs"/>
            </a:rPr>
            <a:t>KASSABUDGET</a:t>
          </a:r>
          <a:endParaRPr lang="fi-FI" sz="1100">
            <a:solidFill>
              <a:schemeClr val="bg1"/>
            </a:solidFill>
          </a:endParaRPr>
        </a:p>
      </xdr:txBody>
    </xdr:sp>
    <xdr:clientData fPrintsWithSheet="0"/>
  </xdr:twoCellAnchor>
  <xdr:twoCellAnchor>
    <xdr:from>
      <xdr:col>13</xdr:col>
      <xdr:colOff>11430</xdr:colOff>
      <xdr:row>95</xdr:row>
      <xdr:rowOff>381000</xdr:rowOff>
    </xdr:from>
    <xdr:to>
      <xdr:col>16</xdr:col>
      <xdr:colOff>85725</xdr:colOff>
      <xdr:row>98</xdr:row>
      <xdr:rowOff>11385</xdr:rowOff>
    </xdr:to>
    <xdr:sp macro="" textlink="">
      <xdr:nvSpPr>
        <xdr:cNvPr id="7" name="Suorakulmio: Pyöristetyt kulmat 6">
          <a:hlinkClick xmlns:r="http://schemas.openxmlformats.org/officeDocument/2006/relationships" r:id="rId8"/>
          <a:extLst>
            <a:ext uri="{FF2B5EF4-FFF2-40B4-BE49-F238E27FC236}">
              <a16:creationId xmlns:a16="http://schemas.microsoft.com/office/drawing/2014/main" id="{B9FAFF05-81AA-4ECF-A59E-EE81B6177ED5}"/>
            </a:ext>
          </a:extLst>
        </xdr:cNvPr>
        <xdr:cNvSpPr/>
      </xdr:nvSpPr>
      <xdr:spPr>
        <a:xfrm>
          <a:off x="7098030" y="15516225"/>
          <a:ext cx="2074545" cy="363810"/>
        </a:xfrm>
        <a:prstGeom prst="roundRect">
          <a:avLst/>
        </a:prstGeom>
        <a:solidFill>
          <a:srgbClr val="0152A1"/>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i-FI" sz="1100" b="1">
              <a:solidFill>
                <a:schemeClr val="bg1"/>
              </a:solidFill>
              <a:effectLst/>
              <a:latin typeface="+mn-lt"/>
              <a:ea typeface="+mn-ea"/>
              <a:cs typeface="+mn-cs"/>
            </a:rPr>
            <a:t>EKONOMISKA PARAMETRAR</a:t>
          </a:r>
          <a:endParaRPr lang="fi-FI" sz="1100">
            <a:solidFill>
              <a:schemeClr val="bg1"/>
            </a:solidFill>
          </a:endParaRPr>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xdr:from>
      <xdr:col>1</xdr:col>
      <xdr:colOff>30773</xdr:colOff>
      <xdr:row>2</xdr:row>
      <xdr:rowOff>0</xdr:rowOff>
    </xdr:from>
    <xdr:to>
      <xdr:col>9</xdr:col>
      <xdr:colOff>1</xdr:colOff>
      <xdr:row>3</xdr:row>
      <xdr:rowOff>0</xdr:rowOff>
    </xdr:to>
    <xdr:sp macro="" textlink="">
      <xdr:nvSpPr>
        <xdr:cNvPr id="8" name="Suorakulmio 7">
          <a:extLst>
            <a:ext uri="{FF2B5EF4-FFF2-40B4-BE49-F238E27FC236}">
              <a16:creationId xmlns:a16="http://schemas.microsoft.com/office/drawing/2014/main" id="{00000000-0008-0000-0500-000008000000}"/>
            </a:ext>
          </a:extLst>
        </xdr:cNvPr>
        <xdr:cNvSpPr/>
      </xdr:nvSpPr>
      <xdr:spPr>
        <a:xfrm>
          <a:off x="1232388" y="322385"/>
          <a:ext cx="6438901" cy="58615"/>
        </a:xfrm>
        <a:prstGeom prst="rect">
          <a:avLst/>
        </a:prstGeom>
        <a:solidFill>
          <a:schemeClr val="tx2"/>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sv-FI"/>
        </a:p>
      </xdr:txBody>
    </xdr:sp>
    <xdr:clientData/>
  </xdr:twoCellAnchor>
  <xdr:twoCellAnchor>
    <xdr:from>
      <xdr:col>9</xdr:col>
      <xdr:colOff>118383</xdr:colOff>
      <xdr:row>7</xdr:row>
      <xdr:rowOff>13607</xdr:rowOff>
    </xdr:from>
    <xdr:to>
      <xdr:col>12</xdr:col>
      <xdr:colOff>499383</xdr:colOff>
      <xdr:row>22</xdr:row>
      <xdr:rowOff>127907</xdr:rowOff>
    </xdr:to>
    <xdr:sp macro="" textlink="">
      <xdr:nvSpPr>
        <xdr:cNvPr id="10" name="AutoShape 175">
          <a:extLst>
            <a:ext uri="{FF2B5EF4-FFF2-40B4-BE49-F238E27FC236}">
              <a16:creationId xmlns:a16="http://schemas.microsoft.com/office/drawing/2014/main" id="{00000000-0008-0000-0500-00000A000000}"/>
            </a:ext>
          </a:extLst>
        </xdr:cNvPr>
        <xdr:cNvSpPr>
          <a:spLocks noChangeArrowheads="1"/>
        </xdr:cNvSpPr>
      </xdr:nvSpPr>
      <xdr:spPr bwMode="auto">
        <a:xfrm>
          <a:off x="7858126" y="911678"/>
          <a:ext cx="2340428" cy="2198915"/>
        </a:xfrm>
        <a:prstGeom prst="foldedCorner">
          <a:avLst>
            <a:gd name="adj" fmla="val 12500"/>
          </a:avLst>
        </a:prstGeom>
        <a:solidFill>
          <a:srgbClr val="FFC000"/>
        </a:solidFill>
        <a:ln w="15875">
          <a:solidFill>
            <a:srgbClr val="FFC000"/>
          </a:solidFill>
          <a:round/>
          <a:headEnd/>
          <a:tailEnd/>
        </a:ln>
      </xdr:spPr>
      <xdr:txBody>
        <a:bodyPr vertOverflow="clip" wrap="square" lIns="108000" tIns="144000" rIns="36000" bIns="108000" anchor="t" upright="1"/>
        <a:lstStyle/>
        <a:p>
          <a:pPr algn="l" rtl="0">
            <a:lnSpc>
              <a:spcPts val="1000"/>
            </a:lnSpc>
            <a:defRPr sz="1000"/>
          </a:pPr>
          <a:r>
            <a:rPr lang="fi-FI" sz="1000" b="1" i="1" strike="noStrike">
              <a:solidFill>
                <a:srgbClr val="000000"/>
              </a:solidFill>
              <a:latin typeface="Arial" pitchFamily="34" charset="0"/>
              <a:cs typeface="Arial" pitchFamily="34" charset="0"/>
            </a:rPr>
            <a:t>Ifyllandsdirektiv</a:t>
          </a:r>
        </a:p>
        <a:p>
          <a:pPr algn="l" rtl="0">
            <a:lnSpc>
              <a:spcPts val="1000"/>
            </a:lnSpc>
            <a:defRPr sz="1000"/>
          </a:pPr>
          <a:endParaRPr lang="fi-FI" sz="1000" b="1" i="1" strike="noStrike">
            <a:solidFill>
              <a:srgbClr val="000000"/>
            </a:solidFill>
            <a:latin typeface="Arial" pitchFamily="34" charset="0"/>
            <a:cs typeface="Arial" pitchFamily="34" charset="0"/>
          </a:endParaRPr>
        </a:p>
        <a:p>
          <a:pPr algn="l" rtl="0">
            <a:lnSpc>
              <a:spcPts val="1200"/>
            </a:lnSpc>
            <a:defRPr sz="1000"/>
          </a:pPr>
          <a:r>
            <a:rPr lang="fi-FI" sz="1000" b="0" i="0" strike="noStrike">
              <a:solidFill>
                <a:srgbClr val="000000"/>
              </a:solidFill>
              <a:latin typeface="Arial" pitchFamily="34" charset="0"/>
              <a:cs typeface="Arial" pitchFamily="34" charset="0"/>
            </a:rPr>
            <a:t>- Fyll i blåa cellerna</a:t>
          </a:r>
        </a:p>
        <a:p>
          <a:pPr rtl="0">
            <a:lnSpc>
              <a:spcPts val="1200"/>
            </a:lnSpc>
          </a:pPr>
          <a:r>
            <a:rPr lang="fi-FI" sz="1000" b="0" i="0" strike="noStrike">
              <a:solidFill>
                <a:srgbClr val="000000"/>
              </a:solidFill>
              <a:latin typeface="Arial" pitchFamily="34" charset="0"/>
              <a:cs typeface="Arial" pitchFamily="34" charset="0"/>
            </a:rPr>
            <a:t>- </a:t>
          </a:r>
          <a:r>
            <a:rPr lang="fi-FI" sz="1000" b="0" i="0">
              <a:effectLst/>
              <a:latin typeface="Arial" pitchFamily="34" charset="0"/>
              <a:ea typeface="+mn-ea"/>
              <a:cs typeface="Arial" pitchFamily="34" charset="0"/>
            </a:rPr>
            <a:t>Observera även</a:t>
          </a:r>
          <a:r>
            <a:rPr lang="fi-FI" sz="1000" b="0" i="0" baseline="0">
              <a:effectLst/>
              <a:latin typeface="Arial" pitchFamily="34" charset="0"/>
              <a:ea typeface="+mn-ea"/>
              <a:cs typeface="Arial" pitchFamily="34" charset="0"/>
            </a:rPr>
            <a:t> cellerna till</a:t>
          </a:r>
          <a:br>
            <a:rPr lang="fi-FI" sz="1000" b="0" i="0" baseline="0">
              <a:effectLst/>
              <a:latin typeface="Arial" pitchFamily="34" charset="0"/>
              <a:ea typeface="+mn-ea"/>
              <a:cs typeface="Arial" pitchFamily="34" charset="0"/>
            </a:rPr>
          </a:br>
          <a:r>
            <a:rPr lang="fi-FI" sz="1000" b="0" i="0" baseline="0">
              <a:effectLst/>
              <a:latin typeface="Arial" pitchFamily="34" charset="0"/>
              <a:ea typeface="+mn-ea"/>
              <a:cs typeface="Arial" pitchFamily="34" charset="0"/>
            </a:rPr>
            <a:t>  höger. Där kan du göra </a:t>
          </a:r>
          <a:br>
            <a:rPr lang="fi-FI" sz="1000" b="0" i="0" baseline="0">
              <a:effectLst/>
              <a:latin typeface="Arial" pitchFamily="34" charset="0"/>
              <a:ea typeface="+mn-ea"/>
              <a:cs typeface="Arial" pitchFamily="34" charset="0"/>
            </a:rPr>
          </a:br>
          <a:r>
            <a:rPr lang="fi-FI" sz="1000" b="0" i="0" baseline="0">
              <a:effectLst/>
              <a:latin typeface="Arial" pitchFamily="34" charset="0"/>
              <a:ea typeface="+mn-ea"/>
              <a:cs typeface="Arial" pitchFamily="34" charset="0"/>
            </a:rPr>
            <a:t>  anteckningar och förutspå </a:t>
          </a:r>
          <a:br>
            <a:rPr lang="fi-FI" sz="1000" b="0" i="0" baseline="0">
              <a:effectLst/>
              <a:latin typeface="Arial" pitchFamily="34" charset="0"/>
              <a:ea typeface="+mn-ea"/>
              <a:cs typeface="Arial" pitchFamily="34" charset="0"/>
            </a:rPr>
          </a:br>
          <a:r>
            <a:rPr lang="fi-FI" sz="1000" b="0" i="0" baseline="0">
              <a:effectLst/>
              <a:latin typeface="Arial" pitchFamily="34" charset="0"/>
              <a:ea typeface="+mn-ea"/>
              <a:cs typeface="Arial" pitchFamily="34" charset="0"/>
            </a:rPr>
            <a:t>  löneökningar.</a:t>
          </a:r>
          <a:endParaRPr lang="sv-FI" sz="1000" b="0" i="0">
            <a:effectLst/>
            <a:latin typeface="Arial" pitchFamily="34" charset="0"/>
            <a:cs typeface="Arial" pitchFamily="34" charset="0"/>
          </a:endParaRPr>
        </a:p>
        <a:p>
          <a:pPr rtl="0">
            <a:lnSpc>
              <a:spcPts val="1200"/>
            </a:lnSpc>
          </a:pPr>
          <a:br>
            <a:rPr lang="fi-FI" sz="1000" b="0" i="1" baseline="0">
              <a:solidFill>
                <a:sysClr val="windowText" lastClr="000000"/>
              </a:solidFill>
              <a:effectLst/>
              <a:latin typeface="Arial" pitchFamily="34" charset="0"/>
              <a:ea typeface="+mn-ea"/>
              <a:cs typeface="Arial" pitchFamily="34" charset="0"/>
            </a:rPr>
          </a:br>
          <a:r>
            <a:rPr lang="fi-FI" sz="1000" b="1" i="1" baseline="0">
              <a:solidFill>
                <a:sysClr val="windowText" lastClr="000000"/>
              </a:solidFill>
              <a:effectLst/>
              <a:latin typeface="Arial" pitchFamily="34" charset="0"/>
              <a:ea typeface="+mn-ea"/>
              <a:cs typeface="Arial" pitchFamily="34" charset="0"/>
            </a:rPr>
            <a:t>FYLL I ANTALET PERSONERNA VID ARBETSUPPGIFTEN!</a:t>
          </a:r>
          <a:endParaRPr lang="sv-FI" sz="1000" b="1">
            <a:solidFill>
              <a:sysClr val="windowText" lastClr="000000"/>
            </a:solidFill>
            <a:effectLst/>
            <a:latin typeface="Arial" pitchFamily="34" charset="0"/>
            <a:cs typeface="Arial" pitchFamily="34" charset="0"/>
          </a:endParaRPr>
        </a:p>
        <a:p>
          <a:pPr algn="l" rtl="0">
            <a:lnSpc>
              <a:spcPts val="1000"/>
            </a:lnSpc>
            <a:defRPr sz="1000"/>
          </a:pPr>
          <a:endParaRPr lang="fi-FI" sz="1000" b="1" i="1" strike="noStrike" baseline="0">
            <a:solidFill>
              <a:srgbClr val="000000"/>
            </a:solidFill>
            <a:latin typeface="Arial"/>
            <a:cs typeface="Arial"/>
          </a:endParaRPr>
        </a:p>
      </xdr:txBody>
    </xdr:sp>
    <xdr:clientData/>
  </xdr:twoCellAnchor>
  <xdr:twoCellAnchor editAs="oneCell">
    <xdr:from>
      <xdr:col>7</xdr:col>
      <xdr:colOff>474209</xdr:colOff>
      <xdr:row>7</xdr:row>
      <xdr:rowOff>52387</xdr:rowOff>
    </xdr:from>
    <xdr:to>
      <xdr:col>8</xdr:col>
      <xdr:colOff>969727</xdr:colOff>
      <xdr:row>9</xdr:row>
      <xdr:rowOff>98488</xdr:rowOff>
    </xdr:to>
    <xdr:pic>
      <xdr:nvPicPr>
        <xdr:cNvPr id="5" name="Kuva 4">
          <a:extLst>
            <a:ext uri="{FF2B5EF4-FFF2-40B4-BE49-F238E27FC236}">
              <a16:creationId xmlns:a16="http://schemas.microsoft.com/office/drawing/2014/main" id="{F29B0F54-2A4F-404D-86F4-86CBC5B105E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35523" y="950458"/>
          <a:ext cx="1035994" cy="357977"/>
        </a:xfrm>
        <a:prstGeom prst="rect">
          <a:avLst/>
        </a:prstGeom>
      </xdr:spPr>
    </xdr:pic>
    <xdr:clientData/>
  </xdr:twoCellAnchor>
  <xdr:twoCellAnchor>
    <xdr:from>
      <xdr:col>9</xdr:col>
      <xdr:colOff>133350</xdr:colOff>
      <xdr:row>29</xdr:row>
      <xdr:rowOff>135255</xdr:rowOff>
    </xdr:from>
    <xdr:to>
      <xdr:col>11</xdr:col>
      <xdr:colOff>359865</xdr:colOff>
      <xdr:row>33</xdr:row>
      <xdr:rowOff>17100</xdr:rowOff>
    </xdr:to>
    <xdr:sp macro="" textlink="">
      <xdr:nvSpPr>
        <xdr:cNvPr id="3" name="Suorakulmio: Pyöristetyt kulmat 2">
          <a:hlinkClick xmlns:r="http://schemas.openxmlformats.org/officeDocument/2006/relationships" r:id="rId2"/>
          <a:extLst>
            <a:ext uri="{FF2B5EF4-FFF2-40B4-BE49-F238E27FC236}">
              <a16:creationId xmlns:a16="http://schemas.microsoft.com/office/drawing/2014/main" id="{8427DD41-C2AA-4CDB-87FB-3AF628E951F9}"/>
            </a:ext>
          </a:extLst>
        </xdr:cNvPr>
        <xdr:cNvSpPr/>
      </xdr:nvSpPr>
      <xdr:spPr>
        <a:xfrm>
          <a:off x="7620000" y="4240530"/>
          <a:ext cx="1445715" cy="377145"/>
        </a:xfrm>
        <a:prstGeom prst="roundRect">
          <a:avLst/>
        </a:prstGeom>
        <a:solidFill>
          <a:schemeClr val="accent1">
            <a:lumMod val="60000"/>
            <a:lumOff val="40000"/>
          </a:schemeClr>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i-FI" sz="1100" b="1">
              <a:solidFill>
                <a:schemeClr val="tx1"/>
              </a:solidFill>
              <a:effectLst/>
              <a:latin typeface="+mn-lt"/>
              <a:ea typeface="+mn-ea"/>
              <a:cs typeface="+mn-cs"/>
            </a:rPr>
            <a:t>FS1 KOSTNADER</a:t>
          </a:r>
          <a:endParaRPr lang="fi-FI" sz="1100">
            <a:solidFill>
              <a:schemeClr val="tx1"/>
            </a:solidFill>
          </a:endParaRPr>
        </a:p>
      </xdr:txBody>
    </xdr:sp>
    <xdr:clientData fPrintsWithSheet="0"/>
  </xdr:twoCellAnchor>
  <xdr:twoCellAnchor>
    <xdr:from>
      <xdr:col>9</xdr:col>
      <xdr:colOff>112395</xdr:colOff>
      <xdr:row>26</xdr:row>
      <xdr:rowOff>7620</xdr:rowOff>
    </xdr:from>
    <xdr:to>
      <xdr:col>11</xdr:col>
      <xdr:colOff>337005</xdr:colOff>
      <xdr:row>28</xdr:row>
      <xdr:rowOff>74250</xdr:rowOff>
    </xdr:to>
    <xdr:sp macro="" textlink="">
      <xdr:nvSpPr>
        <xdr:cNvPr id="4" name="Suorakulmio: Pyöristetyt kulmat 3">
          <a:hlinkClick xmlns:r="http://schemas.openxmlformats.org/officeDocument/2006/relationships" r:id="rId3"/>
          <a:extLst>
            <a:ext uri="{FF2B5EF4-FFF2-40B4-BE49-F238E27FC236}">
              <a16:creationId xmlns:a16="http://schemas.microsoft.com/office/drawing/2014/main" id="{C7628B9D-4A35-4021-B357-5BA035F7853D}"/>
            </a:ext>
          </a:extLst>
        </xdr:cNvPr>
        <xdr:cNvSpPr/>
      </xdr:nvSpPr>
      <xdr:spPr>
        <a:xfrm>
          <a:off x="7599045" y="3655695"/>
          <a:ext cx="1443810" cy="371430"/>
        </a:xfrm>
        <a:prstGeom prst="roundRect">
          <a:avLst/>
        </a:prstGeom>
        <a:solidFill>
          <a:srgbClr val="FFFF00"/>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i-FI" sz="1100" b="1">
              <a:solidFill>
                <a:schemeClr val="tx1"/>
              </a:solidFill>
              <a:effectLst/>
              <a:latin typeface="+mn-lt"/>
              <a:ea typeface="+mn-ea"/>
              <a:cs typeface="+mn-cs"/>
            </a:rPr>
            <a:t>K1 KOSTNADER</a:t>
          </a:r>
          <a:endParaRPr lang="fi-FI" sz="1100">
            <a:solidFill>
              <a:schemeClr val="tx1"/>
            </a:solidFill>
          </a:endParaRPr>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xdr:from>
      <xdr:col>1</xdr:col>
      <xdr:colOff>89647</xdr:colOff>
      <xdr:row>68</xdr:row>
      <xdr:rowOff>85725</xdr:rowOff>
    </xdr:from>
    <xdr:to>
      <xdr:col>18</xdr:col>
      <xdr:colOff>515470</xdr:colOff>
      <xdr:row>98</xdr:row>
      <xdr:rowOff>78441</xdr:rowOff>
    </xdr:to>
    <xdr:graphicFrame macro="">
      <xdr:nvGraphicFramePr>
        <xdr:cNvPr id="13594224" name="Kaavio 4">
          <a:extLst>
            <a:ext uri="{FF2B5EF4-FFF2-40B4-BE49-F238E27FC236}">
              <a16:creationId xmlns:a16="http://schemas.microsoft.com/office/drawing/2014/main" id="{00000000-0008-0000-0800-0000706EC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357410</xdr:colOff>
      <xdr:row>2</xdr:row>
      <xdr:rowOff>42189</xdr:rowOff>
    </xdr:from>
    <xdr:to>
      <xdr:col>18</xdr:col>
      <xdr:colOff>460194</xdr:colOff>
      <xdr:row>3</xdr:row>
      <xdr:rowOff>253609</xdr:rowOff>
    </xdr:to>
    <xdr:pic>
      <xdr:nvPicPr>
        <xdr:cNvPr id="4" name="Kuva 3">
          <a:extLst>
            <a:ext uri="{FF2B5EF4-FFF2-40B4-BE49-F238E27FC236}">
              <a16:creationId xmlns:a16="http://schemas.microsoft.com/office/drawing/2014/main" id="{5EE563EB-7CD5-4533-9D5F-1F70BAE0FAD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873135" y="423189"/>
          <a:ext cx="942753" cy="324904"/>
        </a:xfrm>
        <a:prstGeom prst="rect">
          <a:avLst/>
        </a:prstGeom>
      </xdr:spPr>
    </xdr:pic>
    <xdr:clientData/>
  </xdr:twoCellAnchor>
  <xdr:twoCellAnchor editAs="oneCell">
    <xdr:from>
      <xdr:col>17</xdr:col>
      <xdr:colOff>160020</xdr:colOff>
      <xdr:row>65</xdr:row>
      <xdr:rowOff>68580</xdr:rowOff>
    </xdr:from>
    <xdr:to>
      <xdr:col>18</xdr:col>
      <xdr:colOff>301266</xdr:colOff>
      <xdr:row>66</xdr:row>
      <xdr:rowOff>227749</xdr:rowOff>
    </xdr:to>
    <xdr:pic>
      <xdr:nvPicPr>
        <xdr:cNvPr id="6" name="Kuva 5">
          <a:extLst>
            <a:ext uri="{FF2B5EF4-FFF2-40B4-BE49-F238E27FC236}">
              <a16:creationId xmlns:a16="http://schemas.microsoft.com/office/drawing/2014/main" id="{8FB71CE5-A07E-4C09-9936-A8BE70D5B52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193780" y="9204960"/>
          <a:ext cx="899890" cy="326809"/>
        </a:xfrm>
        <a:prstGeom prst="rect">
          <a:avLst/>
        </a:prstGeom>
      </xdr:spPr>
    </xdr:pic>
    <xdr:clientData/>
  </xdr:twoCellAnchor>
  <xdr:twoCellAnchor>
    <xdr:from>
      <xdr:col>14</xdr:col>
      <xdr:colOff>236220</xdr:colOff>
      <xdr:row>103</xdr:row>
      <xdr:rowOff>158115</xdr:rowOff>
    </xdr:from>
    <xdr:to>
      <xdr:col>16</xdr:col>
      <xdr:colOff>577215</xdr:colOff>
      <xdr:row>107</xdr:row>
      <xdr:rowOff>19050</xdr:rowOff>
    </xdr:to>
    <xdr:sp macro="" textlink="">
      <xdr:nvSpPr>
        <xdr:cNvPr id="15" name="Suorakulmio: Pyöristetyt kulmat 14">
          <a:hlinkClick xmlns:r="http://schemas.openxmlformats.org/officeDocument/2006/relationships" r:id="rId4"/>
          <a:extLst>
            <a:ext uri="{FF2B5EF4-FFF2-40B4-BE49-F238E27FC236}">
              <a16:creationId xmlns:a16="http://schemas.microsoft.com/office/drawing/2014/main" id="{AFDA7804-A1B9-34A7-0F04-5E08153FE878}"/>
            </a:ext>
          </a:extLst>
        </xdr:cNvPr>
        <xdr:cNvSpPr/>
      </xdr:nvSpPr>
      <xdr:spPr>
        <a:xfrm>
          <a:off x="10389870" y="16626840"/>
          <a:ext cx="1903095" cy="546735"/>
        </a:xfrm>
        <a:prstGeom prst="roundRect">
          <a:avLst/>
        </a:prstGeom>
        <a:solidFill>
          <a:schemeClr val="accent1">
            <a:lumMod val="60000"/>
            <a:lumOff val="40000"/>
          </a:schemeClr>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200" b="1">
              <a:solidFill>
                <a:schemeClr val="tx1"/>
              </a:solidFill>
            </a:rPr>
            <a:t>FS3 RESULTAT</a:t>
          </a:r>
        </a:p>
      </xdr:txBody>
    </xdr:sp>
    <xdr:clientData/>
  </xdr:twoCellAnchor>
  <xdr:twoCellAnchor>
    <xdr:from>
      <xdr:col>11</xdr:col>
      <xdr:colOff>361950</xdr:colOff>
      <xdr:row>103</xdr:row>
      <xdr:rowOff>150495</xdr:rowOff>
    </xdr:from>
    <xdr:to>
      <xdr:col>13</xdr:col>
      <xdr:colOff>706755</xdr:colOff>
      <xdr:row>107</xdr:row>
      <xdr:rowOff>28575</xdr:rowOff>
    </xdr:to>
    <xdr:sp macro="" textlink="">
      <xdr:nvSpPr>
        <xdr:cNvPr id="16" name="Suorakulmio: Pyöristetyt kulmat 15">
          <a:hlinkClick xmlns:r="http://schemas.openxmlformats.org/officeDocument/2006/relationships" r:id="rId5"/>
          <a:extLst>
            <a:ext uri="{FF2B5EF4-FFF2-40B4-BE49-F238E27FC236}">
              <a16:creationId xmlns:a16="http://schemas.microsoft.com/office/drawing/2014/main" id="{2FCCECD4-ED39-410C-9DE2-3BAC063B0B0F}"/>
            </a:ext>
          </a:extLst>
        </xdr:cNvPr>
        <xdr:cNvSpPr/>
      </xdr:nvSpPr>
      <xdr:spPr>
        <a:xfrm>
          <a:off x="8172450" y="16619220"/>
          <a:ext cx="1906905" cy="563880"/>
        </a:xfrm>
        <a:prstGeom prst="roundRect">
          <a:avLst/>
        </a:prstGeom>
        <a:solidFill>
          <a:srgbClr val="FFFF00"/>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200" b="1">
              <a:solidFill>
                <a:schemeClr val="tx1"/>
              </a:solidFill>
            </a:rPr>
            <a:t>K3 RESULTAT</a:t>
          </a:r>
        </a:p>
      </xdr:txBody>
    </xdr:sp>
    <xdr:clientData/>
  </xdr:twoCellAnchor>
</xdr:wsDr>
</file>

<file path=xl/drawings/drawing7.xml><?xml version="1.0" encoding="utf-8"?>
<c:userShapes xmlns:c="http://schemas.openxmlformats.org/drawingml/2006/chart">
  <cdr:relSizeAnchor xmlns:cdr="http://schemas.openxmlformats.org/drawingml/2006/chartDrawing">
    <cdr:from>
      <cdr:x>0.3142</cdr:x>
      <cdr:y>0.04723</cdr:y>
    </cdr:from>
    <cdr:to>
      <cdr:x>0.67803</cdr:x>
      <cdr:y>0.10237</cdr:y>
    </cdr:to>
    <cdr:sp macro="" textlink="">
      <cdr:nvSpPr>
        <cdr:cNvPr id="3" name="Tekstikehys 1">
          <a:extLst xmlns:a="http://schemas.openxmlformats.org/drawingml/2006/main">
            <a:ext uri="{FF2B5EF4-FFF2-40B4-BE49-F238E27FC236}">
              <a16:creationId xmlns:a16="http://schemas.microsoft.com/office/drawing/2014/main" id="{25DF9901-B9C9-4AA9-8F0B-0DED4550BA3E}"/>
            </a:ext>
          </a:extLst>
        </cdr:cNvPr>
        <cdr:cNvSpPr txBox="1"/>
      </cdr:nvSpPr>
      <cdr:spPr>
        <a:xfrm xmlns:a="http://schemas.openxmlformats.org/drawingml/2006/main">
          <a:off x="3232150" y="222250"/>
          <a:ext cx="3742738" cy="25945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i-FI" sz="1400" b="1">
              <a:effectLst/>
              <a:latin typeface="Arial" panose="020B0604020202020204" pitchFamily="34" charset="0"/>
              <a:ea typeface="+mn-ea"/>
              <a:cs typeface="Arial" panose="020B0604020202020204" pitchFamily="34" charset="0"/>
            </a:rPr>
            <a:t>MÅNATLIG</a:t>
          </a:r>
          <a:r>
            <a:rPr lang="fi-FI" sz="1400" b="1" baseline="0">
              <a:effectLst/>
              <a:latin typeface="Arial" panose="020B0604020202020204" pitchFamily="34" charset="0"/>
              <a:ea typeface="+mn-ea"/>
              <a:cs typeface="Arial" panose="020B0604020202020204" pitchFamily="34" charset="0"/>
            </a:rPr>
            <a:t> PENNINGRÖRELSE</a:t>
          </a:r>
          <a:endParaRPr lang="sv-FI" sz="1400">
            <a:effectLst/>
            <a:latin typeface="Arial" panose="020B0604020202020204" pitchFamily="34" charset="0"/>
            <a:cs typeface="Arial" panose="020B0604020202020204" pitchFamily="34" charset="0"/>
          </a:endParaRPr>
        </a:p>
      </cdr:txBody>
    </cdr:sp>
  </cdr:relSizeAnchor>
</c:userShapes>
</file>

<file path=xl/drawings/drawing8.xml><?xml version="1.0" encoding="utf-8"?>
<xdr:wsDr xmlns:xdr="http://schemas.openxmlformats.org/drawingml/2006/spreadsheetDrawing" xmlns:a="http://schemas.openxmlformats.org/drawingml/2006/main">
  <xdr:twoCellAnchor>
    <xdr:from>
      <xdr:col>10</xdr:col>
      <xdr:colOff>47624</xdr:colOff>
      <xdr:row>9</xdr:row>
      <xdr:rowOff>47625</xdr:rowOff>
    </xdr:from>
    <xdr:to>
      <xdr:col>13</xdr:col>
      <xdr:colOff>47624</xdr:colOff>
      <xdr:row>10</xdr:row>
      <xdr:rowOff>0</xdr:rowOff>
    </xdr:to>
    <xdr:sp macro="" textlink="">
      <xdr:nvSpPr>
        <xdr:cNvPr id="4" name="Tekstiruutu 3">
          <a:extLst>
            <a:ext uri="{FF2B5EF4-FFF2-40B4-BE49-F238E27FC236}">
              <a16:creationId xmlns:a16="http://schemas.microsoft.com/office/drawing/2014/main" id="{00000000-0008-0000-0900-000004000000}"/>
            </a:ext>
          </a:extLst>
        </xdr:cNvPr>
        <xdr:cNvSpPr txBox="1"/>
      </xdr:nvSpPr>
      <xdr:spPr>
        <a:xfrm>
          <a:off x="7743824" y="1285875"/>
          <a:ext cx="2028825"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fi-FI" sz="1100" b="1"/>
            <a:t>T6 TULOS - RAHOITUSENNUSTE</a:t>
          </a:r>
        </a:p>
      </xdr:txBody>
    </xdr:sp>
    <xdr:clientData fPrintsWithSheet="0"/>
  </xdr:twoCellAnchor>
  <xdr:twoCellAnchor>
    <xdr:from>
      <xdr:col>7</xdr:col>
      <xdr:colOff>688198</xdr:colOff>
      <xdr:row>24</xdr:row>
      <xdr:rowOff>67545</xdr:rowOff>
    </xdr:from>
    <xdr:to>
      <xdr:col>7</xdr:col>
      <xdr:colOff>754401</xdr:colOff>
      <xdr:row>24</xdr:row>
      <xdr:rowOff>68267</xdr:rowOff>
    </xdr:to>
    <xdr:cxnSp macro="">
      <xdr:nvCxnSpPr>
        <xdr:cNvPr id="10" name="Suora nuoliyhdysviiva 9">
          <a:extLst>
            <a:ext uri="{FF2B5EF4-FFF2-40B4-BE49-F238E27FC236}">
              <a16:creationId xmlns:a16="http://schemas.microsoft.com/office/drawing/2014/main" id="{3281A2DD-FF58-49DB-A6FB-7FEC06E2D035}"/>
            </a:ext>
          </a:extLst>
        </xdr:cNvPr>
        <xdr:cNvCxnSpPr/>
      </xdr:nvCxnSpPr>
      <xdr:spPr>
        <a:xfrm flipV="1">
          <a:off x="7872770" y="3848024"/>
          <a:ext cx="66203" cy="722"/>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11618</xdr:colOff>
      <xdr:row>24</xdr:row>
      <xdr:rowOff>66422</xdr:rowOff>
    </xdr:from>
    <xdr:to>
      <xdr:col>8</xdr:col>
      <xdr:colOff>212179</xdr:colOff>
      <xdr:row>24</xdr:row>
      <xdr:rowOff>66787</xdr:rowOff>
    </xdr:to>
    <xdr:cxnSp macro="">
      <xdr:nvCxnSpPr>
        <xdr:cNvPr id="11" name="Suora nuoliyhdysviiva 10">
          <a:extLst>
            <a:ext uri="{FF2B5EF4-FFF2-40B4-BE49-F238E27FC236}">
              <a16:creationId xmlns:a16="http://schemas.microsoft.com/office/drawing/2014/main" id="{C0A056DE-12FA-42C1-99F6-B293650EB635}"/>
            </a:ext>
          </a:extLst>
        </xdr:cNvPr>
        <xdr:cNvCxnSpPr/>
      </xdr:nvCxnSpPr>
      <xdr:spPr>
        <a:xfrm flipH="1">
          <a:off x="7952654" y="3846901"/>
          <a:ext cx="200561" cy="365"/>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690114</xdr:colOff>
      <xdr:row>125</xdr:row>
      <xdr:rowOff>36736</xdr:rowOff>
    </xdr:from>
    <xdr:to>
      <xdr:col>8</xdr:col>
      <xdr:colOff>8832</xdr:colOff>
      <xdr:row>125</xdr:row>
      <xdr:rowOff>36971</xdr:rowOff>
    </xdr:to>
    <xdr:cxnSp macro="">
      <xdr:nvCxnSpPr>
        <xdr:cNvPr id="17" name="Suora nuoliyhdysviiva 16">
          <a:extLst>
            <a:ext uri="{FF2B5EF4-FFF2-40B4-BE49-F238E27FC236}">
              <a16:creationId xmlns:a16="http://schemas.microsoft.com/office/drawing/2014/main" id="{9215FF76-3D6F-423B-8CA7-5C4A487A58F0}"/>
            </a:ext>
          </a:extLst>
        </xdr:cNvPr>
        <xdr:cNvCxnSpPr/>
      </xdr:nvCxnSpPr>
      <xdr:spPr>
        <a:xfrm flipV="1">
          <a:off x="7874685" y="19415361"/>
          <a:ext cx="74557" cy="235"/>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19164</xdr:colOff>
      <xdr:row>125</xdr:row>
      <xdr:rowOff>36739</xdr:rowOff>
    </xdr:from>
    <xdr:to>
      <xdr:col>8</xdr:col>
      <xdr:colOff>91167</xdr:colOff>
      <xdr:row>125</xdr:row>
      <xdr:rowOff>37339</xdr:rowOff>
    </xdr:to>
    <xdr:cxnSp macro="">
      <xdr:nvCxnSpPr>
        <xdr:cNvPr id="18" name="Suora nuoliyhdysviiva 17">
          <a:extLst>
            <a:ext uri="{FF2B5EF4-FFF2-40B4-BE49-F238E27FC236}">
              <a16:creationId xmlns:a16="http://schemas.microsoft.com/office/drawing/2014/main" id="{D9534A27-948A-4D5F-9B0E-E690B1B6B89F}"/>
            </a:ext>
          </a:extLst>
        </xdr:cNvPr>
        <xdr:cNvCxnSpPr/>
      </xdr:nvCxnSpPr>
      <xdr:spPr>
        <a:xfrm flipH="1">
          <a:off x="7960293" y="19347996"/>
          <a:ext cx="72003" cy="600"/>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xdr:col>
      <xdr:colOff>393245</xdr:colOff>
      <xdr:row>3</xdr:row>
      <xdr:rowOff>136070</xdr:rowOff>
    </xdr:from>
    <xdr:to>
      <xdr:col>7</xdr:col>
      <xdr:colOff>693819</xdr:colOff>
      <xdr:row>6</xdr:row>
      <xdr:rowOff>8180</xdr:rowOff>
    </xdr:to>
    <xdr:pic>
      <xdr:nvPicPr>
        <xdr:cNvPr id="5" name="Kuva 4">
          <a:extLst>
            <a:ext uri="{FF2B5EF4-FFF2-40B4-BE49-F238E27FC236}">
              <a16:creationId xmlns:a16="http://schemas.microsoft.com/office/drawing/2014/main" id="{E92AB59F-B4F9-4BB1-A105-5F47D246497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21259" y="674913"/>
          <a:ext cx="1066202" cy="378659"/>
        </a:xfrm>
        <a:prstGeom prst="rect">
          <a:avLst/>
        </a:prstGeom>
      </xdr:spPr>
    </xdr:pic>
    <xdr:clientData/>
  </xdr:twoCellAnchor>
  <xdr:twoCellAnchor>
    <xdr:from>
      <xdr:col>9</xdr:col>
      <xdr:colOff>631372</xdr:colOff>
      <xdr:row>3</xdr:row>
      <xdr:rowOff>51708</xdr:rowOff>
    </xdr:from>
    <xdr:to>
      <xdr:col>11</xdr:col>
      <xdr:colOff>819787</xdr:colOff>
      <xdr:row>5</xdr:row>
      <xdr:rowOff>74523</xdr:rowOff>
    </xdr:to>
    <xdr:sp macro="" textlink="">
      <xdr:nvSpPr>
        <xdr:cNvPr id="2" name="Suorakulmio: Pyöristetyt kulmat 1">
          <a:hlinkClick xmlns:r="http://schemas.openxmlformats.org/officeDocument/2006/relationships" r:id="rId2"/>
          <a:extLst>
            <a:ext uri="{FF2B5EF4-FFF2-40B4-BE49-F238E27FC236}">
              <a16:creationId xmlns:a16="http://schemas.microsoft.com/office/drawing/2014/main" id="{88E7DC93-F141-4A5D-9D01-1053122996F6}"/>
            </a:ext>
          </a:extLst>
        </xdr:cNvPr>
        <xdr:cNvSpPr/>
      </xdr:nvSpPr>
      <xdr:spPr>
        <a:xfrm>
          <a:off x="8790215" y="590551"/>
          <a:ext cx="1472929" cy="365715"/>
        </a:xfrm>
        <a:prstGeom prst="roundRect">
          <a:avLst/>
        </a:prstGeom>
        <a:solidFill>
          <a:srgbClr val="0152A1"/>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i-FI" sz="1100" b="1">
              <a:solidFill>
                <a:schemeClr val="bg1"/>
              </a:solidFill>
              <a:effectLst/>
              <a:latin typeface="+mn-lt"/>
              <a:ea typeface="+mn-ea"/>
              <a:cs typeface="+mn-cs"/>
            </a:rPr>
            <a:t>FS2 FÖRSÄLJNING</a:t>
          </a:r>
          <a:endParaRPr lang="fi-FI" sz="1100">
            <a:solidFill>
              <a:schemeClr val="bg1"/>
            </a:solidFill>
          </a:endParaRPr>
        </a:p>
      </xdr:txBody>
    </xdr:sp>
    <xdr:clientData fPrintsWithSheet="0"/>
  </xdr:twoCellAnchor>
  <xdr:twoCellAnchor>
    <xdr:from>
      <xdr:col>9</xdr:col>
      <xdr:colOff>635454</xdr:colOff>
      <xdr:row>6</xdr:row>
      <xdr:rowOff>58511</xdr:rowOff>
    </xdr:from>
    <xdr:to>
      <xdr:col>11</xdr:col>
      <xdr:colOff>820059</xdr:colOff>
      <xdr:row>8</xdr:row>
      <xdr:rowOff>100376</xdr:rowOff>
    </xdr:to>
    <xdr:sp macro="" textlink="">
      <xdr:nvSpPr>
        <xdr:cNvPr id="20" name="Suorakulmio: Pyöristetyt kulmat 19">
          <a:hlinkClick xmlns:r="http://schemas.openxmlformats.org/officeDocument/2006/relationships" r:id="rId3"/>
          <a:extLst>
            <a:ext uri="{FF2B5EF4-FFF2-40B4-BE49-F238E27FC236}">
              <a16:creationId xmlns:a16="http://schemas.microsoft.com/office/drawing/2014/main" id="{8EF5A960-CD86-47B5-A5C7-B8F7CD1D7D70}"/>
            </a:ext>
          </a:extLst>
        </xdr:cNvPr>
        <xdr:cNvSpPr/>
      </xdr:nvSpPr>
      <xdr:spPr>
        <a:xfrm>
          <a:off x="8794297" y="1092654"/>
          <a:ext cx="1469119" cy="362993"/>
        </a:xfrm>
        <a:prstGeom prst="roundRect">
          <a:avLst/>
        </a:prstGeom>
        <a:solidFill>
          <a:srgbClr val="0152A1"/>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i-FI" sz="1100" b="1">
              <a:solidFill>
                <a:schemeClr val="bg1"/>
              </a:solidFill>
              <a:effectLst/>
              <a:latin typeface="+mn-lt"/>
              <a:ea typeface="+mn-ea"/>
              <a:cs typeface="+mn-cs"/>
            </a:rPr>
            <a:t>FS3 RESULTAT</a:t>
          </a:r>
          <a:endParaRPr lang="fi-FI" sz="1100">
            <a:solidFill>
              <a:schemeClr val="bg1"/>
            </a:solidFill>
          </a:endParaRPr>
        </a:p>
      </xdr:txBody>
    </xdr:sp>
    <xdr:clientData fPrintsWithSheet="0"/>
  </xdr:twoCellAnchor>
  <xdr:twoCellAnchor>
    <xdr:from>
      <xdr:col>9</xdr:col>
      <xdr:colOff>114299</xdr:colOff>
      <xdr:row>128</xdr:row>
      <xdr:rowOff>0</xdr:rowOff>
    </xdr:from>
    <xdr:to>
      <xdr:col>11</xdr:col>
      <xdr:colOff>302714</xdr:colOff>
      <xdr:row>130</xdr:row>
      <xdr:rowOff>131672</xdr:rowOff>
    </xdr:to>
    <xdr:sp macro="" textlink="">
      <xdr:nvSpPr>
        <xdr:cNvPr id="7" name="Suorakulmio: Pyöristetyt kulmat 6">
          <a:hlinkClick xmlns:r="http://schemas.openxmlformats.org/officeDocument/2006/relationships" r:id="rId2"/>
          <a:extLst>
            <a:ext uri="{FF2B5EF4-FFF2-40B4-BE49-F238E27FC236}">
              <a16:creationId xmlns:a16="http://schemas.microsoft.com/office/drawing/2014/main" id="{4583BC60-C258-42F9-95C4-04044F8BBAC6}"/>
            </a:ext>
          </a:extLst>
        </xdr:cNvPr>
        <xdr:cNvSpPr/>
      </xdr:nvSpPr>
      <xdr:spPr>
        <a:xfrm>
          <a:off x="8273142" y="19703143"/>
          <a:ext cx="1472929" cy="365715"/>
        </a:xfrm>
        <a:prstGeom prst="roundRect">
          <a:avLst/>
        </a:prstGeom>
        <a:solidFill>
          <a:srgbClr val="0152A1"/>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i-FI" sz="1100" b="1">
              <a:solidFill>
                <a:schemeClr val="bg1"/>
              </a:solidFill>
              <a:effectLst/>
              <a:latin typeface="+mn-lt"/>
              <a:ea typeface="+mn-ea"/>
              <a:cs typeface="+mn-cs"/>
            </a:rPr>
            <a:t>FS2 FÖRSÄLJNING</a:t>
          </a:r>
          <a:endParaRPr lang="fi-FI" sz="1100">
            <a:solidFill>
              <a:schemeClr val="bg1"/>
            </a:solidFill>
          </a:endParaRPr>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xdr:from>
      <xdr:col>7</xdr:col>
      <xdr:colOff>299085</xdr:colOff>
      <xdr:row>75</xdr:row>
      <xdr:rowOff>69683</xdr:rowOff>
    </xdr:from>
    <xdr:to>
      <xdr:col>8</xdr:col>
      <xdr:colOff>1034419</xdr:colOff>
      <xdr:row>78</xdr:row>
      <xdr:rowOff>50633</xdr:rowOff>
    </xdr:to>
    <xdr:sp macro="" textlink="">
      <xdr:nvSpPr>
        <xdr:cNvPr id="20" name="Tekstikehys 27">
          <a:extLst>
            <a:ext uri="{FF2B5EF4-FFF2-40B4-BE49-F238E27FC236}">
              <a16:creationId xmlns:a16="http://schemas.microsoft.com/office/drawing/2014/main" id="{00000000-0008-0000-0A00-000014000000}"/>
            </a:ext>
          </a:extLst>
        </xdr:cNvPr>
        <xdr:cNvSpPr txBox="1"/>
      </xdr:nvSpPr>
      <xdr:spPr>
        <a:xfrm>
          <a:off x="6457950" y="1060283"/>
          <a:ext cx="11049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fi-FI" sz="900" i="0">
            <a:latin typeface="Swis721 BT" panose="020B0504020202020204" pitchFamily="34" charset="0"/>
          </a:endParaRPr>
        </a:p>
      </xdr:txBody>
    </xdr:sp>
    <xdr:clientData/>
  </xdr:twoCellAnchor>
  <xdr:twoCellAnchor editAs="oneCell">
    <xdr:from>
      <xdr:col>7</xdr:col>
      <xdr:colOff>7327</xdr:colOff>
      <xdr:row>160</xdr:row>
      <xdr:rowOff>69606</xdr:rowOff>
    </xdr:from>
    <xdr:to>
      <xdr:col>8</xdr:col>
      <xdr:colOff>667449</xdr:colOff>
      <xdr:row>162</xdr:row>
      <xdr:rowOff>96658</xdr:rowOff>
    </xdr:to>
    <xdr:pic>
      <xdr:nvPicPr>
        <xdr:cNvPr id="14" name="Kuva 13">
          <a:extLst>
            <a:ext uri="{FF2B5EF4-FFF2-40B4-BE49-F238E27FC236}">
              <a16:creationId xmlns:a16="http://schemas.microsoft.com/office/drawing/2014/main" id="{E8EA4898-460B-4759-A332-19CA0BFE9F8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56914" y="21929481"/>
          <a:ext cx="1078992" cy="371856"/>
        </a:xfrm>
        <a:prstGeom prst="rect">
          <a:avLst/>
        </a:prstGeom>
      </xdr:spPr>
    </xdr:pic>
    <xdr:clientData/>
  </xdr:twoCellAnchor>
  <xdr:twoCellAnchor editAs="oneCell">
    <xdr:from>
      <xdr:col>7</xdr:col>
      <xdr:colOff>51288</xdr:colOff>
      <xdr:row>79</xdr:row>
      <xdr:rowOff>47624</xdr:rowOff>
    </xdr:from>
    <xdr:to>
      <xdr:col>9</xdr:col>
      <xdr:colOff>29</xdr:colOff>
      <xdr:row>81</xdr:row>
      <xdr:rowOff>95903</xdr:rowOff>
    </xdr:to>
    <xdr:pic>
      <xdr:nvPicPr>
        <xdr:cNvPr id="16" name="Kuva 15">
          <a:extLst>
            <a:ext uri="{FF2B5EF4-FFF2-40B4-BE49-F238E27FC236}">
              <a16:creationId xmlns:a16="http://schemas.microsoft.com/office/drawing/2014/main" id="{2E827221-0E87-4634-A34C-A2B7C13D22D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000875" y="11005038"/>
          <a:ext cx="1078992" cy="371856"/>
        </a:xfrm>
        <a:prstGeom prst="rect">
          <a:avLst/>
        </a:prstGeom>
      </xdr:spPr>
    </xdr:pic>
    <xdr:clientData/>
  </xdr:twoCellAnchor>
  <xdr:twoCellAnchor editAs="oneCell">
    <xdr:from>
      <xdr:col>6</xdr:col>
      <xdr:colOff>410309</xdr:colOff>
      <xdr:row>3</xdr:row>
      <xdr:rowOff>69606</xdr:rowOff>
    </xdr:from>
    <xdr:to>
      <xdr:col>8</xdr:col>
      <xdr:colOff>666257</xdr:colOff>
      <xdr:row>5</xdr:row>
      <xdr:rowOff>57741</xdr:rowOff>
    </xdr:to>
    <xdr:pic>
      <xdr:nvPicPr>
        <xdr:cNvPr id="18" name="Kuva 17">
          <a:extLst>
            <a:ext uri="{FF2B5EF4-FFF2-40B4-BE49-F238E27FC236}">
              <a16:creationId xmlns:a16="http://schemas.microsoft.com/office/drawing/2014/main" id="{B570E015-BE24-444A-A317-16A836CC82D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945924" y="611798"/>
          <a:ext cx="1078992" cy="371856"/>
        </a:xfrm>
        <a:prstGeom prst="rect">
          <a:avLst/>
        </a:prstGeom>
      </xdr:spPr>
    </xdr:pic>
    <xdr:clientData/>
  </xdr:twoCellAnchor>
  <xdr:twoCellAnchor>
    <xdr:from>
      <xdr:col>10</xdr:col>
      <xdr:colOff>9232</xdr:colOff>
      <xdr:row>3</xdr:row>
      <xdr:rowOff>168519</xdr:rowOff>
    </xdr:from>
    <xdr:to>
      <xdr:col>12</xdr:col>
      <xdr:colOff>64736</xdr:colOff>
      <xdr:row>5</xdr:row>
      <xdr:rowOff>153234</xdr:rowOff>
    </xdr:to>
    <xdr:sp macro="" textlink="">
      <xdr:nvSpPr>
        <xdr:cNvPr id="2" name="Suorakulmio: Pyöristetyt kulmat 1">
          <a:hlinkClick xmlns:r="http://schemas.openxmlformats.org/officeDocument/2006/relationships" r:id="rId4"/>
          <a:extLst>
            <a:ext uri="{FF2B5EF4-FFF2-40B4-BE49-F238E27FC236}">
              <a16:creationId xmlns:a16="http://schemas.microsoft.com/office/drawing/2014/main" id="{00810638-F26E-46FB-A6A6-053F9E20579C}"/>
            </a:ext>
          </a:extLst>
        </xdr:cNvPr>
        <xdr:cNvSpPr/>
      </xdr:nvSpPr>
      <xdr:spPr>
        <a:xfrm>
          <a:off x="8347270" y="718038"/>
          <a:ext cx="1447620" cy="365715"/>
        </a:xfrm>
        <a:prstGeom prst="roundRect">
          <a:avLst/>
        </a:prstGeom>
        <a:solidFill>
          <a:srgbClr val="0152A1"/>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i-FI" sz="1100" b="1">
              <a:solidFill>
                <a:schemeClr val="bg1"/>
              </a:solidFill>
              <a:effectLst/>
              <a:latin typeface="+mn-lt"/>
              <a:ea typeface="+mn-ea"/>
              <a:cs typeface="+mn-cs"/>
            </a:rPr>
            <a:t>FS1 KOSTNADER</a:t>
          </a:r>
          <a:endParaRPr lang="fi-FI" sz="1100">
            <a:solidFill>
              <a:schemeClr val="bg1"/>
            </a:solidFill>
          </a:endParaRPr>
        </a:p>
      </xdr:txBody>
    </xdr:sp>
    <xdr:clientData fPrintsWithSheet="0"/>
  </xdr:twoCellAnchor>
  <xdr:twoCellAnchor>
    <xdr:from>
      <xdr:col>10</xdr:col>
      <xdr:colOff>14654</xdr:colOff>
      <xdr:row>6</xdr:row>
      <xdr:rowOff>146538</xdr:rowOff>
    </xdr:from>
    <xdr:to>
      <xdr:col>12</xdr:col>
      <xdr:colOff>72063</xdr:colOff>
      <xdr:row>9</xdr:row>
      <xdr:rowOff>39813</xdr:rowOff>
    </xdr:to>
    <xdr:sp macro="" textlink="">
      <xdr:nvSpPr>
        <xdr:cNvPr id="3" name="Suorakulmio: Pyöristetyt kulmat 2">
          <a:hlinkClick xmlns:r="http://schemas.openxmlformats.org/officeDocument/2006/relationships" r:id="rId5"/>
          <a:extLst>
            <a:ext uri="{FF2B5EF4-FFF2-40B4-BE49-F238E27FC236}">
              <a16:creationId xmlns:a16="http://schemas.microsoft.com/office/drawing/2014/main" id="{8CF38E06-A5BC-43FF-A24C-F78B9B92AF7D}"/>
            </a:ext>
          </a:extLst>
        </xdr:cNvPr>
        <xdr:cNvSpPr/>
      </xdr:nvSpPr>
      <xdr:spPr>
        <a:xfrm>
          <a:off x="8352692" y="1230923"/>
          <a:ext cx="1449525" cy="369525"/>
        </a:xfrm>
        <a:prstGeom prst="roundRect">
          <a:avLst/>
        </a:prstGeom>
        <a:solidFill>
          <a:srgbClr val="0152A1"/>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i-FI" sz="1100" b="1">
              <a:solidFill>
                <a:schemeClr val="bg1"/>
              </a:solidFill>
              <a:effectLst/>
              <a:latin typeface="+mn-lt"/>
              <a:ea typeface="+mn-ea"/>
              <a:cs typeface="+mn-cs"/>
            </a:rPr>
            <a:t>FS3 RESULTAT</a:t>
          </a:r>
          <a:endParaRPr lang="fi-FI" sz="1100">
            <a:solidFill>
              <a:schemeClr val="bg1"/>
            </a:solidFill>
          </a:endParaRPr>
        </a:p>
      </xdr:txBody>
    </xdr:sp>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Dropbox\Yritystulkki\YT%20Uusimmat%20Yleiset\YT5%20Taloussuunnitelma%20221011.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arija\Dropbox\Yritystulkki\YT%20Uusimmat%20Yleiset\YT5%20Taloussuunnitelma%20250416%20REV3.xlsx" TargetMode="External"/><Relationship Id="rId1" Type="http://schemas.openxmlformats.org/officeDocument/2006/relationships/externalLinkPath" Target="/Users/arija/Dropbox/Yritystulkki/YT%20Uusimmat%20Yleiset/YT5%20Taloussuunnitelma%20250416%20REV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rija/Dropbox/Yritystulkki/YT%20Uusimmat%20Yleiset/YT5%20Taloussuunnitelma%20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oitussivu"/>
      <sheetName val="Kustannukset K1"/>
      <sheetName val="Myynti K2"/>
      <sheetName val="Rahoitus K3"/>
      <sheetName val="4. Kassabudjetti"/>
      <sheetName val="Palkat "/>
      <sheetName val="Kustannukset Y1"/>
      <sheetName val="Myynti Y2"/>
      <sheetName val="Rahoitus Y3"/>
      <sheetName val="Päivitystapahtumat"/>
      <sheetName val="Toimialatiedot"/>
      <sheetName val="1Kauppa AT lainat ja avustukset"/>
      <sheetName val="2 AT Palkat, alv"/>
      <sheetName val="3 AT Kassa"/>
      <sheetName val="4 AT  Myynnin alv"/>
      <sheetName val="5 YP Lainat ja avustukset"/>
      <sheetName val="6 Kaaviot"/>
    </sheetNames>
    <sheetDataSet>
      <sheetData sheetId="0" refreshError="1"/>
      <sheetData sheetId="1" refreshError="1"/>
      <sheetData sheetId="2" refreshError="1"/>
      <sheetData sheetId="3">
        <row r="58">
          <cell r="F58">
            <v>0.2</v>
          </cell>
          <cell r="H58">
            <v>0.2</v>
          </cell>
          <cell r="K58">
            <v>0.2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loitussivu"/>
      <sheetName val="Kustannukset K1"/>
      <sheetName val="Myynti K2"/>
      <sheetName val="Rahoitus K3"/>
      <sheetName val="4. Kassabudjetti"/>
      <sheetName val="Palkat "/>
      <sheetName val="Kustannukset Y1"/>
      <sheetName val="Myynti Y2"/>
      <sheetName val="Rahoitus Y3"/>
      <sheetName val="Toimialatiedot"/>
      <sheetName val="1Kauppa AT lainat ja avustukset"/>
      <sheetName val="2 AT Palkat, alv"/>
      <sheetName val="3 AT Kassa"/>
      <sheetName val="4 AT  Myynnin alv"/>
      <sheetName val="5 YP Lainat ja avustukset"/>
      <sheetName val="6 Kaaviot"/>
    </sheetNames>
    <sheetDataSet>
      <sheetData sheetId="0" refreshError="1"/>
      <sheetData sheetId="1" refreshError="1"/>
      <sheetData sheetId="2" refreshError="1"/>
      <sheetData sheetId="3" refreshError="1"/>
      <sheetData sheetId="4" refreshError="1">
        <row r="19">
          <cell r="C19" t="str">
            <v xml:space="preserve"> Alkuvarasto, vakuusmaksut sis. Alv</v>
          </cell>
          <cell r="F19">
            <v>25.5</v>
          </cell>
        </row>
      </sheetData>
      <sheetData sheetId="5" refreshError="1"/>
      <sheetData sheetId="6" refreshError="1"/>
      <sheetData sheetId="7" refreshError="1"/>
      <sheetData sheetId="8" refreshError="1"/>
      <sheetData sheetId="9" refreshError="1"/>
      <sheetData sheetId="10" refreshError="1"/>
      <sheetData sheetId="11" refreshError="1">
        <row r="95">
          <cell r="D95">
            <v>10</v>
          </cell>
        </row>
        <row r="99">
          <cell r="D99">
            <v>14</v>
          </cell>
        </row>
      </sheetData>
      <sheetData sheetId="12" refreshError="1"/>
      <sheetData sheetId="13" refreshError="1"/>
      <sheetData sheetId="14" refreshError="1"/>
      <sheetData sheetId="1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oitussivu"/>
      <sheetName val="K1 Kustannukset"/>
      <sheetName val="K2 Myynti"/>
      <sheetName val="Kauppa AT lainat ja avustukset"/>
      <sheetName val="K3 Rahoitus"/>
      <sheetName val="Palkat "/>
      <sheetName val="Kassabudjetti"/>
      <sheetName val="AT Kassa"/>
      <sheetName val="YP1 Kustannukset"/>
      <sheetName val="YP2 Myynti"/>
      <sheetName val="AT Myynnin alv"/>
      <sheetName val="YP Lainat ja avustukset"/>
      <sheetName val="YP3 Rahoitus"/>
      <sheetName val="Toimialatiedot"/>
      <sheetName val="AT Palkat, alv"/>
      <sheetName val="Kaaviot"/>
    </sheetNames>
    <sheetDataSet>
      <sheetData sheetId="0" refreshError="1"/>
      <sheetData sheetId="1" refreshError="1"/>
      <sheetData sheetId="2">
        <row r="12">
          <cell r="C12">
            <v>2022</v>
          </cell>
          <cell r="D12">
            <v>2023</v>
          </cell>
          <cell r="E12">
            <v>2024</v>
          </cell>
        </row>
      </sheetData>
      <sheetData sheetId="3" refreshError="1"/>
      <sheetData sheetId="4">
        <row r="95">
          <cell r="F95">
            <v>25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7">
          <cell r="B7" t="str">
            <v>LIIKEVAIHTO JA KÄYTTÖPÄÄOMA/HENKILÖ</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5.bin"/><Relationship Id="rId4" Type="http://schemas.openxmlformats.org/officeDocument/2006/relationships/comments" Target="../comments12.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ul1">
    <tabColor rgb="FFFFC000"/>
  </sheetPr>
  <dimension ref="A1:AG118"/>
  <sheetViews>
    <sheetView showGridLines="0" tabSelected="1" workbookViewId="0">
      <selection activeCell="T34" sqref="T34"/>
    </sheetView>
  </sheetViews>
  <sheetFormatPr defaultRowHeight="12.75" x14ac:dyDescent="0.2"/>
  <cols>
    <col min="1" max="1" width="8.140625" customWidth="1"/>
    <col min="4" max="4" width="10.28515625" bestFit="1" customWidth="1"/>
    <col min="5" max="5" width="14.5703125" customWidth="1"/>
    <col min="6" max="6" width="16.28515625" customWidth="1"/>
    <col min="7" max="7" width="14.140625" customWidth="1"/>
    <col min="8" max="8" width="9.140625" customWidth="1"/>
    <col min="11" max="11" width="4.28515625" customWidth="1"/>
    <col min="12" max="12" width="3.140625" customWidth="1"/>
  </cols>
  <sheetData>
    <row r="1" spans="1:32" x14ac:dyDescent="0.2">
      <c r="A1" s="383"/>
      <c r="B1" s="1599"/>
      <c r="C1" s="1593"/>
      <c r="D1" s="1593"/>
      <c r="E1" s="1593"/>
      <c r="F1" s="1593"/>
      <c r="G1" s="1593"/>
      <c r="H1" s="1593"/>
      <c r="I1" s="1593"/>
      <c r="J1" s="384"/>
      <c r="K1" s="384"/>
      <c r="L1" s="384"/>
      <c r="M1" s="384"/>
      <c r="N1" s="384"/>
      <c r="O1" s="384"/>
      <c r="P1" s="384"/>
      <c r="Q1" s="384"/>
      <c r="R1" s="384"/>
      <c r="S1" s="384"/>
      <c r="T1" s="384"/>
      <c r="U1" s="384"/>
      <c r="V1" s="384"/>
      <c r="W1" s="384"/>
      <c r="X1" s="384"/>
      <c r="Y1" s="384"/>
      <c r="Z1" s="384"/>
      <c r="AA1" s="384"/>
      <c r="AB1" s="384"/>
      <c r="AC1" s="384"/>
      <c r="AD1" s="384"/>
      <c r="AE1" s="384"/>
      <c r="AF1" s="384"/>
    </row>
    <row r="2" spans="1:32" x14ac:dyDescent="0.2">
      <c r="A2" s="385"/>
      <c r="B2" s="1593"/>
      <c r="C2" s="1593"/>
      <c r="D2" s="1593"/>
      <c r="E2" s="1593"/>
      <c r="F2" s="1593"/>
      <c r="G2" s="1593"/>
      <c r="H2" s="1593"/>
      <c r="I2" s="1593"/>
      <c r="J2" s="384"/>
      <c r="K2" s="384"/>
      <c r="L2" s="384"/>
      <c r="M2" s="384"/>
      <c r="N2" s="384"/>
      <c r="O2" s="384"/>
      <c r="P2" s="384"/>
      <c r="Q2" s="384"/>
      <c r="R2" s="384"/>
      <c r="S2" s="384"/>
      <c r="T2" s="384"/>
      <c r="U2" s="384"/>
      <c r="V2" s="384"/>
      <c r="W2" s="384"/>
      <c r="X2" s="384"/>
      <c r="Y2" s="384"/>
      <c r="Z2" s="384"/>
      <c r="AA2" s="384"/>
      <c r="AB2" s="384"/>
      <c r="AC2" s="384"/>
      <c r="AD2" s="384"/>
      <c r="AE2" s="384"/>
      <c r="AF2" s="384"/>
    </row>
    <row r="3" spans="1:32" x14ac:dyDescent="0.2">
      <c r="A3" s="386"/>
      <c r="B3" s="1593"/>
      <c r="C3" s="1593"/>
      <c r="D3" s="1593"/>
      <c r="E3" s="1593"/>
      <c r="F3" s="1593"/>
      <c r="G3" s="1593"/>
      <c r="H3" s="1593"/>
      <c r="I3" s="1593"/>
      <c r="J3" s="384"/>
      <c r="K3" s="384"/>
      <c r="L3" s="384"/>
      <c r="M3" s="384"/>
      <c r="N3" s="384"/>
      <c r="O3" s="384"/>
      <c r="P3" s="384"/>
      <c r="Q3" s="384"/>
      <c r="R3" s="384"/>
      <c r="S3" s="384"/>
      <c r="T3" s="384"/>
      <c r="U3" s="384"/>
      <c r="V3" s="384"/>
      <c r="W3" s="384"/>
      <c r="X3" s="384"/>
      <c r="Y3" s="384"/>
      <c r="Z3" s="384"/>
      <c r="AA3" s="384"/>
      <c r="AB3" s="384"/>
      <c r="AC3" s="384"/>
      <c r="AD3" s="384"/>
      <c r="AE3" s="384"/>
      <c r="AF3" s="384"/>
    </row>
    <row r="4" spans="1:32" ht="10.5" customHeight="1" x14ac:dyDescent="0.2">
      <c r="A4" s="387"/>
      <c r="B4" s="388"/>
      <c r="C4" s="388"/>
      <c r="D4" s="388"/>
      <c r="E4" s="388"/>
      <c r="F4" s="388"/>
      <c r="G4" s="388"/>
      <c r="H4" s="389"/>
      <c r="N4" s="384"/>
      <c r="O4" s="384"/>
      <c r="P4" s="384"/>
      <c r="Q4" s="384"/>
      <c r="R4" s="384"/>
      <c r="S4" s="384"/>
      <c r="T4" s="384"/>
      <c r="U4" s="384"/>
      <c r="V4" s="384"/>
      <c r="W4" s="384"/>
      <c r="X4" s="384"/>
      <c r="Y4" s="384"/>
      <c r="Z4" s="384"/>
      <c r="AA4" s="384"/>
      <c r="AB4" s="384"/>
      <c r="AC4" s="384"/>
      <c r="AD4" s="384"/>
      <c r="AE4" s="384"/>
      <c r="AF4" s="384"/>
    </row>
    <row r="5" spans="1:32" ht="16.5" customHeight="1" x14ac:dyDescent="0.25">
      <c r="A5" s="387"/>
      <c r="B5" s="390"/>
      <c r="C5" s="388"/>
      <c r="D5" s="388"/>
      <c r="E5" s="388"/>
      <c r="F5" s="388"/>
      <c r="G5" s="388"/>
      <c r="H5" s="389"/>
      <c r="N5" s="282"/>
      <c r="O5" s="384"/>
      <c r="P5" s="384"/>
      <c r="Q5" s="384"/>
      <c r="R5" s="384"/>
      <c r="S5" s="384"/>
      <c r="T5" s="384"/>
      <c r="U5" s="384"/>
      <c r="V5" s="384"/>
      <c r="W5" s="384"/>
      <c r="X5" s="384"/>
      <c r="Y5" s="384"/>
      <c r="Z5" s="384"/>
      <c r="AA5" s="384"/>
      <c r="AB5" s="384"/>
      <c r="AC5" s="384"/>
      <c r="AD5" s="384"/>
      <c r="AE5" s="384"/>
      <c r="AF5" s="384"/>
    </row>
    <row r="6" spans="1:32" ht="10.5" customHeight="1" x14ac:dyDescent="0.25">
      <c r="A6" s="384"/>
      <c r="B6" s="384"/>
      <c r="C6" s="391"/>
      <c r="D6" s="391"/>
      <c r="E6" s="391"/>
      <c r="F6" s="391"/>
      <c r="G6" s="391"/>
      <c r="H6" s="391"/>
      <c r="N6" s="384"/>
      <c r="O6" s="384"/>
      <c r="P6" s="384"/>
      <c r="Q6" s="384"/>
      <c r="R6" s="384"/>
      <c r="S6" s="384"/>
      <c r="T6" s="384"/>
      <c r="U6" s="384"/>
      <c r="V6" s="384"/>
      <c r="W6" s="384"/>
      <c r="X6" s="384"/>
      <c r="Y6" s="384"/>
      <c r="Z6" s="384"/>
      <c r="AA6" s="384"/>
      <c r="AB6" s="384"/>
      <c r="AC6" s="384"/>
      <c r="AD6" s="384"/>
      <c r="AE6" s="384"/>
      <c r="AF6" s="384"/>
    </row>
    <row r="7" spans="1:32" x14ac:dyDescent="0.2">
      <c r="A7" s="384"/>
      <c r="B7" s="384"/>
      <c r="C7" s="384"/>
      <c r="D7" s="384"/>
      <c r="E7" s="384"/>
      <c r="F7" s="384"/>
      <c r="G7" s="384"/>
      <c r="H7" s="384"/>
      <c r="I7" s="384"/>
      <c r="J7" s="384"/>
      <c r="K7" s="384"/>
      <c r="L7" s="384"/>
      <c r="M7" s="384"/>
      <c r="N7" s="384"/>
      <c r="O7" s="384"/>
      <c r="P7" s="384"/>
      <c r="Q7" s="384"/>
      <c r="R7" s="384"/>
      <c r="S7" s="384"/>
      <c r="T7" s="384"/>
      <c r="U7" s="384"/>
      <c r="V7" s="384"/>
      <c r="W7" s="384"/>
      <c r="X7" s="384"/>
      <c r="Y7" s="384"/>
      <c r="Z7" s="384"/>
      <c r="AA7" s="384"/>
      <c r="AB7" s="384"/>
      <c r="AC7" s="384"/>
      <c r="AD7" s="384"/>
      <c r="AE7" s="384"/>
      <c r="AF7" s="384"/>
    </row>
    <row r="8" spans="1:32" x14ac:dyDescent="0.2">
      <c r="A8" s="384"/>
      <c r="B8" s="384"/>
      <c r="C8" s="384"/>
      <c r="D8" s="392"/>
      <c r="E8" s="384"/>
      <c r="F8" s="384"/>
      <c r="G8" s="384"/>
      <c r="H8" s="384"/>
      <c r="I8" s="384"/>
      <c r="J8" s="384"/>
      <c r="K8" s="384"/>
      <c r="L8" s="384"/>
      <c r="M8" s="384"/>
      <c r="N8" s="384"/>
      <c r="O8" s="384"/>
      <c r="P8" s="384"/>
      <c r="Q8" s="384"/>
      <c r="R8" s="384"/>
      <c r="S8" s="384"/>
      <c r="T8" s="384"/>
      <c r="U8" s="384"/>
      <c r="V8" s="384"/>
      <c r="W8" s="384"/>
      <c r="X8" s="384"/>
      <c r="Y8" s="384"/>
      <c r="Z8" s="384"/>
      <c r="AA8" s="384"/>
      <c r="AB8" s="384"/>
      <c r="AC8" s="384"/>
      <c r="AD8" s="384"/>
      <c r="AE8" s="384"/>
      <c r="AF8" s="384"/>
    </row>
    <row r="9" spans="1:32" x14ac:dyDescent="0.2">
      <c r="A9" s="384"/>
      <c r="B9" s="384"/>
      <c r="C9" s="384"/>
      <c r="D9" s="384"/>
      <c r="E9" s="384"/>
      <c r="F9" s="384"/>
      <c r="G9" s="384"/>
      <c r="H9" s="384"/>
      <c r="I9" s="384"/>
      <c r="J9" s="384"/>
      <c r="K9" s="384"/>
      <c r="L9" s="384"/>
      <c r="M9" s="384"/>
      <c r="N9" s="384"/>
      <c r="O9" s="384"/>
      <c r="P9" s="384"/>
      <c r="Q9" s="384"/>
      <c r="R9" s="384"/>
      <c r="S9" s="384"/>
      <c r="T9" s="384"/>
      <c r="U9" s="384"/>
      <c r="V9" s="384"/>
      <c r="W9" s="384"/>
      <c r="X9" s="384"/>
      <c r="Y9" s="384"/>
      <c r="Z9" s="384"/>
      <c r="AA9" s="384"/>
      <c r="AB9" s="384"/>
      <c r="AC9" s="384"/>
      <c r="AD9" s="384"/>
      <c r="AE9" s="384"/>
      <c r="AF9" s="384"/>
    </row>
    <row r="10" spans="1:32" ht="15.75" x14ac:dyDescent="0.25">
      <c r="A10" s="384"/>
      <c r="B10" s="1594"/>
      <c r="C10" s="1594"/>
      <c r="D10" s="1594"/>
      <c r="E10" s="384"/>
      <c r="F10" s="384"/>
      <c r="G10" s="1594"/>
      <c r="H10" s="1594"/>
      <c r="I10" s="159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row>
    <row r="11" spans="1:32" ht="15.75" x14ac:dyDescent="0.25">
      <c r="A11" s="384"/>
      <c r="B11" s="1600"/>
      <c r="C11" s="1600"/>
      <c r="D11" s="1600"/>
      <c r="E11" s="384"/>
      <c r="F11" s="384"/>
      <c r="G11" s="1601"/>
      <c r="H11" s="1601"/>
      <c r="I11" s="1601"/>
      <c r="J11" s="384"/>
      <c r="K11" s="384"/>
      <c r="L11" s="384"/>
      <c r="M11" s="384"/>
      <c r="N11" s="384"/>
      <c r="O11" s="384"/>
      <c r="P11" s="384"/>
      <c r="Q11" s="384"/>
      <c r="R11" s="384"/>
      <c r="S11" s="384"/>
      <c r="T11" s="384"/>
      <c r="U11" s="384"/>
      <c r="V11" s="384"/>
      <c r="W11" s="384"/>
      <c r="X11" s="384"/>
      <c r="Y11" s="384"/>
      <c r="Z11" s="384"/>
      <c r="AA11" s="384"/>
      <c r="AB11" s="384"/>
      <c r="AC11" s="384"/>
      <c r="AD11" s="384"/>
      <c r="AE11" s="384"/>
      <c r="AF11" s="384"/>
    </row>
    <row r="12" spans="1:32" ht="15.75" x14ac:dyDescent="0.25">
      <c r="A12" s="384"/>
      <c r="B12" s="1600"/>
      <c r="C12" s="1600"/>
      <c r="D12" s="1600"/>
      <c r="E12" s="384"/>
      <c r="F12" s="384"/>
      <c r="G12" s="1601"/>
      <c r="H12" s="1601"/>
      <c r="I12" s="1601"/>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row>
    <row r="13" spans="1:32" ht="15.75" x14ac:dyDescent="0.25">
      <c r="A13" s="384"/>
      <c r="B13" s="1600" t="s">
        <v>0</v>
      </c>
      <c r="C13" s="1600"/>
      <c r="D13" s="1600"/>
      <c r="E13" s="384"/>
      <c r="F13" s="384"/>
      <c r="G13" s="1601"/>
      <c r="H13" s="1601"/>
      <c r="I13" s="1601"/>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row>
    <row r="14" spans="1:32" ht="16.5" customHeight="1" x14ac:dyDescent="0.2">
      <c r="A14" s="384"/>
      <c r="B14" s="384"/>
      <c r="C14" s="384"/>
      <c r="D14" s="384"/>
      <c r="E14" s="384"/>
      <c r="F14" s="384"/>
      <c r="G14" s="384"/>
      <c r="H14" s="384"/>
      <c r="I14" s="384"/>
      <c r="J14" s="384"/>
      <c r="K14" s="384"/>
      <c r="L14" s="384"/>
      <c r="M14" s="384"/>
      <c r="N14" s="384"/>
      <c r="O14" s="384"/>
      <c r="P14" s="384"/>
      <c r="Q14" s="384"/>
      <c r="R14" s="384"/>
      <c r="S14" s="384"/>
      <c r="T14" s="384"/>
      <c r="U14" s="384"/>
      <c r="V14" s="384"/>
      <c r="W14" s="384"/>
      <c r="X14" s="384"/>
      <c r="Y14" s="384"/>
      <c r="Z14" s="384"/>
      <c r="AA14" s="384"/>
      <c r="AB14" s="384"/>
      <c r="AC14" s="384"/>
      <c r="AD14" s="384"/>
      <c r="AE14" s="384"/>
      <c r="AF14" s="384"/>
    </row>
    <row r="15" spans="1:32" ht="15" customHeight="1" x14ac:dyDescent="0.2">
      <c r="A15" s="384"/>
      <c r="B15" s="384"/>
      <c r="C15" s="384"/>
      <c r="D15" s="384"/>
      <c r="E15" s="384"/>
      <c r="F15" s="384"/>
      <c r="G15" s="384"/>
      <c r="H15" s="384"/>
      <c r="I15" s="384"/>
      <c r="J15" s="384"/>
      <c r="K15" s="384"/>
      <c r="L15" s="384"/>
      <c r="M15" s="384"/>
      <c r="N15" s="384"/>
      <c r="O15" s="384"/>
      <c r="P15" s="384"/>
      <c r="Q15" s="384"/>
      <c r="R15" s="384"/>
      <c r="S15" s="384"/>
      <c r="T15" s="384"/>
      <c r="U15" s="384"/>
      <c r="V15" s="384"/>
      <c r="W15" s="384"/>
      <c r="X15" s="384"/>
      <c r="Y15" s="384"/>
      <c r="Z15" s="384"/>
      <c r="AA15" s="384"/>
      <c r="AB15" s="384"/>
      <c r="AC15" s="384"/>
      <c r="AD15" s="384"/>
      <c r="AE15" s="384"/>
      <c r="AF15" s="384"/>
    </row>
    <row r="16" spans="1:32" ht="34.5" customHeight="1" x14ac:dyDescent="0.2">
      <c r="A16" s="384"/>
      <c r="B16" s="384"/>
      <c r="C16" s="384"/>
      <c r="D16" s="384"/>
      <c r="E16" s="384"/>
      <c r="F16" s="384"/>
      <c r="G16" s="384"/>
      <c r="H16" s="384"/>
      <c r="I16" s="384"/>
      <c r="J16" s="384"/>
      <c r="K16" s="384"/>
      <c r="L16" s="384"/>
      <c r="M16" s="384"/>
      <c r="N16" s="384"/>
      <c r="O16" s="384"/>
      <c r="P16" s="384"/>
      <c r="Q16" s="384"/>
      <c r="R16" s="384"/>
      <c r="S16" s="384"/>
      <c r="T16" s="384"/>
      <c r="U16" s="384"/>
      <c r="V16" s="384"/>
      <c r="W16" s="384"/>
      <c r="X16" s="384"/>
      <c r="Y16" s="384"/>
      <c r="Z16" s="384"/>
      <c r="AA16" s="384"/>
      <c r="AB16" s="384"/>
      <c r="AC16" s="384"/>
      <c r="AD16" s="384"/>
      <c r="AE16" s="384"/>
      <c r="AF16" s="384"/>
    </row>
    <row r="17" spans="1:32" x14ac:dyDescent="0.2">
      <c r="A17" s="384"/>
      <c r="B17" s="384"/>
      <c r="C17" s="384"/>
      <c r="D17" s="384"/>
      <c r="E17" s="384"/>
      <c r="F17" s="384"/>
      <c r="G17" s="384"/>
      <c r="H17" s="384"/>
      <c r="I17" s="384"/>
      <c r="J17" s="384"/>
      <c r="K17" s="384"/>
      <c r="L17" s="384"/>
      <c r="M17" s="384"/>
      <c r="N17" s="384"/>
      <c r="O17" s="384"/>
      <c r="P17" s="384"/>
      <c r="Q17" s="384"/>
      <c r="R17" s="384"/>
      <c r="S17" s="384"/>
      <c r="T17" s="384"/>
      <c r="U17" s="384"/>
      <c r="V17" s="384"/>
      <c r="W17" s="384"/>
      <c r="X17" s="384"/>
      <c r="Y17" s="384"/>
      <c r="Z17" s="384"/>
      <c r="AA17" s="384"/>
      <c r="AB17" s="384"/>
      <c r="AC17" s="384"/>
      <c r="AD17" s="384"/>
      <c r="AE17" s="384"/>
      <c r="AF17" s="384"/>
    </row>
    <row r="18" spans="1:32" x14ac:dyDescent="0.2">
      <c r="A18" s="384"/>
      <c r="B18" s="384"/>
      <c r="C18" s="384"/>
      <c r="D18" s="384"/>
      <c r="E18" s="384"/>
      <c r="F18" s="384"/>
      <c r="G18" s="384"/>
      <c r="H18" s="384"/>
      <c r="I18" s="384"/>
      <c r="J18" s="384"/>
      <c r="K18" s="384"/>
      <c r="L18" s="384"/>
      <c r="M18" s="384"/>
      <c r="N18" s="384"/>
      <c r="O18" s="384"/>
      <c r="P18" s="384"/>
      <c r="Q18" s="384"/>
      <c r="R18" s="384"/>
      <c r="S18" s="384"/>
      <c r="T18" s="384"/>
      <c r="U18" s="384"/>
      <c r="V18" s="384"/>
      <c r="W18" s="384"/>
      <c r="X18" s="384"/>
      <c r="Y18" s="384"/>
      <c r="Z18" s="384"/>
      <c r="AA18" s="384"/>
      <c r="AB18" s="384"/>
      <c r="AC18" s="384"/>
      <c r="AD18" s="384"/>
      <c r="AE18" s="384"/>
      <c r="AF18" s="384"/>
    </row>
    <row r="19" spans="1:32" x14ac:dyDescent="0.2">
      <c r="A19" s="384"/>
      <c r="B19" s="384"/>
      <c r="C19" s="384"/>
      <c r="D19" s="384"/>
      <c r="E19" s="384"/>
      <c r="F19" s="384"/>
      <c r="G19" s="384"/>
      <c r="H19" s="384"/>
      <c r="I19" s="384"/>
      <c r="J19" s="384"/>
      <c r="K19" s="384"/>
      <c r="L19" s="384"/>
      <c r="M19" s="384"/>
      <c r="N19" s="384"/>
      <c r="O19" s="384"/>
      <c r="P19" s="384"/>
      <c r="Q19" s="384"/>
      <c r="R19" s="384"/>
      <c r="S19" s="384"/>
      <c r="T19" s="384"/>
      <c r="U19" s="384"/>
      <c r="V19" s="384"/>
      <c r="W19" s="384"/>
      <c r="X19" s="384"/>
      <c r="Y19" s="384"/>
      <c r="Z19" s="384"/>
      <c r="AA19" s="384"/>
      <c r="AB19" s="384"/>
      <c r="AC19" s="384"/>
      <c r="AD19" s="384"/>
      <c r="AE19" s="384"/>
      <c r="AF19" s="384"/>
    </row>
    <row r="20" spans="1:32" x14ac:dyDescent="0.2">
      <c r="A20" s="384"/>
      <c r="B20" s="384"/>
      <c r="C20" s="384"/>
      <c r="D20" s="384"/>
      <c r="E20" s="384"/>
      <c r="F20" s="384"/>
      <c r="G20" s="384"/>
      <c r="H20" s="384"/>
      <c r="I20" s="384"/>
      <c r="J20" s="384"/>
      <c r="K20" s="384"/>
      <c r="L20" s="384"/>
      <c r="M20" s="384"/>
      <c r="N20" s="384"/>
      <c r="O20" s="384"/>
      <c r="P20" s="384"/>
      <c r="Q20" s="384"/>
      <c r="R20" s="384"/>
      <c r="S20" s="384"/>
      <c r="T20" s="384"/>
      <c r="U20" s="384"/>
      <c r="V20" s="384"/>
      <c r="W20" s="384"/>
      <c r="X20" s="384"/>
      <c r="Y20" s="384"/>
      <c r="Z20" s="384"/>
      <c r="AA20" s="384"/>
      <c r="AB20" s="384"/>
      <c r="AC20" s="384"/>
      <c r="AD20" s="384"/>
      <c r="AE20" s="384"/>
      <c r="AF20" s="384"/>
    </row>
    <row r="21" spans="1:32" ht="12" customHeight="1" x14ac:dyDescent="0.2">
      <c r="A21" s="384"/>
      <c r="B21" s="384"/>
      <c r="C21" s="384"/>
      <c r="D21" s="384"/>
      <c r="E21" s="384"/>
      <c r="F21" s="384"/>
      <c r="G21" s="384"/>
      <c r="H21" s="384"/>
      <c r="I21" s="384"/>
      <c r="J21" s="384"/>
      <c r="K21" s="384"/>
      <c r="L21" s="384"/>
      <c r="M21" s="384"/>
      <c r="N21" s="384"/>
      <c r="O21" s="384"/>
      <c r="P21" s="384"/>
      <c r="Q21" s="384"/>
      <c r="R21" s="384"/>
      <c r="S21" s="384"/>
      <c r="T21" s="384"/>
      <c r="U21" s="384"/>
      <c r="V21" s="384"/>
      <c r="W21" s="384"/>
      <c r="X21" s="384"/>
      <c r="Y21" s="384"/>
      <c r="Z21" s="384"/>
      <c r="AA21" s="384"/>
      <c r="AB21" s="384"/>
      <c r="AC21" s="384"/>
      <c r="AD21" s="384"/>
      <c r="AE21" s="384"/>
      <c r="AF21" s="384"/>
    </row>
    <row r="22" spans="1:32" ht="12.75" customHeight="1" x14ac:dyDescent="0.2">
      <c r="A22" s="384"/>
      <c r="B22" s="393"/>
      <c r="C22" s="393"/>
      <c r="D22" s="384"/>
      <c r="E22" s="384"/>
      <c r="F22" s="384"/>
      <c r="G22" s="384"/>
      <c r="H22" s="384"/>
      <c r="I22" s="384"/>
      <c r="J22" s="384"/>
      <c r="K22" s="384"/>
      <c r="L22" s="384"/>
      <c r="M22" s="384"/>
      <c r="N22" s="384"/>
      <c r="O22" s="384"/>
      <c r="P22" s="384"/>
      <c r="Q22" s="384"/>
      <c r="R22" s="384"/>
      <c r="S22" s="384"/>
      <c r="T22" s="384"/>
      <c r="U22" s="384"/>
      <c r="V22" s="384"/>
      <c r="W22" s="384"/>
      <c r="X22" s="384"/>
      <c r="Y22" s="384"/>
      <c r="Z22" s="384"/>
      <c r="AA22" s="384"/>
      <c r="AB22" s="384"/>
      <c r="AC22" s="384"/>
      <c r="AD22" s="384"/>
      <c r="AE22" s="384"/>
      <c r="AF22" s="384"/>
    </row>
    <row r="23" spans="1:32" ht="15.75" x14ac:dyDescent="0.25">
      <c r="A23" s="384"/>
      <c r="B23" s="1592" t="s">
        <v>0</v>
      </c>
      <c r="C23" s="1592"/>
      <c r="D23" s="1592"/>
      <c r="E23" s="384"/>
      <c r="F23" s="384"/>
      <c r="G23" s="1592"/>
      <c r="H23" s="1592"/>
      <c r="I23" s="1592"/>
      <c r="J23" s="384"/>
      <c r="K23" s="384"/>
      <c r="L23" s="384"/>
      <c r="M23" s="384"/>
      <c r="N23" s="384"/>
      <c r="O23" s="384"/>
      <c r="P23" s="384"/>
      <c r="Q23" s="384"/>
      <c r="R23" s="384"/>
      <c r="S23" s="384"/>
      <c r="T23" s="384"/>
      <c r="U23" s="384"/>
      <c r="V23" s="384"/>
      <c r="W23" s="384"/>
      <c r="X23" s="384"/>
      <c r="Y23" s="384"/>
      <c r="Z23" s="384"/>
      <c r="AA23" s="384"/>
      <c r="AB23" s="384"/>
      <c r="AC23" s="384"/>
      <c r="AD23" s="384"/>
      <c r="AE23" s="384"/>
      <c r="AF23" s="384"/>
    </row>
    <row r="24" spans="1:32" x14ac:dyDescent="0.2">
      <c r="A24" s="384"/>
      <c r="B24" s="1593"/>
      <c r="C24" s="1593"/>
      <c r="D24" s="1593"/>
      <c r="E24" s="384"/>
      <c r="F24" s="384"/>
      <c r="G24" s="1593"/>
      <c r="H24" s="1593"/>
      <c r="I24" s="1593"/>
      <c r="J24" s="384"/>
      <c r="K24" s="384"/>
      <c r="L24" s="384"/>
      <c r="M24" s="384"/>
      <c r="N24" s="384"/>
      <c r="O24" s="384"/>
      <c r="P24" s="384"/>
      <c r="Q24" s="384"/>
      <c r="R24" s="384"/>
      <c r="S24" s="384"/>
      <c r="T24" s="384"/>
      <c r="U24" s="384"/>
      <c r="V24" s="384"/>
      <c r="W24" s="384"/>
      <c r="X24" s="384"/>
      <c r="Y24" s="384"/>
      <c r="Z24" s="384"/>
      <c r="AA24" s="384"/>
      <c r="AB24" s="384"/>
      <c r="AC24" s="384"/>
      <c r="AD24" s="384"/>
      <c r="AE24" s="384"/>
      <c r="AF24" s="384"/>
    </row>
    <row r="25" spans="1:32" ht="15.75" x14ac:dyDescent="0.25">
      <c r="A25" s="384"/>
      <c r="B25" s="1592"/>
      <c r="C25" s="1592"/>
      <c r="D25" s="1592"/>
      <c r="E25" s="384"/>
      <c r="F25" s="384"/>
      <c r="G25" s="1592"/>
      <c r="H25" s="1592"/>
      <c r="I25" s="1592"/>
      <c r="J25" s="384"/>
      <c r="K25" s="384"/>
      <c r="L25" s="384"/>
      <c r="M25" s="384"/>
      <c r="N25" s="384"/>
      <c r="O25" s="384"/>
      <c r="P25" s="384"/>
      <c r="Q25" s="384"/>
      <c r="R25" s="384"/>
      <c r="S25" s="384"/>
      <c r="T25" s="384"/>
      <c r="U25" s="384"/>
      <c r="V25" s="384"/>
      <c r="W25" s="384"/>
      <c r="X25" s="384"/>
      <c r="Y25" s="384"/>
      <c r="Z25" s="384"/>
      <c r="AA25" s="384"/>
      <c r="AB25" s="384"/>
      <c r="AC25" s="384"/>
      <c r="AD25" s="384"/>
      <c r="AE25" s="384"/>
      <c r="AF25" s="384"/>
    </row>
    <row r="26" spans="1:32" x14ac:dyDescent="0.2">
      <c r="A26" s="384"/>
      <c r="B26" s="384"/>
      <c r="C26" s="384"/>
      <c r="D26" s="384"/>
      <c r="E26" s="384"/>
      <c r="F26" s="384"/>
      <c r="G26" s="384"/>
      <c r="H26" s="384"/>
      <c r="I26" s="384"/>
      <c r="J26" s="384"/>
      <c r="K26" s="384"/>
      <c r="L26" s="384"/>
      <c r="M26" s="384"/>
      <c r="N26" s="384"/>
      <c r="O26" s="384"/>
      <c r="P26" s="384"/>
      <c r="Q26" s="384"/>
      <c r="R26" s="384"/>
      <c r="S26" s="384"/>
      <c r="T26" s="384"/>
      <c r="U26" s="384"/>
      <c r="V26" s="384"/>
      <c r="W26" s="384"/>
      <c r="X26" s="384"/>
      <c r="Y26" s="384"/>
      <c r="Z26" s="384"/>
      <c r="AA26" s="384"/>
      <c r="AB26" s="384"/>
      <c r="AC26" s="384"/>
      <c r="AD26" s="384"/>
      <c r="AE26" s="384"/>
      <c r="AF26" s="384"/>
    </row>
    <row r="27" spans="1:32" x14ac:dyDescent="0.2">
      <c r="A27" s="384"/>
      <c r="B27" s="384"/>
      <c r="C27" s="384"/>
      <c r="D27" s="384"/>
      <c r="E27" s="384"/>
      <c r="F27" s="384"/>
      <c r="G27" s="393"/>
      <c r="H27" s="393"/>
      <c r="I27" s="384"/>
      <c r="J27" s="384"/>
      <c r="K27" s="384"/>
      <c r="L27" s="384"/>
      <c r="M27" s="384"/>
      <c r="N27" s="384"/>
      <c r="O27" s="384"/>
      <c r="P27" s="384" t="s">
        <v>0</v>
      </c>
      <c r="Q27" s="384"/>
      <c r="R27" s="384"/>
      <c r="S27" s="384"/>
      <c r="T27" s="384"/>
      <c r="U27" s="384"/>
      <c r="V27" s="384"/>
      <c r="W27" s="384"/>
      <c r="X27" s="384"/>
      <c r="Y27" s="384"/>
      <c r="Z27" s="384"/>
      <c r="AA27" s="384"/>
      <c r="AB27" s="384"/>
      <c r="AC27" s="384"/>
      <c r="AD27" s="384"/>
      <c r="AE27" s="384"/>
      <c r="AF27" s="384"/>
    </row>
    <row r="28" spans="1:32" ht="9.75" customHeight="1" x14ac:dyDescent="0.2">
      <c r="A28" s="384"/>
      <c r="B28" s="384"/>
      <c r="C28" s="384"/>
      <c r="D28" s="384"/>
      <c r="E28" s="384"/>
      <c r="F28" s="384"/>
      <c r="G28" s="384"/>
      <c r="H28" s="384"/>
      <c r="I28" s="384"/>
      <c r="J28" s="384"/>
      <c r="K28" s="384"/>
      <c r="L28" s="384"/>
      <c r="M28" s="384"/>
      <c r="N28" s="384"/>
      <c r="O28" s="384"/>
      <c r="P28" s="384"/>
      <c r="Q28" s="384"/>
      <c r="R28" s="384"/>
      <c r="S28" s="384"/>
      <c r="T28" s="384"/>
      <c r="U28" s="384"/>
      <c r="V28" s="384"/>
      <c r="W28" s="384"/>
      <c r="X28" s="384"/>
      <c r="Y28" s="384"/>
      <c r="Z28" s="384"/>
      <c r="AA28" s="384"/>
      <c r="AB28" s="384"/>
      <c r="AC28" s="384"/>
      <c r="AD28" s="384"/>
      <c r="AE28" s="384"/>
      <c r="AF28" s="384"/>
    </row>
    <row r="29" spans="1:32" ht="9.75" customHeight="1" x14ac:dyDescent="0.2">
      <c r="A29" s="384"/>
      <c r="B29" s="384"/>
      <c r="C29" s="384"/>
      <c r="D29" s="384"/>
      <c r="E29" s="384"/>
      <c r="F29" s="384"/>
      <c r="G29" s="384"/>
      <c r="H29" s="384"/>
      <c r="I29" s="384"/>
      <c r="J29" s="384"/>
      <c r="K29" s="384"/>
      <c r="L29" s="384"/>
      <c r="M29" s="384"/>
      <c r="N29" s="384"/>
      <c r="O29" s="384"/>
      <c r="P29" s="384"/>
      <c r="Q29" s="384"/>
      <c r="R29" s="384"/>
      <c r="S29" s="384"/>
      <c r="T29" s="384"/>
      <c r="U29" s="384"/>
      <c r="V29" s="384"/>
      <c r="W29" s="384"/>
      <c r="X29" s="384"/>
      <c r="Y29" s="384"/>
      <c r="Z29" s="384"/>
      <c r="AA29" s="384"/>
      <c r="AB29" s="384"/>
      <c r="AC29" s="384"/>
      <c r="AD29" s="384"/>
      <c r="AE29" s="384"/>
      <c r="AF29" s="384"/>
    </row>
    <row r="30" spans="1:32" ht="9" customHeight="1" x14ac:dyDescent="0.25">
      <c r="A30" s="384"/>
      <c r="B30" s="1592" t="s">
        <v>0</v>
      </c>
      <c r="C30" s="1592"/>
      <c r="D30" s="1592"/>
      <c r="E30" s="384"/>
      <c r="F30" s="384"/>
      <c r="G30" s="1592"/>
      <c r="H30" s="1592"/>
      <c r="I30" s="1592"/>
      <c r="J30" s="384"/>
      <c r="K30" s="384"/>
      <c r="L30" s="384"/>
      <c r="M30" s="384"/>
      <c r="N30" s="384"/>
      <c r="O30" s="384"/>
      <c r="P30" s="384"/>
      <c r="Q30" s="384"/>
      <c r="R30" s="384"/>
      <c r="S30" s="384"/>
      <c r="T30" s="384"/>
      <c r="U30" s="384"/>
      <c r="V30" s="384"/>
      <c r="W30" s="384"/>
      <c r="X30" s="384"/>
      <c r="Y30" s="384"/>
      <c r="Z30" s="384"/>
      <c r="AA30" s="384"/>
      <c r="AB30" s="384"/>
      <c r="AC30" s="384"/>
      <c r="AD30" s="384"/>
      <c r="AE30" s="384"/>
      <c r="AF30" s="384"/>
    </row>
    <row r="31" spans="1:32" ht="6" customHeight="1" x14ac:dyDescent="0.25">
      <c r="A31" s="384"/>
      <c r="B31" s="1593"/>
      <c r="C31" s="1593"/>
      <c r="D31" s="1593"/>
      <c r="E31" s="384"/>
      <c r="F31" s="384"/>
      <c r="G31" s="1595"/>
      <c r="H31" s="1595"/>
      <c r="I31" s="1595"/>
      <c r="J31" s="384"/>
      <c r="K31" s="384"/>
      <c r="L31" s="384"/>
      <c r="M31" s="384"/>
      <c r="N31" s="384"/>
      <c r="O31" s="384"/>
      <c r="P31" s="384"/>
      <c r="Q31" s="421" t="s">
        <v>0</v>
      </c>
      <c r="R31" s="384"/>
      <c r="S31" s="384"/>
      <c r="T31" s="384"/>
      <c r="U31" s="384"/>
      <c r="V31" s="384"/>
      <c r="W31" s="384"/>
      <c r="X31" s="384"/>
      <c r="Y31" s="384"/>
      <c r="Z31" s="384"/>
      <c r="AA31" s="384"/>
      <c r="AB31" s="384"/>
      <c r="AC31" s="384"/>
      <c r="AD31" s="384"/>
      <c r="AE31" s="384"/>
      <c r="AF31" s="384"/>
    </row>
    <row r="32" spans="1:32" ht="7.5" customHeight="1" x14ac:dyDescent="0.2">
      <c r="A32" s="384"/>
      <c r="B32" s="393"/>
      <c r="C32" s="384"/>
      <c r="D32" s="384"/>
      <c r="E32" s="384"/>
      <c r="F32" s="384"/>
      <c r="G32" s="393"/>
      <c r="H32" s="393"/>
      <c r="I32" s="384"/>
      <c r="J32" s="384"/>
      <c r="K32" s="384"/>
      <c r="L32" s="384"/>
      <c r="M32" s="384"/>
      <c r="N32" s="384"/>
      <c r="O32" s="384"/>
      <c r="P32" s="384"/>
      <c r="Q32" s="384"/>
      <c r="R32" s="384"/>
      <c r="S32" s="384"/>
      <c r="T32" s="384"/>
      <c r="U32" s="384"/>
      <c r="V32" s="384"/>
      <c r="W32" s="384"/>
      <c r="X32" s="384"/>
      <c r="Y32" s="384"/>
      <c r="Z32" s="384"/>
      <c r="AA32" s="384"/>
      <c r="AB32" s="384"/>
      <c r="AC32" s="384"/>
      <c r="AD32" s="384"/>
      <c r="AE32" s="384"/>
      <c r="AF32" s="384"/>
    </row>
    <row r="33" spans="1:33" ht="12.75" customHeight="1" x14ac:dyDescent="0.25">
      <c r="A33" s="384"/>
      <c r="B33" s="390"/>
      <c r="C33" s="390"/>
      <c r="D33" s="420"/>
      <c r="E33" s="384"/>
      <c r="F33" s="384"/>
      <c r="G33" s="1594"/>
      <c r="H33" s="1594"/>
      <c r="I33" s="1594"/>
      <c r="J33" s="584"/>
      <c r="K33" s="384"/>
      <c r="L33" s="384"/>
      <c r="M33" s="384"/>
      <c r="N33" s="384"/>
      <c r="O33" s="384"/>
      <c r="P33" s="384"/>
      <c r="Q33" s="384"/>
      <c r="R33" s="384"/>
      <c r="S33" s="384"/>
      <c r="T33" s="384"/>
      <c r="U33" s="384"/>
      <c r="V33" s="384"/>
      <c r="W33" s="384"/>
      <c r="X33" s="384"/>
      <c r="Y33" s="384"/>
      <c r="Z33" s="384"/>
      <c r="AA33" s="384"/>
      <c r="AB33" s="384"/>
      <c r="AC33" s="384"/>
      <c r="AD33" s="384"/>
      <c r="AE33" s="384"/>
      <c r="AF33" s="384"/>
    </row>
    <row r="34" spans="1:33" ht="17.649999999999999" customHeight="1" x14ac:dyDescent="0.2">
      <c r="A34" s="384"/>
      <c r="B34" s="1582" t="s">
        <v>0</v>
      </c>
      <c r="C34" s="1582"/>
      <c r="G34" s="1583"/>
      <c r="H34" s="1583"/>
      <c r="I34" s="1602" t="s">
        <v>632</v>
      </c>
      <c r="J34" s="1602"/>
      <c r="K34" s="1602"/>
      <c r="L34" s="1602"/>
      <c r="M34" s="1584"/>
      <c r="N34" s="1584"/>
      <c r="O34" s="384"/>
      <c r="P34" s="384"/>
      <c r="Q34" s="384"/>
      <c r="R34" s="384"/>
      <c r="S34" s="384"/>
      <c r="T34" s="384"/>
      <c r="U34" s="384"/>
      <c r="V34" s="384"/>
      <c r="W34" s="384"/>
      <c r="X34" s="384"/>
      <c r="Y34" s="384"/>
      <c r="Z34" s="384"/>
      <c r="AA34" s="384"/>
      <c r="AB34" s="384"/>
      <c r="AC34" s="384"/>
      <c r="AD34" s="384"/>
      <c r="AE34" s="384"/>
      <c r="AF34" s="384"/>
    </row>
    <row r="35" spans="1:33" ht="24.75" customHeight="1" x14ac:dyDescent="0.2">
      <c r="A35" s="421"/>
      <c r="B35" s="1585" t="s">
        <v>869</v>
      </c>
      <c r="C35" s="271"/>
      <c r="D35" s="271"/>
      <c r="G35" s="1598" t="s">
        <v>783</v>
      </c>
      <c r="H35" s="1598"/>
      <c r="I35" s="1598"/>
      <c r="J35" s="1598"/>
      <c r="K35" s="1598"/>
      <c r="L35" s="1598"/>
      <c r="M35" s="282"/>
      <c r="N35" s="282"/>
      <c r="O35" s="384"/>
      <c r="P35" s="384"/>
      <c r="Q35" s="384"/>
      <c r="R35" s="384"/>
      <c r="S35" s="384"/>
      <c r="T35" s="384"/>
      <c r="U35" s="384"/>
      <c r="V35" s="384"/>
      <c r="W35" s="384"/>
      <c r="X35" s="384"/>
      <c r="Y35" s="384"/>
      <c r="Z35" s="384"/>
      <c r="AA35" s="384"/>
      <c r="AB35" s="384"/>
      <c r="AC35" s="384"/>
      <c r="AD35" s="384"/>
      <c r="AE35" s="384"/>
      <c r="AF35" s="384"/>
    </row>
    <row r="36" spans="1:33" ht="12.75" customHeight="1" x14ac:dyDescent="0.2">
      <c r="A36" s="384"/>
      <c r="B36" s="1596"/>
      <c r="C36" s="1596"/>
      <c r="D36" s="1596"/>
      <c r="E36" s="384"/>
      <c r="F36" s="384"/>
      <c r="G36" s="1598"/>
      <c r="H36" s="1598"/>
      <c r="I36" s="1598"/>
      <c r="J36" s="1598"/>
      <c r="K36" s="1598"/>
      <c r="L36" s="1598"/>
      <c r="M36" s="384"/>
      <c r="N36" s="384"/>
      <c r="O36" s="384"/>
      <c r="P36" s="384"/>
      <c r="Q36" s="384"/>
      <c r="R36" s="384"/>
      <c r="S36" s="384"/>
      <c r="T36" s="384"/>
      <c r="U36" s="384"/>
      <c r="V36" s="384"/>
      <c r="W36" s="384"/>
      <c r="X36" s="384"/>
      <c r="Y36" s="384"/>
      <c r="Z36" s="384"/>
      <c r="AA36" s="384"/>
      <c r="AB36" s="384"/>
      <c r="AC36" s="384"/>
      <c r="AD36" s="384"/>
      <c r="AE36" s="384"/>
      <c r="AF36" s="384"/>
    </row>
    <row r="37" spans="1:33" x14ac:dyDescent="0.2">
      <c r="A37" s="384"/>
      <c r="B37" s="1596"/>
      <c r="C37" s="1596"/>
      <c r="D37" s="1596"/>
      <c r="E37" s="384"/>
      <c r="F37" s="384"/>
      <c r="G37" s="1597"/>
      <c r="H37" s="1597"/>
      <c r="I37" s="1597"/>
      <c r="J37" s="384"/>
      <c r="K37" s="384"/>
      <c r="L37" s="384"/>
      <c r="M37" s="384"/>
      <c r="N37" s="384"/>
      <c r="O37" s="384"/>
      <c r="P37" s="384"/>
      <c r="Q37" s="384"/>
      <c r="R37" s="384"/>
      <c r="S37" s="384"/>
      <c r="T37" s="384"/>
      <c r="U37" s="384"/>
      <c r="V37" s="384"/>
      <c r="W37" s="384"/>
      <c r="X37" s="384"/>
      <c r="Y37" s="384"/>
      <c r="Z37" s="384"/>
      <c r="AA37" s="384"/>
      <c r="AB37" s="384"/>
      <c r="AC37" s="384"/>
      <c r="AD37" s="384"/>
      <c r="AE37" s="384"/>
      <c r="AF37" s="384"/>
    </row>
    <row r="38" spans="1:33" ht="18" customHeight="1" x14ac:dyDescent="0.2">
      <c r="A38" s="384"/>
      <c r="B38" s="421" t="s">
        <v>0</v>
      </c>
      <c r="C38" s="1586"/>
      <c r="D38" s="384"/>
      <c r="E38" s="384"/>
      <c r="F38" s="384"/>
      <c r="G38" s="384"/>
      <c r="H38" s="384"/>
      <c r="I38" s="384"/>
      <c r="J38" s="384"/>
      <c r="K38" s="384"/>
      <c r="L38" s="384"/>
      <c r="M38" s="384"/>
      <c r="N38" s="384"/>
      <c r="O38" s="384"/>
      <c r="P38" s="384"/>
      <c r="Q38" s="384"/>
      <c r="R38" s="384"/>
      <c r="S38" s="384"/>
      <c r="T38" s="384"/>
      <c r="U38" s="384"/>
      <c r="V38" s="384"/>
      <c r="W38" s="384"/>
      <c r="X38" s="384"/>
      <c r="Y38" s="384"/>
      <c r="Z38" s="384"/>
      <c r="AA38" s="384"/>
      <c r="AB38" s="384"/>
      <c r="AC38" s="384"/>
      <c r="AD38" s="384"/>
      <c r="AE38" s="384"/>
      <c r="AF38" s="384"/>
    </row>
    <row r="39" spans="1:33" x14ac:dyDescent="0.2">
      <c r="A39" s="384"/>
      <c r="B39" s="1587"/>
      <c r="C39" s="384"/>
      <c r="D39" s="384"/>
      <c r="E39" s="384"/>
      <c r="F39" s="384"/>
      <c r="G39" s="384"/>
      <c r="H39" s="384"/>
      <c r="I39" s="384"/>
      <c r="O39" s="384"/>
      <c r="P39" s="384"/>
      <c r="Q39" s="384"/>
      <c r="R39" s="384"/>
      <c r="S39" s="384"/>
      <c r="T39" s="384"/>
      <c r="U39" s="384"/>
      <c r="V39" s="384"/>
      <c r="W39" s="384"/>
      <c r="X39" s="384"/>
      <c r="Y39" s="384"/>
      <c r="Z39" s="384"/>
      <c r="AA39" s="384"/>
      <c r="AB39" s="384"/>
      <c r="AC39" s="384"/>
      <c r="AD39" s="384"/>
      <c r="AE39" s="384"/>
      <c r="AF39" s="384"/>
      <c r="AG39" s="384"/>
    </row>
    <row r="40" spans="1:33" x14ac:dyDescent="0.2">
      <c r="A40" s="384"/>
      <c r="B40" s="384"/>
      <c r="C40" s="384"/>
      <c r="D40" s="384"/>
      <c r="E40" s="384"/>
      <c r="F40" s="384"/>
      <c r="G40" s="384"/>
      <c r="H40" s="384"/>
      <c r="I40" s="384"/>
      <c r="O40" s="384"/>
      <c r="P40" s="384"/>
      <c r="Q40" s="384"/>
      <c r="R40" s="384"/>
      <c r="S40" s="384"/>
      <c r="T40" s="384"/>
      <c r="U40" s="384"/>
      <c r="V40" s="384"/>
      <c r="W40" s="384"/>
      <c r="X40" s="384"/>
      <c r="Y40" s="384"/>
      <c r="Z40" s="384"/>
      <c r="AA40" s="384"/>
      <c r="AB40" s="384"/>
      <c r="AC40" s="384"/>
      <c r="AD40" s="384"/>
      <c r="AE40" s="384"/>
      <c r="AF40" s="384"/>
      <c r="AG40" s="384"/>
    </row>
    <row r="41" spans="1:33" x14ac:dyDescent="0.2">
      <c r="A41" s="384"/>
      <c r="B41" s="384"/>
      <c r="C41" s="384"/>
      <c r="D41" s="384"/>
      <c r="E41" s="384"/>
      <c r="F41" s="384"/>
      <c r="G41" s="384"/>
      <c r="H41" s="384"/>
      <c r="I41" s="384"/>
      <c r="O41" s="384"/>
      <c r="P41" s="384"/>
      <c r="Q41" s="384"/>
      <c r="R41" s="384"/>
      <c r="S41" s="384"/>
      <c r="T41" s="384"/>
      <c r="U41" s="384"/>
      <c r="V41" s="384"/>
      <c r="W41" s="384"/>
      <c r="X41" s="384"/>
      <c r="Y41" s="384"/>
      <c r="Z41" s="384"/>
      <c r="AA41" s="384"/>
      <c r="AB41" s="384"/>
      <c r="AC41" s="384"/>
      <c r="AD41" s="384"/>
      <c r="AE41" s="384"/>
      <c r="AF41" s="384"/>
      <c r="AG41" s="384"/>
    </row>
    <row r="42" spans="1:33" x14ac:dyDescent="0.2">
      <c r="A42" s="384"/>
      <c r="B42" s="384"/>
      <c r="C42" s="384"/>
      <c r="D42" s="384"/>
      <c r="E42" s="384"/>
      <c r="F42" s="384"/>
      <c r="G42" s="384"/>
      <c r="H42" s="384"/>
      <c r="I42" s="384"/>
      <c r="J42" s="384"/>
      <c r="K42" s="384"/>
      <c r="L42" s="384"/>
      <c r="M42" s="384"/>
      <c r="N42" s="384"/>
      <c r="O42" s="384"/>
      <c r="P42" s="384"/>
      <c r="Q42" s="384"/>
      <c r="R42" s="384"/>
      <c r="S42" s="384"/>
      <c r="T42" s="384"/>
      <c r="U42" s="384"/>
      <c r="V42" s="384"/>
      <c r="W42" s="384"/>
      <c r="X42" s="384"/>
      <c r="Y42" s="384"/>
      <c r="Z42" s="384"/>
      <c r="AA42" s="384"/>
      <c r="AB42" s="384"/>
      <c r="AC42" s="384"/>
      <c r="AD42" s="384"/>
      <c r="AE42" s="384"/>
      <c r="AF42" s="384"/>
      <c r="AG42" s="384"/>
    </row>
    <row r="43" spans="1:33" x14ac:dyDescent="0.2">
      <c r="A43" s="384"/>
      <c r="B43" s="384"/>
      <c r="C43" s="384"/>
      <c r="D43" s="384"/>
      <c r="E43" s="384"/>
      <c r="F43" s="384"/>
      <c r="G43" s="384"/>
      <c r="H43" s="384"/>
      <c r="I43" s="384"/>
      <c r="J43" s="384"/>
      <c r="K43" s="384"/>
      <c r="L43" s="384"/>
      <c r="M43" s="384"/>
      <c r="N43" s="384"/>
      <c r="O43" s="384"/>
      <c r="P43" s="384"/>
      <c r="Q43" s="384"/>
      <c r="R43" s="384"/>
      <c r="S43" s="384"/>
      <c r="T43" s="384"/>
      <c r="U43" s="384"/>
      <c r="V43" s="384"/>
      <c r="W43" s="384"/>
      <c r="X43" s="384"/>
      <c r="Y43" s="384"/>
      <c r="Z43" s="384"/>
      <c r="AA43" s="384"/>
      <c r="AB43" s="384"/>
      <c r="AC43" s="384"/>
      <c r="AD43" s="384"/>
      <c r="AE43" s="384"/>
      <c r="AF43" s="384"/>
      <c r="AG43" s="384"/>
    </row>
    <row r="44" spans="1:33" x14ac:dyDescent="0.2">
      <c r="A44" s="384"/>
      <c r="B44" s="384"/>
      <c r="C44" s="384"/>
      <c r="D44" s="384"/>
      <c r="E44" s="384"/>
      <c r="F44" s="384"/>
      <c r="G44" s="384"/>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row>
    <row r="45" spans="1:33" x14ac:dyDescent="0.2">
      <c r="A45" s="384"/>
      <c r="B45" s="384"/>
      <c r="C45" s="384"/>
      <c r="D45" s="384"/>
      <c r="E45" s="384"/>
      <c r="F45" s="384"/>
      <c r="G45" s="384"/>
      <c r="H45" s="384"/>
      <c r="I45" s="384"/>
      <c r="J45" s="384"/>
      <c r="K45" s="384"/>
      <c r="L45" s="384"/>
      <c r="M45" s="384"/>
      <c r="N45" s="384"/>
      <c r="O45" s="384"/>
      <c r="P45" s="384"/>
      <c r="Q45" s="384"/>
      <c r="R45" s="384"/>
      <c r="S45" s="384"/>
      <c r="T45" s="384"/>
      <c r="U45" s="384"/>
      <c r="V45" s="384"/>
      <c r="W45" s="384"/>
      <c r="X45" s="384"/>
      <c r="Y45" s="384"/>
      <c r="Z45" s="384"/>
      <c r="AA45" s="384"/>
      <c r="AB45" s="384"/>
      <c r="AC45" s="384"/>
      <c r="AD45" s="384"/>
      <c r="AE45" s="384"/>
      <c r="AF45" s="384"/>
      <c r="AG45" s="384"/>
    </row>
    <row r="46" spans="1:33" x14ac:dyDescent="0.2">
      <c r="A46" s="384"/>
      <c r="B46" s="384"/>
      <c r="C46" s="384"/>
      <c r="D46" s="384"/>
      <c r="E46" s="384"/>
      <c r="F46" s="384"/>
      <c r="G46" s="384"/>
      <c r="H46" s="384"/>
      <c r="I46" s="384"/>
      <c r="J46" s="384"/>
      <c r="K46" s="384"/>
      <c r="L46" s="384"/>
      <c r="M46" s="384"/>
      <c r="N46" s="384"/>
      <c r="O46" s="384"/>
      <c r="P46" s="384"/>
      <c r="Q46" s="384"/>
      <c r="R46" s="384"/>
      <c r="S46" s="384"/>
      <c r="T46" s="384"/>
      <c r="U46" s="384"/>
      <c r="V46" s="384"/>
      <c r="W46" s="384"/>
      <c r="X46" s="384"/>
      <c r="Y46" s="384"/>
      <c r="Z46" s="384"/>
      <c r="AA46" s="384"/>
      <c r="AB46" s="384"/>
      <c r="AC46" s="384"/>
      <c r="AD46" s="384"/>
      <c r="AE46" s="384"/>
      <c r="AF46" s="384"/>
      <c r="AG46" s="384"/>
    </row>
    <row r="47" spans="1:33" x14ac:dyDescent="0.2">
      <c r="A47" s="384"/>
      <c r="B47" s="384"/>
      <c r="C47" s="384"/>
      <c r="D47" s="384"/>
      <c r="E47" s="384"/>
      <c r="F47" s="384"/>
      <c r="G47" s="384"/>
      <c r="H47" s="384"/>
      <c r="I47" s="384"/>
      <c r="J47" s="384"/>
      <c r="K47" s="384"/>
      <c r="L47" s="384"/>
      <c r="M47" s="384"/>
      <c r="N47" s="384"/>
      <c r="O47" s="384"/>
      <c r="P47" s="384"/>
      <c r="Q47" s="384"/>
      <c r="R47" s="384"/>
      <c r="S47" s="384"/>
      <c r="T47" s="384"/>
      <c r="U47" s="384"/>
      <c r="V47" s="384"/>
      <c r="W47" s="384"/>
      <c r="X47" s="384"/>
      <c r="Y47" s="384"/>
      <c r="Z47" s="384"/>
      <c r="AA47" s="384"/>
      <c r="AB47" s="384"/>
      <c r="AC47" s="384"/>
      <c r="AD47" s="384"/>
      <c r="AE47" s="384"/>
      <c r="AF47" s="384"/>
      <c r="AG47" s="384"/>
    </row>
    <row r="48" spans="1:33" x14ac:dyDescent="0.2">
      <c r="A48" s="384"/>
      <c r="B48" s="384"/>
      <c r="C48" s="384"/>
      <c r="D48" s="384"/>
      <c r="E48" s="384"/>
      <c r="F48" s="384"/>
      <c r="G48" s="384"/>
      <c r="H48" s="384"/>
      <c r="I48" s="384"/>
      <c r="J48" s="384"/>
      <c r="K48" s="384"/>
      <c r="L48" s="384"/>
      <c r="M48" s="384"/>
      <c r="N48" s="384"/>
      <c r="O48" s="384"/>
      <c r="P48" s="384"/>
      <c r="Q48" s="384"/>
      <c r="R48" s="384"/>
      <c r="S48" s="384"/>
      <c r="T48" s="384"/>
      <c r="U48" s="384"/>
      <c r="V48" s="384"/>
      <c r="W48" s="384"/>
      <c r="X48" s="384"/>
      <c r="Y48" s="384"/>
      <c r="Z48" s="384"/>
      <c r="AA48" s="384"/>
      <c r="AB48" s="384"/>
      <c r="AC48" s="384"/>
      <c r="AD48" s="384"/>
      <c r="AE48" s="384"/>
      <c r="AF48" s="384"/>
      <c r="AG48" s="384"/>
    </row>
    <row r="49" spans="1:33" x14ac:dyDescent="0.2">
      <c r="A49" s="384"/>
      <c r="B49" s="384"/>
      <c r="C49" s="384"/>
      <c r="D49" s="384"/>
      <c r="E49" s="384"/>
      <c r="F49" s="384"/>
      <c r="G49" s="384"/>
      <c r="H49" s="384"/>
      <c r="I49" s="384"/>
      <c r="J49" s="384"/>
      <c r="K49" s="384"/>
      <c r="L49" s="384"/>
      <c r="M49" s="384"/>
      <c r="N49" s="384"/>
      <c r="O49" s="384"/>
      <c r="P49" s="384"/>
      <c r="Q49" s="384"/>
      <c r="R49" s="384"/>
      <c r="S49" s="384"/>
      <c r="T49" s="384"/>
      <c r="U49" s="384"/>
      <c r="V49" s="384"/>
      <c r="W49" s="384"/>
      <c r="X49" s="384"/>
      <c r="Y49" s="384"/>
      <c r="Z49" s="384"/>
      <c r="AA49" s="384"/>
      <c r="AB49" s="384"/>
      <c r="AC49" s="384"/>
      <c r="AD49" s="384"/>
      <c r="AE49" s="384"/>
      <c r="AF49" s="384"/>
      <c r="AG49" s="384"/>
    </row>
    <row r="50" spans="1:33" x14ac:dyDescent="0.2">
      <c r="A50" s="384"/>
      <c r="B50" s="384"/>
      <c r="C50" s="384"/>
      <c r="D50" s="384"/>
      <c r="E50" s="384"/>
      <c r="F50" s="384"/>
      <c r="G50" s="384"/>
      <c r="H50" s="384"/>
      <c r="I50" s="384"/>
      <c r="J50" s="384"/>
      <c r="K50" s="384"/>
      <c r="L50" s="384"/>
      <c r="M50" s="384"/>
      <c r="N50" s="384"/>
      <c r="O50" s="384"/>
      <c r="P50" s="384"/>
      <c r="Q50" s="384"/>
      <c r="R50" s="384"/>
      <c r="S50" s="384"/>
      <c r="T50" s="384"/>
      <c r="U50" s="384"/>
      <c r="V50" s="384"/>
      <c r="W50" s="384"/>
      <c r="X50" s="384"/>
      <c r="Y50" s="384"/>
      <c r="Z50" s="384"/>
      <c r="AA50" s="384"/>
      <c r="AB50" s="384"/>
      <c r="AC50" s="384"/>
      <c r="AD50" s="384"/>
      <c r="AE50" s="384"/>
      <c r="AF50" s="384"/>
      <c r="AG50" s="384"/>
    </row>
    <row r="51" spans="1:33" x14ac:dyDescent="0.2">
      <c r="A51" s="384"/>
      <c r="B51" s="384"/>
      <c r="C51" s="384"/>
      <c r="D51" s="384"/>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row>
    <row r="52" spans="1:33" x14ac:dyDescent="0.2">
      <c r="A52" s="384"/>
      <c r="B52" s="384"/>
      <c r="C52" s="384"/>
      <c r="D52" s="384"/>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row>
    <row r="53" spans="1:33" x14ac:dyDescent="0.2">
      <c r="A53" s="384"/>
      <c r="B53" s="384"/>
      <c r="C53" s="384"/>
      <c r="D53" s="384"/>
      <c r="E53" s="384"/>
      <c r="F53" s="384"/>
      <c r="G53" s="384"/>
      <c r="H53" s="384"/>
      <c r="I53" s="384"/>
      <c r="J53" s="384"/>
      <c r="K53" s="384"/>
      <c r="L53" s="384"/>
      <c r="M53" s="384"/>
      <c r="N53" s="384"/>
      <c r="O53" s="384"/>
      <c r="P53" s="384"/>
      <c r="Q53" s="384"/>
      <c r="R53" s="384"/>
      <c r="S53" s="384"/>
      <c r="T53" s="384"/>
      <c r="U53" s="384"/>
      <c r="V53" s="384"/>
      <c r="W53" s="384"/>
      <c r="X53" s="384"/>
      <c r="Y53" s="384"/>
      <c r="Z53" s="384"/>
      <c r="AA53" s="384"/>
      <c r="AB53" s="384"/>
      <c r="AC53" s="384"/>
      <c r="AD53" s="384"/>
      <c r="AE53" s="384"/>
      <c r="AF53" s="384"/>
      <c r="AG53" s="384"/>
    </row>
    <row r="54" spans="1:33" x14ac:dyDescent="0.2">
      <c r="A54" s="384"/>
      <c r="B54" s="384"/>
      <c r="C54" s="384"/>
      <c r="D54" s="384"/>
      <c r="E54" s="384"/>
      <c r="F54" s="384"/>
      <c r="G54" s="384"/>
      <c r="H54" s="384"/>
      <c r="I54" s="384"/>
      <c r="J54" s="384"/>
      <c r="K54" s="384"/>
      <c r="L54" s="384"/>
      <c r="M54" s="384"/>
      <c r="N54" s="384"/>
      <c r="O54" s="384"/>
      <c r="P54" s="384"/>
      <c r="Q54" s="384"/>
      <c r="R54" s="384"/>
      <c r="S54" s="384"/>
      <c r="T54" s="384"/>
      <c r="U54" s="384"/>
      <c r="V54" s="384"/>
      <c r="W54" s="384"/>
      <c r="X54" s="384"/>
      <c r="Y54" s="384"/>
      <c r="Z54" s="384"/>
      <c r="AA54" s="384"/>
      <c r="AB54" s="384"/>
      <c r="AC54" s="384"/>
      <c r="AD54" s="384"/>
      <c r="AE54" s="384"/>
      <c r="AF54" s="384"/>
      <c r="AG54" s="384"/>
    </row>
    <row r="55" spans="1:33" x14ac:dyDescent="0.2">
      <c r="A55" s="384"/>
      <c r="B55" s="384"/>
      <c r="C55" s="384"/>
      <c r="D55" s="384"/>
      <c r="E55" s="384"/>
      <c r="F55" s="384"/>
      <c r="G55" s="384"/>
      <c r="H55" s="384"/>
      <c r="I55" s="384"/>
      <c r="J55" s="384"/>
      <c r="K55" s="384"/>
      <c r="L55" s="384"/>
      <c r="M55" s="384"/>
      <c r="N55" s="384"/>
      <c r="O55" s="384"/>
      <c r="P55" s="384"/>
      <c r="Q55" s="384"/>
      <c r="R55" s="384"/>
      <c r="S55" s="384"/>
      <c r="T55" s="384"/>
      <c r="U55" s="384"/>
      <c r="V55" s="384"/>
      <c r="W55" s="384"/>
      <c r="X55" s="384"/>
      <c r="Y55" s="384"/>
      <c r="Z55" s="384"/>
      <c r="AA55" s="384"/>
      <c r="AB55" s="384"/>
      <c r="AC55" s="384"/>
      <c r="AD55" s="384"/>
      <c r="AE55" s="384"/>
      <c r="AF55" s="384"/>
      <c r="AG55" s="384"/>
    </row>
    <row r="56" spans="1:33" x14ac:dyDescent="0.2">
      <c r="A56" s="384"/>
      <c r="B56" s="384"/>
      <c r="C56" s="384"/>
      <c r="D56" s="384"/>
      <c r="E56" s="384"/>
      <c r="F56" s="384"/>
      <c r="G56" s="384"/>
      <c r="H56" s="384"/>
      <c r="I56" s="384"/>
      <c r="J56" s="384"/>
      <c r="K56" s="384"/>
      <c r="L56" s="384"/>
      <c r="M56" s="384"/>
      <c r="N56" s="384"/>
      <c r="O56" s="384"/>
      <c r="P56" s="384"/>
      <c r="Q56" s="384"/>
      <c r="R56" s="384"/>
      <c r="S56" s="384"/>
      <c r="T56" s="384"/>
      <c r="U56" s="384"/>
      <c r="V56" s="384"/>
      <c r="W56" s="384"/>
      <c r="X56" s="384"/>
      <c r="Y56" s="384"/>
      <c r="Z56" s="384"/>
      <c r="AA56" s="384"/>
      <c r="AB56" s="384"/>
      <c r="AC56" s="384"/>
      <c r="AD56" s="384"/>
      <c r="AE56" s="384"/>
      <c r="AF56" s="384"/>
      <c r="AG56" s="384"/>
    </row>
    <row r="57" spans="1:33" x14ac:dyDescent="0.2">
      <c r="A57" s="384"/>
      <c r="B57" s="384"/>
      <c r="C57" s="384"/>
      <c r="D57" s="394"/>
      <c r="E57" s="384"/>
      <c r="F57" s="384"/>
      <c r="G57" s="384"/>
      <c r="H57" s="384"/>
      <c r="I57" s="384"/>
      <c r="J57" s="384"/>
      <c r="K57" s="384"/>
      <c r="L57" s="384"/>
      <c r="M57" s="384"/>
      <c r="N57" s="384"/>
      <c r="O57" s="384"/>
      <c r="P57" s="384"/>
      <c r="Q57" s="384"/>
      <c r="R57" s="384"/>
      <c r="S57" s="384"/>
      <c r="T57" s="384"/>
      <c r="U57" s="384"/>
      <c r="V57" s="384"/>
      <c r="W57" s="384"/>
      <c r="X57" s="384"/>
      <c r="Y57" s="384"/>
      <c r="Z57" s="384"/>
      <c r="AA57" s="384"/>
      <c r="AB57" s="384"/>
      <c r="AC57" s="384"/>
      <c r="AD57" s="384"/>
      <c r="AE57" s="384"/>
      <c r="AF57" s="384"/>
      <c r="AG57" s="384"/>
    </row>
    <row r="58" spans="1:33" x14ac:dyDescent="0.2">
      <c r="A58" s="384"/>
      <c r="B58" s="384"/>
      <c r="C58" s="384"/>
      <c r="D58" s="384"/>
      <c r="E58" s="384"/>
      <c r="F58" s="384"/>
      <c r="G58" s="384"/>
      <c r="H58" s="384"/>
      <c r="I58" s="384"/>
      <c r="J58" s="384"/>
      <c r="K58" s="384"/>
      <c r="L58" s="384"/>
      <c r="M58" s="384"/>
      <c r="N58" s="384"/>
      <c r="O58" s="384"/>
      <c r="P58" s="384"/>
      <c r="Q58" s="384"/>
      <c r="R58" s="384"/>
      <c r="S58" s="384"/>
      <c r="T58" s="384"/>
      <c r="U58" s="384"/>
      <c r="V58" s="384"/>
      <c r="W58" s="384"/>
      <c r="X58" s="384"/>
      <c r="Y58" s="384"/>
      <c r="Z58" s="384"/>
      <c r="AA58" s="384"/>
      <c r="AB58" s="384"/>
      <c r="AC58" s="384"/>
      <c r="AD58" s="384"/>
      <c r="AE58" s="384"/>
      <c r="AF58" s="384"/>
      <c r="AG58" s="384"/>
    </row>
    <row r="59" spans="1:33" x14ac:dyDescent="0.2">
      <c r="A59" s="384"/>
      <c r="B59" s="384"/>
      <c r="C59" s="384"/>
      <c r="D59" s="384"/>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row>
    <row r="60" spans="1:33" x14ac:dyDescent="0.2">
      <c r="A60" s="384"/>
      <c r="B60" s="384"/>
      <c r="C60" s="384"/>
      <c r="D60" s="384"/>
      <c r="E60" s="384"/>
      <c r="F60" s="384"/>
      <c r="G60" s="384"/>
      <c r="H60" s="384"/>
      <c r="I60" s="384"/>
      <c r="J60" s="384"/>
      <c r="K60" s="384"/>
      <c r="L60" s="384"/>
      <c r="M60" s="384"/>
      <c r="N60" s="384"/>
      <c r="O60" s="384"/>
      <c r="P60" s="384"/>
      <c r="Q60" s="384"/>
      <c r="R60" s="384"/>
      <c r="S60" s="384"/>
      <c r="T60" s="384"/>
      <c r="U60" s="384"/>
      <c r="V60" s="384"/>
      <c r="W60" s="384"/>
      <c r="X60" s="384"/>
      <c r="Y60" s="384"/>
      <c r="Z60" s="384"/>
      <c r="AA60" s="384"/>
      <c r="AB60" s="384"/>
      <c r="AC60" s="384"/>
      <c r="AD60" s="384"/>
      <c r="AE60" s="384"/>
      <c r="AF60" s="384"/>
      <c r="AG60" s="384"/>
    </row>
    <row r="61" spans="1:33" x14ac:dyDescent="0.2">
      <c r="A61" s="384"/>
      <c r="B61" s="384"/>
      <c r="C61" s="384"/>
      <c r="D61" s="384"/>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row>
    <row r="62" spans="1:33" x14ac:dyDescent="0.2">
      <c r="A62" s="384"/>
      <c r="B62" s="384"/>
      <c r="C62" s="384"/>
      <c r="D62" s="384"/>
      <c r="E62" s="384"/>
      <c r="F62" s="384"/>
      <c r="G62" s="384"/>
      <c r="H62" s="384"/>
      <c r="I62" s="384"/>
      <c r="J62" s="384"/>
      <c r="K62" s="384"/>
      <c r="L62" s="384"/>
      <c r="M62" s="384"/>
      <c r="N62" s="384"/>
      <c r="O62" s="384"/>
      <c r="P62" s="384"/>
      <c r="Q62" s="384"/>
      <c r="R62" s="384"/>
      <c r="S62" s="384"/>
      <c r="T62" s="384"/>
      <c r="U62" s="384"/>
      <c r="V62" s="384"/>
      <c r="W62" s="384"/>
      <c r="X62" s="384"/>
      <c r="Y62" s="384"/>
      <c r="Z62" s="384"/>
      <c r="AA62" s="384"/>
      <c r="AB62" s="384"/>
      <c r="AC62" s="384"/>
      <c r="AD62" s="384"/>
      <c r="AE62" s="384"/>
      <c r="AF62" s="384"/>
      <c r="AG62" s="384"/>
    </row>
    <row r="63" spans="1:33" x14ac:dyDescent="0.2">
      <c r="A63" s="384"/>
      <c r="B63" s="384"/>
      <c r="C63" s="384"/>
      <c r="D63" s="384"/>
      <c r="E63" s="384"/>
      <c r="F63" s="384"/>
      <c r="G63" s="384"/>
      <c r="H63" s="384"/>
      <c r="I63" s="384"/>
      <c r="J63" s="384"/>
      <c r="K63" s="384"/>
      <c r="L63" s="384"/>
      <c r="M63" s="384"/>
      <c r="N63" s="384"/>
      <c r="O63" s="384"/>
      <c r="P63" s="384"/>
      <c r="Q63" s="384"/>
      <c r="R63" s="384"/>
      <c r="S63" s="384"/>
      <c r="T63" s="384"/>
      <c r="U63" s="384"/>
      <c r="V63" s="384"/>
      <c r="W63" s="384"/>
      <c r="X63" s="384"/>
      <c r="Y63" s="384"/>
      <c r="Z63" s="384"/>
      <c r="AA63" s="384"/>
      <c r="AB63" s="384"/>
      <c r="AC63" s="384"/>
      <c r="AD63" s="384"/>
      <c r="AE63" s="384"/>
      <c r="AF63" s="384"/>
      <c r="AG63" s="384"/>
    </row>
    <row r="64" spans="1:33" x14ac:dyDescent="0.2">
      <c r="A64" s="384"/>
      <c r="B64" s="384"/>
      <c r="C64" s="384"/>
      <c r="D64" s="384"/>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row>
    <row r="65" spans="1:33" x14ac:dyDescent="0.2">
      <c r="A65" s="384"/>
      <c r="B65" s="384"/>
      <c r="C65" s="384"/>
      <c r="D65" s="384"/>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row>
    <row r="66" spans="1:33" x14ac:dyDescent="0.2">
      <c r="A66" s="384"/>
      <c r="B66" s="384"/>
      <c r="C66" s="384"/>
      <c r="D66" s="384"/>
      <c r="E66" s="384"/>
      <c r="F66" s="384"/>
      <c r="G66" s="384"/>
      <c r="H66" s="384"/>
      <c r="I66" s="384"/>
      <c r="J66" s="384"/>
      <c r="K66" s="384"/>
      <c r="L66" s="384"/>
      <c r="M66" s="384"/>
      <c r="N66" s="384"/>
      <c r="O66" s="384"/>
      <c r="P66" s="384"/>
      <c r="Q66" s="384"/>
      <c r="R66" s="384"/>
      <c r="S66" s="384"/>
      <c r="T66" s="384"/>
      <c r="U66" s="384"/>
      <c r="V66" s="384"/>
      <c r="W66" s="384"/>
      <c r="X66" s="384"/>
      <c r="Y66" s="384"/>
      <c r="Z66" s="384"/>
      <c r="AA66" s="384"/>
      <c r="AB66" s="384"/>
      <c r="AC66" s="384"/>
      <c r="AD66" s="384"/>
      <c r="AE66" s="384"/>
      <c r="AF66" s="384"/>
      <c r="AG66" s="384"/>
    </row>
    <row r="67" spans="1:33" x14ac:dyDescent="0.2">
      <c r="A67" s="384"/>
      <c r="B67" s="384"/>
      <c r="C67" s="384"/>
      <c r="D67" s="384"/>
      <c r="E67" s="384"/>
      <c r="F67" s="384"/>
      <c r="G67" s="384"/>
      <c r="H67" s="384"/>
      <c r="I67" s="384"/>
      <c r="J67" s="384"/>
      <c r="K67" s="384"/>
      <c r="L67" s="384"/>
      <c r="M67" s="384"/>
      <c r="N67" s="384"/>
      <c r="O67" s="384"/>
      <c r="P67" s="384"/>
      <c r="Q67" s="384"/>
      <c r="R67" s="384"/>
      <c r="S67" s="384"/>
      <c r="T67" s="384"/>
      <c r="U67" s="384"/>
      <c r="V67" s="384"/>
      <c r="W67" s="384"/>
      <c r="X67" s="384"/>
      <c r="Y67" s="384"/>
      <c r="Z67" s="384"/>
      <c r="AA67" s="384"/>
      <c r="AB67" s="384"/>
      <c r="AC67" s="384"/>
      <c r="AD67" s="384"/>
      <c r="AE67" s="384"/>
      <c r="AF67" s="384"/>
      <c r="AG67" s="384"/>
    </row>
    <row r="68" spans="1:33" x14ac:dyDescent="0.2">
      <c r="A68" s="384"/>
      <c r="B68" s="384"/>
      <c r="C68" s="384"/>
      <c r="D68" s="384"/>
      <c r="E68" s="384"/>
      <c r="F68" s="384"/>
      <c r="G68" s="384"/>
      <c r="H68" s="384"/>
      <c r="I68" s="384"/>
      <c r="J68" s="384"/>
      <c r="K68" s="384"/>
      <c r="L68" s="384"/>
      <c r="M68" s="384"/>
      <c r="N68" s="384"/>
      <c r="O68" s="384"/>
      <c r="P68" s="384"/>
      <c r="Q68" s="384"/>
      <c r="R68" s="384"/>
      <c r="S68" s="384"/>
      <c r="T68" s="384"/>
      <c r="U68" s="384"/>
      <c r="V68" s="384"/>
      <c r="W68" s="384"/>
      <c r="X68" s="384"/>
      <c r="Y68" s="384"/>
      <c r="Z68" s="384"/>
      <c r="AA68" s="384"/>
      <c r="AB68" s="384"/>
      <c r="AC68" s="384"/>
      <c r="AD68" s="384"/>
      <c r="AE68" s="384"/>
      <c r="AF68" s="384"/>
      <c r="AG68" s="384"/>
    </row>
    <row r="69" spans="1:33" x14ac:dyDescent="0.2">
      <c r="A69" s="384"/>
      <c r="B69" s="384"/>
      <c r="C69" s="384"/>
      <c r="D69" s="384"/>
      <c r="E69" s="384"/>
      <c r="F69" s="384"/>
      <c r="G69" s="384"/>
      <c r="H69" s="384"/>
      <c r="I69" s="384"/>
      <c r="J69" s="384"/>
      <c r="K69" s="384"/>
      <c r="L69" s="384"/>
      <c r="M69" s="384"/>
      <c r="N69" s="384"/>
      <c r="O69" s="384"/>
      <c r="P69" s="384"/>
      <c r="Q69" s="384"/>
      <c r="R69" s="384"/>
      <c r="S69" s="384"/>
      <c r="T69" s="384"/>
      <c r="U69" s="384"/>
      <c r="V69" s="384"/>
      <c r="W69" s="384"/>
      <c r="X69" s="384"/>
      <c r="Y69" s="384"/>
      <c r="Z69" s="384"/>
      <c r="AA69" s="384"/>
      <c r="AB69" s="384"/>
      <c r="AC69" s="384"/>
      <c r="AD69" s="384"/>
      <c r="AE69" s="384"/>
      <c r="AF69" s="384"/>
      <c r="AG69" s="384"/>
    </row>
    <row r="70" spans="1:33" x14ac:dyDescent="0.2">
      <c r="A70" s="384"/>
      <c r="B70" s="384"/>
      <c r="C70" s="384"/>
      <c r="D70" s="384"/>
      <c r="E70" s="384"/>
      <c r="F70" s="384"/>
      <c r="G70" s="384"/>
      <c r="H70" s="384"/>
      <c r="I70" s="384"/>
      <c r="J70" s="384"/>
      <c r="K70" s="384"/>
      <c r="L70" s="384"/>
      <c r="M70" s="384"/>
      <c r="N70" s="384"/>
      <c r="O70" s="384"/>
      <c r="P70" s="384"/>
      <c r="Q70" s="384"/>
      <c r="R70" s="384"/>
      <c r="S70" s="384"/>
      <c r="T70" s="384"/>
      <c r="U70" s="384"/>
      <c r="V70" s="384"/>
      <c r="W70" s="384"/>
      <c r="X70" s="384"/>
      <c r="Y70" s="384"/>
      <c r="Z70" s="384"/>
      <c r="AA70" s="384"/>
      <c r="AB70" s="384"/>
      <c r="AC70" s="384"/>
      <c r="AD70" s="384"/>
      <c r="AE70" s="384"/>
      <c r="AF70" s="384"/>
      <c r="AG70" s="384"/>
    </row>
    <row r="71" spans="1:33" x14ac:dyDescent="0.2">
      <c r="A71" s="384"/>
      <c r="B71" s="384"/>
      <c r="C71" s="384"/>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row>
    <row r="72" spans="1:33" x14ac:dyDescent="0.2">
      <c r="A72" s="384"/>
      <c r="B72" s="384"/>
      <c r="C72" s="384"/>
      <c r="D72" s="384"/>
      <c r="E72" s="384"/>
      <c r="F72" s="384"/>
      <c r="G72" s="384"/>
      <c r="H72" s="384"/>
      <c r="I72" s="384"/>
      <c r="J72" s="384"/>
      <c r="K72" s="384"/>
      <c r="L72" s="384"/>
      <c r="M72" s="384"/>
      <c r="N72" s="384"/>
      <c r="O72" s="384"/>
      <c r="P72" s="384"/>
      <c r="Q72" s="384"/>
      <c r="R72" s="384"/>
      <c r="S72" s="384"/>
      <c r="T72" s="384"/>
      <c r="U72" s="384"/>
      <c r="V72" s="384"/>
      <c r="W72" s="384"/>
      <c r="X72" s="384"/>
      <c r="Y72" s="384"/>
      <c r="Z72" s="384"/>
      <c r="AA72" s="384"/>
      <c r="AB72" s="384"/>
      <c r="AC72" s="384"/>
      <c r="AD72" s="384"/>
      <c r="AE72" s="384"/>
      <c r="AF72" s="384"/>
      <c r="AG72" s="384"/>
    </row>
    <row r="73" spans="1:33" x14ac:dyDescent="0.2">
      <c r="A73" s="384"/>
      <c r="B73" s="384"/>
      <c r="C73" s="384"/>
      <c r="D73" s="384"/>
      <c r="E73" s="384"/>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row>
    <row r="74" spans="1:33" x14ac:dyDescent="0.2">
      <c r="A74" s="384"/>
      <c r="B74" s="384"/>
      <c r="C74" s="384"/>
      <c r="D74" s="384"/>
      <c r="E74" s="384"/>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row>
    <row r="75" spans="1:33" x14ac:dyDescent="0.2">
      <c r="A75" s="384"/>
      <c r="B75" s="384"/>
      <c r="C75" s="384"/>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row>
    <row r="76" spans="1:33" x14ac:dyDescent="0.2">
      <c r="A76" s="384"/>
      <c r="B76" s="384"/>
      <c r="C76" s="384"/>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row>
    <row r="77" spans="1:33" x14ac:dyDescent="0.2">
      <c r="A77" s="384"/>
      <c r="B77" s="384"/>
      <c r="C77" s="384"/>
      <c r="D77" s="384"/>
      <c r="E77" s="384"/>
      <c r="F77" s="384"/>
      <c r="G77" s="384"/>
      <c r="H77" s="384"/>
      <c r="I77" s="384"/>
      <c r="J77" s="384"/>
      <c r="K77" s="384"/>
      <c r="L77" s="384"/>
      <c r="M77" s="384"/>
      <c r="N77" s="384"/>
      <c r="O77" s="384"/>
      <c r="P77" s="384"/>
      <c r="Q77" s="384"/>
      <c r="R77" s="384"/>
      <c r="S77" s="384"/>
      <c r="T77" s="384"/>
      <c r="U77" s="384"/>
      <c r="V77" s="384"/>
      <c r="W77" s="384"/>
      <c r="X77" s="384"/>
      <c r="Y77" s="384"/>
      <c r="Z77" s="384"/>
      <c r="AA77" s="384"/>
      <c r="AB77" s="384"/>
      <c r="AC77" s="384"/>
      <c r="AD77" s="384"/>
      <c r="AE77" s="384"/>
      <c r="AF77" s="384"/>
      <c r="AG77" s="384"/>
    </row>
    <row r="78" spans="1:33" x14ac:dyDescent="0.2">
      <c r="A78" s="384"/>
      <c r="B78" s="384"/>
      <c r="C78" s="384"/>
      <c r="D78" s="384"/>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row>
    <row r="79" spans="1:33" x14ac:dyDescent="0.2">
      <c r="A79" s="384"/>
      <c r="B79" s="384"/>
      <c r="C79" s="384"/>
      <c r="D79" s="384"/>
      <c r="E79" s="384"/>
      <c r="F79" s="384"/>
      <c r="G79" s="384"/>
      <c r="H79" s="384"/>
      <c r="I79" s="384"/>
      <c r="J79" s="384"/>
      <c r="K79" s="384"/>
      <c r="L79" s="384"/>
      <c r="M79" s="384"/>
      <c r="N79" s="384"/>
      <c r="O79" s="384"/>
      <c r="P79" s="384"/>
      <c r="Q79" s="384"/>
      <c r="R79" s="384"/>
      <c r="S79" s="384"/>
      <c r="T79" s="384"/>
      <c r="U79" s="384"/>
      <c r="V79" s="384"/>
      <c r="W79" s="384"/>
      <c r="X79" s="384"/>
      <c r="Y79" s="384"/>
      <c r="Z79" s="384"/>
      <c r="AA79" s="384"/>
      <c r="AB79" s="384"/>
      <c r="AC79" s="384"/>
      <c r="AD79" s="384"/>
      <c r="AE79" s="384"/>
      <c r="AF79" s="384"/>
      <c r="AG79" s="384"/>
    </row>
    <row r="80" spans="1:33" x14ac:dyDescent="0.2">
      <c r="A80" s="384"/>
      <c r="B80" s="384"/>
      <c r="C80" s="384"/>
      <c r="D80" s="384"/>
      <c r="E80" s="384"/>
      <c r="F80" s="384"/>
      <c r="G80" s="384"/>
      <c r="H80" s="384"/>
      <c r="I80" s="384"/>
      <c r="J80" s="384"/>
      <c r="K80" s="384"/>
      <c r="L80" s="384"/>
      <c r="M80" s="384"/>
      <c r="N80" s="384"/>
      <c r="O80" s="384"/>
      <c r="P80" s="384"/>
      <c r="Q80" s="384"/>
      <c r="R80" s="384"/>
      <c r="S80" s="384"/>
      <c r="T80" s="384"/>
      <c r="U80" s="384"/>
      <c r="V80" s="384"/>
      <c r="W80" s="384"/>
      <c r="X80" s="384"/>
      <c r="Y80" s="384"/>
      <c r="Z80" s="384"/>
      <c r="AA80" s="384"/>
      <c r="AB80" s="384"/>
      <c r="AC80" s="384"/>
      <c r="AD80" s="384"/>
      <c r="AE80" s="384"/>
      <c r="AF80" s="384"/>
      <c r="AG80" s="384"/>
    </row>
    <row r="81" spans="1:33" x14ac:dyDescent="0.2">
      <c r="A81" s="384"/>
      <c r="B81" s="384"/>
      <c r="C81" s="384"/>
      <c r="D81" s="384"/>
      <c r="E81" s="384"/>
      <c r="F81" s="384"/>
      <c r="G81" s="384"/>
      <c r="H81" s="384"/>
      <c r="I81" s="384"/>
      <c r="J81" s="384"/>
      <c r="K81" s="384"/>
      <c r="L81" s="384"/>
      <c r="M81" s="384"/>
      <c r="N81" s="384"/>
      <c r="O81" s="384"/>
      <c r="P81" s="384"/>
      <c r="Q81" s="384"/>
      <c r="R81" s="384"/>
      <c r="S81" s="384"/>
      <c r="T81" s="384"/>
      <c r="U81" s="384"/>
      <c r="V81" s="384"/>
      <c r="W81" s="384"/>
      <c r="X81" s="384"/>
      <c r="Y81" s="384"/>
      <c r="Z81" s="384"/>
      <c r="AA81" s="384"/>
      <c r="AB81" s="384"/>
      <c r="AC81" s="384"/>
      <c r="AD81" s="384"/>
      <c r="AE81" s="384"/>
      <c r="AF81" s="384"/>
      <c r="AG81" s="384"/>
    </row>
    <row r="82" spans="1:33" x14ac:dyDescent="0.2">
      <c r="A82" s="384"/>
      <c r="B82" s="384"/>
      <c r="C82" s="384"/>
      <c r="D82" s="384"/>
      <c r="E82" s="384"/>
      <c r="F82" s="384"/>
      <c r="G82" s="384"/>
      <c r="H82" s="384"/>
      <c r="I82" s="384"/>
      <c r="J82" s="384"/>
      <c r="K82" s="384"/>
      <c r="L82" s="384"/>
      <c r="M82" s="384"/>
      <c r="N82" s="384"/>
      <c r="O82" s="384"/>
      <c r="P82" s="384"/>
      <c r="Q82" s="384"/>
      <c r="R82" s="384"/>
      <c r="S82" s="384"/>
      <c r="T82" s="384"/>
      <c r="U82" s="384"/>
      <c r="V82" s="384"/>
      <c r="W82" s="384"/>
      <c r="X82" s="384"/>
      <c r="Y82" s="384"/>
      <c r="Z82" s="384"/>
      <c r="AA82" s="384"/>
      <c r="AB82" s="384"/>
      <c r="AC82" s="384"/>
      <c r="AD82" s="384"/>
      <c r="AE82" s="384"/>
      <c r="AF82" s="384"/>
      <c r="AG82" s="384"/>
    </row>
    <row r="83" spans="1:33" x14ac:dyDescent="0.2">
      <c r="A83" s="384"/>
      <c r="B83" s="384"/>
      <c r="C83" s="384"/>
      <c r="D83" s="384"/>
      <c r="E83" s="384"/>
      <c r="F83" s="384"/>
      <c r="G83" s="384"/>
      <c r="H83" s="384"/>
      <c r="I83" s="384"/>
      <c r="J83" s="384"/>
      <c r="K83" s="384"/>
      <c r="L83" s="384"/>
      <c r="M83" s="384"/>
      <c r="N83" s="384"/>
      <c r="O83" s="384"/>
      <c r="P83" s="384"/>
      <c r="Q83" s="384"/>
      <c r="R83" s="384"/>
      <c r="S83" s="384"/>
      <c r="T83" s="384"/>
      <c r="U83" s="384"/>
      <c r="V83" s="384"/>
      <c r="W83" s="384"/>
      <c r="X83" s="384"/>
      <c r="Y83" s="384"/>
      <c r="Z83" s="384"/>
      <c r="AA83" s="384"/>
      <c r="AB83" s="384"/>
      <c r="AC83" s="384"/>
      <c r="AD83" s="384"/>
      <c r="AE83" s="384"/>
      <c r="AF83" s="384"/>
      <c r="AG83" s="384"/>
    </row>
    <row r="84" spans="1:33" x14ac:dyDescent="0.2">
      <c r="A84" s="384"/>
      <c r="B84" s="384"/>
      <c r="C84" s="384"/>
      <c r="D84" s="384"/>
      <c r="E84" s="384"/>
      <c r="F84" s="384"/>
      <c r="G84" s="384"/>
      <c r="H84" s="384"/>
      <c r="I84" s="384"/>
      <c r="J84" s="384"/>
      <c r="K84" s="384"/>
      <c r="L84" s="384"/>
      <c r="M84" s="384"/>
      <c r="N84" s="384"/>
      <c r="O84" s="384"/>
      <c r="P84" s="384"/>
      <c r="Q84" s="384"/>
      <c r="R84" s="384"/>
      <c r="S84" s="384"/>
      <c r="T84" s="384"/>
      <c r="U84" s="384"/>
      <c r="V84" s="384"/>
      <c r="W84" s="384"/>
      <c r="X84" s="384"/>
      <c r="Y84" s="384"/>
      <c r="Z84" s="384"/>
      <c r="AA84" s="384"/>
      <c r="AB84" s="384"/>
      <c r="AC84" s="384"/>
      <c r="AD84" s="384"/>
      <c r="AE84" s="384"/>
      <c r="AF84" s="384"/>
      <c r="AG84" s="384"/>
    </row>
    <row r="85" spans="1:33" x14ac:dyDescent="0.2">
      <c r="A85" s="384"/>
      <c r="B85" s="384"/>
      <c r="C85" s="384"/>
      <c r="D85" s="384"/>
      <c r="E85" s="384"/>
      <c r="F85" s="384"/>
      <c r="G85" s="384"/>
      <c r="H85" s="384"/>
      <c r="I85" s="384"/>
      <c r="J85" s="384"/>
      <c r="K85" s="384"/>
      <c r="L85" s="384"/>
      <c r="M85" s="384"/>
      <c r="N85" s="384"/>
      <c r="O85" s="384"/>
      <c r="P85" s="384"/>
      <c r="Q85" s="384"/>
      <c r="R85" s="384"/>
      <c r="S85" s="384"/>
      <c r="T85" s="384"/>
      <c r="U85" s="384"/>
      <c r="V85" s="384"/>
      <c r="W85" s="384"/>
      <c r="X85" s="384"/>
      <c r="Y85" s="384"/>
      <c r="Z85" s="384"/>
      <c r="AA85" s="384"/>
      <c r="AB85" s="384"/>
      <c r="AC85" s="384"/>
      <c r="AD85" s="384"/>
      <c r="AE85" s="384"/>
      <c r="AF85" s="384"/>
      <c r="AG85" s="384"/>
    </row>
    <row r="86" spans="1:33" x14ac:dyDescent="0.2">
      <c r="A86" s="384"/>
      <c r="B86" s="384"/>
      <c r="C86" s="384"/>
      <c r="D86" s="384"/>
      <c r="E86" s="384"/>
      <c r="F86" s="384"/>
      <c r="G86" s="384"/>
      <c r="H86" s="384"/>
      <c r="I86" s="384"/>
      <c r="J86" s="384"/>
      <c r="K86" s="384"/>
      <c r="L86" s="384"/>
      <c r="M86" s="384"/>
      <c r="N86" s="384"/>
      <c r="O86" s="384"/>
      <c r="P86" s="384"/>
      <c r="Q86" s="384"/>
      <c r="R86" s="384"/>
      <c r="S86" s="384"/>
      <c r="T86" s="384"/>
      <c r="U86" s="384"/>
      <c r="V86" s="384"/>
      <c r="W86" s="384"/>
      <c r="X86" s="384"/>
      <c r="Y86" s="384"/>
      <c r="Z86" s="384"/>
      <c r="AA86" s="384"/>
      <c r="AB86" s="384"/>
      <c r="AC86" s="384"/>
      <c r="AD86" s="384"/>
      <c r="AE86" s="384"/>
      <c r="AF86" s="384"/>
      <c r="AG86" s="384"/>
    </row>
    <row r="87" spans="1:33" x14ac:dyDescent="0.2">
      <c r="A87" s="384"/>
      <c r="B87" s="384"/>
      <c r="C87" s="384"/>
      <c r="D87" s="384"/>
      <c r="E87" s="384"/>
      <c r="F87" s="384"/>
      <c r="G87" s="384"/>
      <c r="H87" s="384"/>
      <c r="I87" s="384"/>
      <c r="J87" s="384"/>
      <c r="K87" s="384"/>
      <c r="L87" s="384"/>
      <c r="M87" s="384"/>
      <c r="N87" s="384"/>
      <c r="O87" s="384"/>
      <c r="P87" s="384"/>
      <c r="Q87" s="384"/>
      <c r="R87" s="384"/>
      <c r="S87" s="384"/>
      <c r="T87" s="384"/>
      <c r="U87" s="384"/>
      <c r="V87" s="384"/>
      <c r="W87" s="384"/>
      <c r="X87" s="384"/>
      <c r="Y87" s="384"/>
      <c r="Z87" s="384"/>
      <c r="AA87" s="384"/>
      <c r="AB87" s="384"/>
      <c r="AC87" s="384"/>
      <c r="AD87" s="384"/>
      <c r="AE87" s="384"/>
      <c r="AF87" s="384"/>
      <c r="AG87" s="384"/>
    </row>
    <row r="88" spans="1:33" x14ac:dyDescent="0.2">
      <c r="A88" s="384"/>
      <c r="B88" s="384"/>
      <c r="C88" s="384"/>
      <c r="D88" s="384"/>
      <c r="E88" s="384"/>
      <c r="F88" s="384"/>
      <c r="G88" s="384"/>
      <c r="H88" s="384"/>
      <c r="I88" s="384"/>
      <c r="J88" s="384"/>
      <c r="K88" s="384"/>
      <c r="L88" s="384"/>
      <c r="M88" s="384"/>
      <c r="N88" s="384"/>
      <c r="O88" s="384"/>
      <c r="P88" s="384"/>
      <c r="Q88" s="384"/>
      <c r="R88" s="384"/>
      <c r="S88" s="384"/>
      <c r="T88" s="384"/>
      <c r="U88" s="384"/>
      <c r="V88" s="384"/>
      <c r="W88" s="384"/>
      <c r="X88" s="384"/>
      <c r="Y88" s="384"/>
      <c r="Z88" s="384"/>
      <c r="AA88" s="384"/>
      <c r="AB88" s="384"/>
      <c r="AC88" s="384"/>
      <c r="AD88" s="384"/>
      <c r="AE88" s="384"/>
      <c r="AF88" s="384"/>
      <c r="AG88" s="384"/>
    </row>
    <row r="89" spans="1:33" x14ac:dyDescent="0.2">
      <c r="A89" s="384"/>
      <c r="B89" s="384"/>
      <c r="C89" s="384"/>
      <c r="D89" s="384"/>
      <c r="E89" s="384"/>
      <c r="F89" s="384"/>
      <c r="G89" s="384"/>
      <c r="H89" s="384"/>
      <c r="I89" s="384"/>
      <c r="J89" s="384"/>
      <c r="K89" s="384"/>
      <c r="L89" s="384"/>
      <c r="M89" s="384"/>
      <c r="N89" s="384"/>
      <c r="O89" s="384"/>
      <c r="P89" s="384"/>
      <c r="Q89" s="384"/>
      <c r="R89" s="384"/>
      <c r="S89" s="384"/>
      <c r="T89" s="384"/>
      <c r="U89" s="384"/>
      <c r="V89" s="384"/>
      <c r="W89" s="384"/>
      <c r="X89" s="384"/>
      <c r="Y89" s="384"/>
      <c r="Z89" s="384"/>
      <c r="AA89" s="384"/>
      <c r="AB89" s="384"/>
      <c r="AC89" s="384"/>
      <c r="AD89" s="384"/>
      <c r="AE89" s="384"/>
      <c r="AF89" s="384"/>
      <c r="AG89" s="384"/>
    </row>
    <row r="90" spans="1:33" x14ac:dyDescent="0.2">
      <c r="A90" s="384"/>
      <c r="B90" s="384"/>
      <c r="C90" s="384"/>
      <c r="D90" s="384"/>
      <c r="E90" s="384"/>
      <c r="F90" s="384"/>
      <c r="G90" s="384"/>
      <c r="H90" s="384"/>
      <c r="I90" s="384"/>
      <c r="J90" s="384"/>
      <c r="K90" s="384"/>
      <c r="L90" s="384"/>
      <c r="M90" s="384"/>
      <c r="N90" s="384"/>
      <c r="O90" s="384"/>
      <c r="P90" s="384"/>
      <c r="Q90" s="384"/>
      <c r="R90" s="384"/>
      <c r="S90" s="384"/>
      <c r="T90" s="384"/>
      <c r="U90" s="384"/>
      <c r="V90" s="384"/>
      <c r="W90" s="384"/>
      <c r="X90" s="384"/>
      <c r="Y90" s="384"/>
      <c r="Z90" s="384"/>
      <c r="AA90" s="384"/>
      <c r="AB90" s="384"/>
      <c r="AC90" s="384"/>
      <c r="AD90" s="384"/>
      <c r="AE90" s="384"/>
      <c r="AF90" s="384"/>
      <c r="AG90" s="384"/>
    </row>
    <row r="91" spans="1:33" x14ac:dyDescent="0.2">
      <c r="A91" s="384"/>
      <c r="B91" s="384"/>
      <c r="C91" s="384"/>
      <c r="D91" s="384"/>
      <c r="E91" s="384"/>
      <c r="F91" s="384"/>
      <c r="G91" s="384"/>
      <c r="H91" s="384"/>
      <c r="I91" s="384"/>
      <c r="J91" s="384"/>
      <c r="K91" s="384"/>
      <c r="L91" s="384"/>
      <c r="M91" s="384"/>
      <c r="N91" s="384"/>
      <c r="O91" s="384"/>
      <c r="P91" s="384"/>
      <c r="Q91" s="384"/>
      <c r="R91" s="384"/>
      <c r="S91" s="384"/>
      <c r="T91" s="384"/>
      <c r="U91" s="384"/>
      <c r="V91" s="384"/>
      <c r="W91" s="384"/>
      <c r="X91" s="384"/>
      <c r="Y91" s="384"/>
      <c r="Z91" s="384"/>
      <c r="AA91" s="384"/>
      <c r="AB91" s="384"/>
      <c r="AC91" s="384"/>
      <c r="AD91" s="384"/>
      <c r="AE91" s="384"/>
      <c r="AF91" s="384"/>
      <c r="AG91" s="384"/>
    </row>
    <row r="92" spans="1:33" x14ac:dyDescent="0.2">
      <c r="A92" s="384"/>
      <c r="B92" s="384"/>
      <c r="C92" s="384"/>
      <c r="D92" s="384"/>
      <c r="E92" s="384"/>
      <c r="F92" s="384"/>
      <c r="G92" s="384"/>
      <c r="H92" s="384"/>
      <c r="I92" s="384"/>
      <c r="J92" s="384"/>
      <c r="K92" s="384"/>
      <c r="L92" s="384"/>
      <c r="M92" s="384"/>
      <c r="N92" s="384"/>
      <c r="O92" s="384"/>
      <c r="P92" s="384"/>
      <c r="Q92" s="384"/>
      <c r="R92" s="384"/>
      <c r="S92" s="384"/>
      <c r="T92" s="384"/>
      <c r="U92" s="384"/>
      <c r="V92" s="384"/>
      <c r="W92" s="384"/>
      <c r="X92" s="384"/>
      <c r="Y92" s="384"/>
      <c r="Z92" s="384"/>
      <c r="AA92" s="384"/>
      <c r="AB92" s="384"/>
      <c r="AC92" s="384"/>
      <c r="AD92" s="384"/>
      <c r="AE92" s="384"/>
      <c r="AF92" s="384"/>
      <c r="AG92" s="384"/>
    </row>
    <row r="93" spans="1:33" x14ac:dyDescent="0.2">
      <c r="A93" s="384"/>
      <c r="B93" s="384"/>
      <c r="C93" s="384"/>
      <c r="D93" s="384"/>
      <c r="E93" s="384"/>
      <c r="F93" s="384"/>
      <c r="G93" s="384"/>
      <c r="H93" s="384"/>
      <c r="I93" s="384"/>
      <c r="J93" s="384"/>
      <c r="K93" s="384"/>
      <c r="L93" s="384"/>
      <c r="M93" s="384"/>
      <c r="N93" s="384"/>
      <c r="O93" s="384"/>
      <c r="P93" s="384"/>
      <c r="Q93" s="384"/>
      <c r="R93" s="384"/>
      <c r="S93" s="384"/>
      <c r="T93" s="384"/>
      <c r="U93" s="384"/>
      <c r="V93" s="384"/>
      <c r="W93" s="384"/>
      <c r="X93" s="384"/>
      <c r="Y93" s="384"/>
      <c r="Z93" s="384"/>
      <c r="AA93" s="384"/>
      <c r="AB93" s="384"/>
      <c r="AC93" s="384"/>
      <c r="AD93" s="384"/>
      <c r="AE93" s="384"/>
      <c r="AF93" s="384"/>
      <c r="AG93" s="384"/>
    </row>
    <row r="94" spans="1:33" x14ac:dyDescent="0.2">
      <c r="A94" s="384"/>
      <c r="B94" s="384"/>
      <c r="C94" s="384"/>
      <c r="D94" s="384"/>
      <c r="E94" s="384"/>
      <c r="F94" s="384"/>
      <c r="G94" s="384"/>
      <c r="H94" s="384"/>
      <c r="I94" s="384"/>
      <c r="J94" s="384"/>
      <c r="K94" s="384"/>
      <c r="L94" s="384"/>
      <c r="M94" s="384"/>
      <c r="N94" s="384"/>
      <c r="O94" s="384"/>
      <c r="P94" s="384"/>
      <c r="Q94" s="384"/>
      <c r="R94" s="384"/>
      <c r="S94" s="384"/>
      <c r="T94" s="384"/>
      <c r="U94" s="384"/>
      <c r="V94" s="384"/>
      <c r="W94" s="384"/>
      <c r="X94" s="384"/>
      <c r="Y94" s="384"/>
      <c r="Z94" s="384"/>
      <c r="AA94" s="384"/>
      <c r="AB94" s="384"/>
      <c r="AC94" s="384"/>
      <c r="AD94" s="384"/>
      <c r="AE94" s="384"/>
      <c r="AF94" s="384"/>
      <c r="AG94" s="384"/>
    </row>
    <row r="95" spans="1:33" x14ac:dyDescent="0.2">
      <c r="A95" s="384"/>
      <c r="B95" s="384"/>
      <c r="C95" s="384"/>
      <c r="D95" s="384"/>
      <c r="E95" s="384"/>
      <c r="F95" s="384"/>
      <c r="G95" s="384"/>
      <c r="H95" s="384"/>
      <c r="I95" s="384"/>
      <c r="J95" s="384"/>
      <c r="K95" s="384"/>
      <c r="L95" s="384"/>
      <c r="M95" s="384"/>
      <c r="N95" s="384"/>
      <c r="O95" s="384"/>
      <c r="P95" s="384"/>
      <c r="Q95" s="384"/>
      <c r="R95" s="384"/>
      <c r="S95" s="384"/>
      <c r="T95" s="384"/>
      <c r="U95" s="384"/>
      <c r="V95" s="384"/>
      <c r="W95" s="384"/>
      <c r="X95" s="384"/>
      <c r="Y95" s="384"/>
      <c r="Z95" s="384"/>
      <c r="AA95" s="384"/>
      <c r="AB95" s="384"/>
      <c r="AC95" s="384"/>
      <c r="AD95" s="384"/>
      <c r="AE95" s="384"/>
      <c r="AF95" s="384"/>
      <c r="AG95" s="384"/>
    </row>
    <row r="96" spans="1:33" x14ac:dyDescent="0.2">
      <c r="A96" s="384"/>
      <c r="B96" s="384"/>
      <c r="C96" s="384"/>
      <c r="D96" s="384"/>
      <c r="E96" s="384"/>
      <c r="F96" s="384"/>
      <c r="G96" s="384"/>
      <c r="H96" s="384"/>
      <c r="I96" s="384"/>
      <c r="J96" s="384"/>
      <c r="K96" s="384"/>
      <c r="L96" s="384"/>
      <c r="M96" s="384"/>
      <c r="N96" s="384"/>
      <c r="O96" s="384"/>
      <c r="P96" s="384"/>
      <c r="Q96" s="384"/>
      <c r="R96" s="384"/>
      <c r="S96" s="384"/>
      <c r="T96" s="384"/>
      <c r="U96" s="384"/>
      <c r="V96" s="384"/>
      <c r="W96" s="384"/>
      <c r="X96" s="384"/>
      <c r="Y96" s="384"/>
      <c r="Z96" s="384"/>
      <c r="AA96" s="384"/>
      <c r="AB96" s="384"/>
      <c r="AC96" s="384"/>
      <c r="AD96" s="384"/>
      <c r="AE96" s="384"/>
      <c r="AF96" s="384"/>
      <c r="AG96" s="384"/>
    </row>
    <row r="97" spans="1:33" x14ac:dyDescent="0.2">
      <c r="A97" s="384"/>
      <c r="B97" s="384"/>
      <c r="C97" s="384"/>
      <c r="D97" s="384"/>
      <c r="E97" s="384"/>
      <c r="F97" s="384"/>
      <c r="G97" s="384"/>
      <c r="H97" s="384"/>
      <c r="I97" s="384"/>
      <c r="J97" s="384"/>
      <c r="K97" s="384"/>
      <c r="L97" s="384"/>
      <c r="M97" s="384"/>
      <c r="N97" s="384"/>
      <c r="O97" s="384"/>
      <c r="P97" s="384"/>
      <c r="Q97" s="384"/>
      <c r="R97" s="384"/>
      <c r="S97" s="384"/>
      <c r="T97" s="384"/>
      <c r="U97" s="384"/>
      <c r="V97" s="384"/>
      <c r="W97" s="384"/>
      <c r="X97" s="384"/>
      <c r="Y97" s="384"/>
      <c r="Z97" s="384"/>
      <c r="AA97" s="384"/>
      <c r="AB97" s="384"/>
      <c r="AC97" s="384"/>
      <c r="AD97" s="384"/>
      <c r="AE97" s="384"/>
      <c r="AF97" s="384"/>
      <c r="AG97" s="384"/>
    </row>
    <row r="98" spans="1:33" x14ac:dyDescent="0.2">
      <c r="A98" s="384"/>
      <c r="B98" s="384"/>
      <c r="C98" s="384"/>
      <c r="D98" s="384"/>
      <c r="E98" s="384"/>
      <c r="F98" s="384"/>
      <c r="G98" s="384"/>
      <c r="H98" s="384"/>
      <c r="I98" s="384"/>
      <c r="J98" s="384"/>
      <c r="K98" s="384"/>
      <c r="L98" s="384"/>
      <c r="M98" s="384"/>
      <c r="N98" s="384"/>
      <c r="O98" s="384"/>
      <c r="P98" s="384"/>
      <c r="Q98" s="384"/>
      <c r="R98" s="384"/>
      <c r="S98" s="384"/>
      <c r="T98" s="384"/>
      <c r="U98" s="384"/>
      <c r="V98" s="384"/>
      <c r="W98" s="384"/>
      <c r="X98" s="384"/>
      <c r="Y98" s="384"/>
      <c r="Z98" s="384"/>
      <c r="AA98" s="384"/>
      <c r="AB98" s="384"/>
      <c r="AC98" s="384"/>
      <c r="AD98" s="384"/>
      <c r="AE98" s="384"/>
      <c r="AF98" s="384"/>
      <c r="AG98" s="384"/>
    </row>
    <row r="99" spans="1:33" x14ac:dyDescent="0.2">
      <c r="A99" s="384"/>
      <c r="B99" s="384"/>
      <c r="C99" s="384"/>
      <c r="D99" s="384"/>
      <c r="E99" s="384"/>
      <c r="F99" s="384"/>
      <c r="G99" s="384"/>
      <c r="H99" s="384"/>
      <c r="I99" s="384"/>
      <c r="J99" s="384"/>
      <c r="K99" s="384"/>
      <c r="L99" s="384"/>
      <c r="M99" s="384"/>
      <c r="N99" s="384"/>
      <c r="O99" s="384"/>
      <c r="P99" s="384"/>
      <c r="Q99" s="384"/>
      <c r="R99" s="384"/>
      <c r="S99" s="384"/>
      <c r="T99" s="384"/>
      <c r="U99" s="384"/>
      <c r="V99" s="384"/>
      <c r="W99" s="384"/>
      <c r="X99" s="384"/>
      <c r="Y99" s="384"/>
      <c r="Z99" s="384"/>
      <c r="AA99" s="384"/>
      <c r="AB99" s="384"/>
      <c r="AC99" s="384"/>
      <c r="AD99" s="384"/>
      <c r="AE99" s="384"/>
      <c r="AF99" s="384"/>
      <c r="AG99" s="384"/>
    </row>
    <row r="100" spans="1:33" x14ac:dyDescent="0.2">
      <c r="A100" s="384"/>
      <c r="B100" s="384"/>
      <c r="C100" s="384"/>
      <c r="D100" s="384"/>
      <c r="E100" s="384"/>
      <c r="F100" s="384"/>
      <c r="G100" s="384"/>
      <c r="H100" s="384"/>
      <c r="I100" s="384"/>
      <c r="J100" s="384"/>
      <c r="K100" s="384"/>
      <c r="L100" s="384"/>
      <c r="M100" s="384"/>
      <c r="N100" s="384"/>
      <c r="O100" s="384"/>
      <c r="P100" s="384"/>
      <c r="Q100" s="384"/>
      <c r="R100" s="384"/>
      <c r="S100" s="384"/>
      <c r="T100" s="384"/>
      <c r="U100" s="384"/>
      <c r="V100" s="384"/>
      <c r="W100" s="384"/>
      <c r="X100" s="384"/>
      <c r="Y100" s="384"/>
      <c r="Z100" s="384"/>
      <c r="AA100" s="384"/>
      <c r="AB100" s="384"/>
      <c r="AC100" s="384"/>
      <c r="AD100" s="384"/>
      <c r="AE100" s="384"/>
      <c r="AF100" s="384"/>
      <c r="AG100" s="384"/>
    </row>
    <row r="101" spans="1:33" x14ac:dyDescent="0.2">
      <c r="A101" s="384"/>
      <c r="B101" s="384"/>
      <c r="C101" s="384"/>
      <c r="D101" s="384"/>
      <c r="E101" s="384"/>
      <c r="F101" s="384"/>
      <c r="G101" s="384"/>
      <c r="H101" s="384"/>
      <c r="I101" s="384"/>
      <c r="J101" s="384"/>
      <c r="K101" s="384"/>
      <c r="L101" s="384"/>
      <c r="M101" s="384"/>
      <c r="N101" s="384"/>
      <c r="O101" s="384"/>
      <c r="P101" s="384"/>
      <c r="Q101" s="384"/>
      <c r="R101" s="384"/>
      <c r="S101" s="384"/>
      <c r="T101" s="384"/>
      <c r="U101" s="384"/>
      <c r="V101" s="384"/>
      <c r="W101" s="384"/>
      <c r="X101" s="384"/>
      <c r="Y101" s="384"/>
      <c r="Z101" s="384"/>
      <c r="AA101" s="384"/>
      <c r="AB101" s="384"/>
      <c r="AC101" s="384"/>
      <c r="AD101" s="384"/>
      <c r="AE101" s="384"/>
      <c r="AF101" s="384"/>
      <c r="AG101" s="384"/>
    </row>
    <row r="102" spans="1:33" x14ac:dyDescent="0.2">
      <c r="A102" s="384"/>
      <c r="B102" s="384"/>
      <c r="C102" s="384"/>
      <c r="D102" s="384"/>
      <c r="E102" s="384"/>
      <c r="F102" s="384"/>
      <c r="G102" s="384"/>
      <c r="H102" s="384"/>
      <c r="I102" s="384"/>
      <c r="J102" s="384"/>
      <c r="K102" s="384"/>
      <c r="L102" s="384"/>
      <c r="M102" s="384"/>
      <c r="N102" s="384"/>
      <c r="O102" s="384"/>
      <c r="P102" s="384"/>
      <c r="Q102" s="384"/>
      <c r="R102" s="384"/>
      <c r="S102" s="384"/>
      <c r="T102" s="384"/>
      <c r="U102" s="384"/>
      <c r="V102" s="384"/>
      <c r="W102" s="384"/>
      <c r="X102" s="384"/>
      <c r="Y102" s="384"/>
      <c r="Z102" s="384"/>
      <c r="AA102" s="384"/>
      <c r="AB102" s="384"/>
      <c r="AC102" s="384"/>
      <c r="AD102" s="384"/>
      <c r="AE102" s="384"/>
      <c r="AF102" s="384"/>
      <c r="AG102" s="384"/>
    </row>
    <row r="103" spans="1:33" x14ac:dyDescent="0.2">
      <c r="A103" s="384"/>
      <c r="B103" s="384"/>
      <c r="C103" s="384"/>
      <c r="D103" s="384"/>
      <c r="E103" s="384"/>
      <c r="F103" s="384"/>
      <c r="G103" s="384"/>
      <c r="H103" s="384"/>
      <c r="I103" s="384"/>
      <c r="J103" s="384"/>
      <c r="K103" s="384"/>
      <c r="L103" s="384"/>
      <c r="M103" s="384"/>
      <c r="N103" s="384"/>
      <c r="O103" s="384"/>
      <c r="P103" s="384"/>
      <c r="Q103" s="384"/>
      <c r="R103" s="384"/>
      <c r="S103" s="384"/>
      <c r="T103" s="384"/>
      <c r="U103" s="384"/>
      <c r="V103" s="384"/>
      <c r="W103" s="384"/>
      <c r="X103" s="384"/>
      <c r="Y103" s="384"/>
      <c r="Z103" s="384"/>
      <c r="AA103" s="384"/>
      <c r="AB103" s="384"/>
      <c r="AC103" s="384"/>
      <c r="AD103" s="384"/>
      <c r="AE103" s="384"/>
      <c r="AF103" s="384"/>
      <c r="AG103" s="384"/>
    </row>
    <row r="104" spans="1:33" x14ac:dyDescent="0.2">
      <c r="A104" s="384"/>
      <c r="B104" s="384"/>
      <c r="C104" s="384"/>
      <c r="D104" s="384"/>
      <c r="E104" s="384"/>
      <c r="F104" s="384"/>
      <c r="G104" s="384"/>
      <c r="H104" s="384"/>
      <c r="I104" s="384"/>
      <c r="J104" s="384"/>
      <c r="K104" s="384"/>
      <c r="L104" s="384"/>
      <c r="M104" s="384"/>
      <c r="N104" s="384"/>
      <c r="O104" s="384"/>
      <c r="P104" s="384"/>
      <c r="Q104" s="384"/>
      <c r="R104" s="384"/>
      <c r="S104" s="384"/>
      <c r="T104" s="384"/>
      <c r="U104" s="384"/>
      <c r="V104" s="384"/>
      <c r="W104" s="384"/>
      <c r="X104" s="384"/>
      <c r="Y104" s="384"/>
      <c r="Z104" s="384"/>
      <c r="AA104" s="384"/>
      <c r="AB104" s="384"/>
      <c r="AC104" s="384"/>
      <c r="AD104" s="384"/>
      <c r="AE104" s="384"/>
      <c r="AF104" s="384"/>
      <c r="AG104" s="384"/>
    </row>
    <row r="105" spans="1:33" x14ac:dyDescent="0.2">
      <c r="A105" s="384"/>
      <c r="B105" s="384"/>
      <c r="C105" s="384"/>
      <c r="D105" s="384"/>
      <c r="E105" s="384"/>
      <c r="F105" s="384"/>
      <c r="G105" s="384"/>
      <c r="H105" s="384"/>
      <c r="I105" s="384"/>
      <c r="J105" s="384"/>
      <c r="K105" s="384"/>
      <c r="L105" s="384"/>
      <c r="M105" s="384"/>
      <c r="N105" s="384"/>
      <c r="O105" s="384"/>
      <c r="P105" s="384"/>
      <c r="Q105" s="384"/>
      <c r="R105" s="384"/>
      <c r="S105" s="384"/>
      <c r="T105" s="384"/>
      <c r="U105" s="384"/>
      <c r="V105" s="384"/>
      <c r="W105" s="384"/>
      <c r="X105" s="384"/>
      <c r="Y105" s="384"/>
      <c r="Z105" s="384"/>
      <c r="AA105" s="384"/>
      <c r="AB105" s="384"/>
      <c r="AC105" s="384"/>
      <c r="AD105" s="384"/>
      <c r="AE105" s="384"/>
      <c r="AF105" s="384"/>
      <c r="AG105" s="384"/>
    </row>
    <row r="106" spans="1:33" x14ac:dyDescent="0.2">
      <c r="A106" s="384"/>
      <c r="B106" s="384"/>
      <c r="C106" s="384"/>
      <c r="D106" s="384"/>
      <c r="E106" s="384"/>
      <c r="F106" s="384"/>
      <c r="G106" s="384"/>
      <c r="H106" s="384"/>
      <c r="I106" s="384"/>
      <c r="J106" s="384"/>
      <c r="K106" s="384"/>
      <c r="L106" s="384"/>
      <c r="M106" s="384"/>
      <c r="N106" s="384"/>
      <c r="O106" s="384"/>
      <c r="P106" s="384"/>
      <c r="Q106" s="384"/>
      <c r="R106" s="384"/>
      <c r="S106" s="384"/>
      <c r="T106" s="384"/>
      <c r="U106" s="384"/>
      <c r="V106" s="384"/>
      <c r="W106" s="384"/>
      <c r="X106" s="384"/>
      <c r="Y106" s="384"/>
      <c r="Z106" s="384"/>
      <c r="AA106" s="384"/>
      <c r="AB106" s="384"/>
      <c r="AC106" s="384"/>
      <c r="AD106" s="384"/>
      <c r="AE106" s="384"/>
      <c r="AF106" s="384"/>
      <c r="AG106" s="384"/>
    </row>
    <row r="107" spans="1:33" x14ac:dyDescent="0.2">
      <c r="A107" s="384"/>
      <c r="B107" s="384"/>
      <c r="C107" s="384"/>
      <c r="D107" s="384"/>
      <c r="E107" s="384"/>
      <c r="F107" s="384"/>
      <c r="G107" s="384"/>
      <c r="H107" s="384"/>
      <c r="I107" s="384"/>
      <c r="J107" s="384"/>
      <c r="K107" s="384"/>
      <c r="L107" s="384"/>
      <c r="M107" s="384"/>
      <c r="N107" s="384"/>
      <c r="O107" s="384"/>
      <c r="P107" s="384"/>
      <c r="Q107" s="384"/>
      <c r="R107" s="384"/>
      <c r="S107" s="384"/>
      <c r="T107" s="384"/>
      <c r="U107" s="384"/>
      <c r="V107" s="384"/>
      <c r="W107" s="384"/>
      <c r="X107" s="384"/>
      <c r="Y107" s="384"/>
      <c r="Z107" s="384"/>
      <c r="AA107" s="384"/>
      <c r="AB107" s="384"/>
      <c r="AC107" s="384"/>
      <c r="AD107" s="384"/>
      <c r="AE107" s="384"/>
      <c r="AF107" s="384"/>
      <c r="AG107" s="384"/>
    </row>
    <row r="108" spans="1:33" x14ac:dyDescent="0.2">
      <c r="A108" s="384"/>
      <c r="B108" s="384"/>
      <c r="C108" s="384"/>
      <c r="D108" s="384"/>
      <c r="E108" s="384"/>
      <c r="F108" s="384"/>
      <c r="G108" s="384"/>
      <c r="H108" s="384"/>
      <c r="I108" s="384"/>
      <c r="J108" s="384"/>
      <c r="K108" s="384"/>
      <c r="L108" s="384"/>
      <c r="M108" s="384"/>
      <c r="N108" s="384"/>
      <c r="O108" s="384"/>
      <c r="P108" s="384"/>
      <c r="Q108" s="384"/>
      <c r="R108" s="384"/>
      <c r="S108" s="384"/>
      <c r="T108" s="384"/>
      <c r="U108" s="384"/>
      <c r="V108" s="384"/>
      <c r="W108" s="384"/>
      <c r="X108" s="384"/>
      <c r="Y108" s="384"/>
      <c r="Z108" s="384"/>
      <c r="AA108" s="384"/>
      <c r="AB108" s="384"/>
      <c r="AC108" s="384"/>
      <c r="AD108" s="384"/>
      <c r="AE108" s="384"/>
      <c r="AF108" s="384"/>
      <c r="AG108" s="384"/>
    </row>
    <row r="109" spans="1:33" x14ac:dyDescent="0.2">
      <c r="A109" s="384"/>
      <c r="B109" s="384"/>
      <c r="C109" s="384"/>
      <c r="D109" s="384"/>
      <c r="E109" s="384"/>
      <c r="F109" s="384"/>
      <c r="G109" s="384"/>
      <c r="H109" s="384"/>
      <c r="I109" s="384"/>
      <c r="J109" s="384"/>
      <c r="K109" s="384"/>
      <c r="L109" s="384"/>
      <c r="M109" s="384"/>
      <c r="N109" s="384"/>
      <c r="O109" s="384"/>
      <c r="P109" s="384"/>
      <c r="Q109" s="384"/>
      <c r="R109" s="384"/>
      <c r="S109" s="384"/>
      <c r="T109" s="384"/>
      <c r="U109" s="384"/>
      <c r="V109" s="384"/>
      <c r="W109" s="384"/>
      <c r="X109" s="384"/>
      <c r="Y109" s="384"/>
      <c r="Z109" s="384"/>
      <c r="AA109" s="384"/>
      <c r="AB109" s="384"/>
      <c r="AC109" s="384"/>
      <c r="AD109" s="384"/>
      <c r="AE109" s="384"/>
      <c r="AF109" s="384"/>
      <c r="AG109" s="384"/>
    </row>
    <row r="110" spans="1:33" x14ac:dyDescent="0.2">
      <c r="A110" s="384"/>
      <c r="B110" s="384"/>
      <c r="C110" s="384"/>
      <c r="D110" s="384"/>
      <c r="E110" s="384"/>
      <c r="F110" s="384"/>
      <c r="G110" s="384"/>
      <c r="H110" s="384"/>
      <c r="I110" s="384"/>
      <c r="J110" s="384"/>
      <c r="K110" s="384"/>
      <c r="L110" s="384"/>
      <c r="M110" s="384"/>
      <c r="N110" s="384"/>
      <c r="O110" s="384"/>
      <c r="P110" s="384"/>
      <c r="Q110" s="384"/>
      <c r="R110" s="384"/>
      <c r="S110" s="384"/>
      <c r="T110" s="384"/>
      <c r="U110" s="384"/>
      <c r="V110" s="384"/>
      <c r="W110" s="384"/>
      <c r="X110" s="384"/>
      <c r="Y110" s="384"/>
      <c r="Z110" s="384"/>
      <c r="AA110" s="384"/>
      <c r="AB110" s="384"/>
      <c r="AC110" s="384"/>
      <c r="AD110" s="384"/>
      <c r="AE110" s="384"/>
      <c r="AF110" s="384"/>
      <c r="AG110" s="384"/>
    </row>
    <row r="111" spans="1:33" x14ac:dyDescent="0.2">
      <c r="A111" s="384"/>
      <c r="B111" s="384"/>
      <c r="C111" s="384"/>
      <c r="D111" s="384"/>
      <c r="E111" s="384"/>
      <c r="F111" s="384"/>
      <c r="G111" s="384"/>
      <c r="H111" s="384"/>
      <c r="I111" s="384"/>
      <c r="J111" s="384"/>
      <c r="K111" s="384"/>
      <c r="L111" s="384"/>
      <c r="M111" s="384"/>
      <c r="N111" s="384"/>
      <c r="O111" s="384"/>
      <c r="P111" s="384"/>
      <c r="Q111" s="384"/>
      <c r="R111" s="384"/>
      <c r="S111" s="384"/>
      <c r="T111" s="384"/>
      <c r="U111" s="384"/>
      <c r="V111" s="384"/>
      <c r="W111" s="384"/>
      <c r="X111" s="384"/>
      <c r="Y111" s="384"/>
      <c r="Z111" s="384"/>
      <c r="AA111" s="384"/>
      <c r="AB111" s="384"/>
      <c r="AC111" s="384"/>
      <c r="AD111" s="384"/>
      <c r="AE111" s="384"/>
      <c r="AF111" s="384"/>
      <c r="AG111" s="384"/>
    </row>
    <row r="112" spans="1:33" x14ac:dyDescent="0.2">
      <c r="A112" s="384"/>
      <c r="B112" s="384"/>
      <c r="C112" s="384"/>
      <c r="D112" s="384"/>
      <c r="E112" s="384"/>
      <c r="F112" s="384"/>
      <c r="G112" s="384"/>
      <c r="H112" s="384"/>
      <c r="I112" s="384"/>
      <c r="J112" s="384"/>
      <c r="K112" s="384"/>
      <c r="L112" s="384"/>
      <c r="M112" s="384"/>
      <c r="N112" s="384"/>
      <c r="O112" s="384"/>
      <c r="P112" s="384"/>
      <c r="Q112" s="384"/>
      <c r="R112" s="384"/>
      <c r="S112" s="384"/>
      <c r="T112" s="384"/>
      <c r="U112" s="384"/>
      <c r="V112" s="384"/>
      <c r="W112" s="384"/>
      <c r="X112" s="384"/>
      <c r="Y112" s="384"/>
      <c r="Z112" s="384"/>
      <c r="AA112" s="384"/>
      <c r="AB112" s="384"/>
      <c r="AC112" s="384"/>
      <c r="AD112" s="384"/>
      <c r="AE112" s="384"/>
      <c r="AF112" s="384"/>
      <c r="AG112" s="384"/>
    </row>
    <row r="113" spans="1:33" x14ac:dyDescent="0.2">
      <c r="A113" s="384"/>
      <c r="B113" s="384"/>
      <c r="C113" s="384"/>
      <c r="D113" s="384"/>
      <c r="E113" s="384"/>
      <c r="F113" s="384"/>
      <c r="G113" s="384"/>
      <c r="H113" s="384"/>
      <c r="I113" s="384"/>
      <c r="J113" s="384"/>
      <c r="K113" s="384"/>
      <c r="L113" s="384"/>
      <c r="M113" s="384"/>
      <c r="N113" s="384"/>
      <c r="O113" s="384"/>
      <c r="P113" s="384"/>
      <c r="Q113" s="384"/>
      <c r="R113" s="384"/>
      <c r="S113" s="384"/>
      <c r="T113" s="384"/>
      <c r="U113" s="384"/>
      <c r="V113" s="384"/>
      <c r="W113" s="384"/>
      <c r="X113" s="384"/>
      <c r="Y113" s="384"/>
      <c r="Z113" s="384"/>
      <c r="AA113" s="384"/>
      <c r="AB113" s="384"/>
      <c r="AC113" s="384"/>
      <c r="AD113" s="384"/>
      <c r="AE113" s="384"/>
      <c r="AF113" s="384"/>
      <c r="AG113" s="384"/>
    </row>
    <row r="114" spans="1:33" x14ac:dyDescent="0.2">
      <c r="A114" s="384"/>
      <c r="B114" s="384"/>
      <c r="C114" s="384"/>
      <c r="D114" s="384"/>
      <c r="E114" s="384"/>
      <c r="F114" s="384"/>
      <c r="G114" s="384"/>
      <c r="H114" s="384"/>
      <c r="I114" s="384"/>
      <c r="J114" s="384"/>
      <c r="K114" s="384"/>
      <c r="L114" s="384"/>
      <c r="M114" s="384"/>
      <c r="N114" s="384"/>
      <c r="O114" s="384"/>
      <c r="P114" s="384"/>
      <c r="Q114" s="384"/>
      <c r="R114" s="384"/>
      <c r="S114" s="384"/>
      <c r="T114" s="384"/>
      <c r="U114" s="384"/>
      <c r="V114" s="384"/>
      <c r="W114" s="384"/>
      <c r="X114" s="384"/>
      <c r="Y114" s="384"/>
      <c r="Z114" s="384"/>
      <c r="AA114" s="384"/>
      <c r="AB114" s="384"/>
      <c r="AC114" s="384"/>
      <c r="AD114" s="384"/>
      <c r="AE114" s="384"/>
      <c r="AF114" s="384"/>
      <c r="AG114" s="384"/>
    </row>
    <row r="115" spans="1:33" x14ac:dyDescent="0.2">
      <c r="A115" s="384"/>
      <c r="B115" s="384"/>
      <c r="C115" s="384"/>
      <c r="D115" s="384"/>
      <c r="E115" s="384"/>
      <c r="F115" s="384"/>
      <c r="G115" s="384"/>
      <c r="H115" s="384"/>
      <c r="I115" s="384"/>
      <c r="J115" s="384"/>
      <c r="K115" s="384"/>
      <c r="L115" s="384"/>
      <c r="M115" s="384"/>
      <c r="N115" s="384"/>
      <c r="O115" s="384"/>
      <c r="P115" s="384"/>
      <c r="Q115" s="384"/>
      <c r="R115" s="384"/>
      <c r="S115" s="384"/>
      <c r="T115" s="384"/>
      <c r="U115" s="384"/>
      <c r="V115" s="384"/>
      <c r="W115" s="384"/>
      <c r="X115" s="384"/>
      <c r="Y115" s="384"/>
      <c r="Z115" s="384"/>
      <c r="AA115" s="384"/>
      <c r="AB115" s="384"/>
      <c r="AC115" s="384"/>
      <c r="AD115" s="384"/>
      <c r="AE115" s="384"/>
      <c r="AF115" s="384"/>
      <c r="AG115" s="384"/>
    </row>
    <row r="116" spans="1:33" x14ac:dyDescent="0.2">
      <c r="A116" s="384"/>
      <c r="B116" s="384"/>
      <c r="C116" s="384"/>
      <c r="D116" s="384"/>
      <c r="E116" s="384"/>
      <c r="F116" s="384"/>
      <c r="G116" s="384"/>
      <c r="H116" s="384"/>
      <c r="I116" s="384"/>
      <c r="J116" s="384"/>
      <c r="K116" s="384"/>
      <c r="L116" s="384"/>
      <c r="M116" s="384"/>
      <c r="N116" s="384"/>
      <c r="O116" s="384"/>
      <c r="P116" s="384"/>
      <c r="Q116" s="384"/>
      <c r="R116" s="384"/>
      <c r="S116" s="384"/>
      <c r="T116" s="384"/>
      <c r="U116" s="384"/>
      <c r="V116" s="384"/>
      <c r="W116" s="384"/>
      <c r="X116" s="384"/>
      <c r="Y116" s="384"/>
      <c r="Z116" s="384"/>
      <c r="AA116" s="384"/>
      <c r="AB116" s="384"/>
      <c r="AC116" s="384"/>
      <c r="AD116" s="384"/>
      <c r="AE116" s="384"/>
      <c r="AF116" s="384"/>
      <c r="AG116" s="384"/>
    </row>
    <row r="117" spans="1:33" x14ac:dyDescent="0.2">
      <c r="A117" s="384"/>
      <c r="B117" s="384"/>
      <c r="C117" s="384"/>
      <c r="D117" s="384"/>
      <c r="E117" s="384"/>
      <c r="F117" s="384"/>
      <c r="G117" s="384"/>
      <c r="H117" s="384"/>
      <c r="I117" s="384"/>
      <c r="J117" s="384"/>
      <c r="K117" s="384"/>
      <c r="L117" s="384"/>
      <c r="M117" s="384"/>
      <c r="N117" s="384"/>
      <c r="O117" s="384"/>
      <c r="P117" s="384"/>
      <c r="Q117" s="384"/>
      <c r="R117" s="384"/>
      <c r="S117" s="384"/>
      <c r="T117" s="384"/>
      <c r="U117" s="384"/>
      <c r="V117" s="384"/>
      <c r="W117" s="384"/>
      <c r="X117" s="384"/>
      <c r="Y117" s="384"/>
      <c r="Z117" s="384"/>
      <c r="AA117" s="384"/>
      <c r="AB117" s="384"/>
      <c r="AC117" s="384"/>
      <c r="AD117" s="384"/>
      <c r="AE117" s="384"/>
      <c r="AF117" s="384"/>
      <c r="AG117" s="384"/>
    </row>
    <row r="118" spans="1:33" x14ac:dyDescent="0.2">
      <c r="A118" s="384"/>
      <c r="B118" s="384"/>
      <c r="C118" s="384"/>
      <c r="D118" s="384"/>
      <c r="E118" s="384"/>
      <c r="F118" s="384"/>
      <c r="G118" s="384"/>
      <c r="H118" s="384"/>
      <c r="I118" s="384"/>
      <c r="J118" s="384"/>
      <c r="K118" s="384"/>
      <c r="L118" s="384"/>
      <c r="M118" s="384"/>
      <c r="N118" s="384"/>
      <c r="O118" s="384"/>
      <c r="P118" s="384"/>
      <c r="Q118" s="384"/>
      <c r="R118" s="384"/>
      <c r="S118" s="384"/>
      <c r="T118" s="384"/>
      <c r="U118" s="384"/>
      <c r="V118" s="384"/>
      <c r="W118" s="384"/>
      <c r="X118" s="384"/>
      <c r="Y118" s="384"/>
      <c r="Z118" s="384"/>
      <c r="AA118" s="384"/>
      <c r="AB118" s="384"/>
      <c r="AC118" s="384"/>
      <c r="AD118" s="384"/>
      <c r="AE118" s="384"/>
      <c r="AF118" s="384"/>
      <c r="AG118" s="384"/>
    </row>
  </sheetData>
  <sheetProtection algorithmName="SHA-512" hashValue="yseDmnX/8fXyh8Sp52mAk2gwyjZBPjkusGFISIVsKhqLrOKd7+3UOHmkw/FsJW4pYRrtfJfyQYeZUi5kYc9IdQ==" saltValue="DfTy1RJsczrKUzuGJXtERA==" spinCount="100000" sheet="1" objects="1" scenarios="1" selectLockedCells="1" selectUnlockedCells="1"/>
  <mergeCells count="25">
    <mergeCell ref="B36:D36"/>
    <mergeCell ref="B37:D37"/>
    <mergeCell ref="G37:I37"/>
    <mergeCell ref="G35:L36"/>
    <mergeCell ref="B1:I3"/>
    <mergeCell ref="B11:D11"/>
    <mergeCell ref="B12:D12"/>
    <mergeCell ref="G11:I11"/>
    <mergeCell ref="G12:I12"/>
    <mergeCell ref="B10:D10"/>
    <mergeCell ref="G13:I13"/>
    <mergeCell ref="B13:D13"/>
    <mergeCell ref="G10:I10"/>
    <mergeCell ref="B23:D23"/>
    <mergeCell ref="B24:D24"/>
    <mergeCell ref="I34:L34"/>
    <mergeCell ref="G25:I25"/>
    <mergeCell ref="B25:D25"/>
    <mergeCell ref="G23:I23"/>
    <mergeCell ref="G24:I24"/>
    <mergeCell ref="G33:I33"/>
    <mergeCell ref="G30:I30"/>
    <mergeCell ref="B31:D31"/>
    <mergeCell ref="B30:D30"/>
    <mergeCell ref="G31:I31"/>
  </mergeCells>
  <phoneticPr fontId="10" type="noConversion"/>
  <pageMargins left="0.27559055118110237" right="0.35433070866141736" top="0.31496062992125984" bottom="0.31496062992125984" header="0.31496062992125984" footer="0.31496062992125984"/>
  <pageSetup paperSize="9" scale="90"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5F9AA-A918-4402-B457-DF56993968F2}">
  <sheetPr codeName="Taul14">
    <tabColor rgb="FFFFC000"/>
  </sheetPr>
  <dimension ref="B2:AG73"/>
  <sheetViews>
    <sheetView showGridLines="0" workbookViewId="0">
      <selection activeCell="I3" sqref="I3"/>
    </sheetView>
  </sheetViews>
  <sheetFormatPr defaultRowHeight="12.75" x14ac:dyDescent="0.2"/>
  <cols>
    <col min="1" max="1" width="1.85546875" customWidth="1"/>
    <col min="2" max="2" width="5.28515625" style="95" customWidth="1"/>
    <col min="3" max="3" width="51.28515625" customWidth="1"/>
    <col min="4" max="4" width="9.85546875" hidden="1" customWidth="1"/>
    <col min="5" max="6" width="9.140625" customWidth="1"/>
    <col min="7" max="7" width="8.7109375" customWidth="1"/>
    <col min="8" max="8" width="8.5703125" customWidth="1"/>
    <col min="9" max="10" width="10.85546875" customWidth="1"/>
    <col min="11" max="11" width="10" customWidth="1"/>
    <col min="12" max="12" width="1.42578125" customWidth="1"/>
    <col min="13" max="14" width="9.140625" customWidth="1"/>
    <col min="15" max="15" width="8.28515625" customWidth="1"/>
    <col min="16" max="16" width="8.7109375" customWidth="1"/>
    <col min="17" max="17" width="10.85546875" customWidth="1"/>
    <col min="18" max="18" width="11.140625" customWidth="1"/>
    <col min="19" max="19" width="9.7109375" customWidth="1"/>
    <col min="20" max="20" width="1.42578125" customWidth="1"/>
    <col min="21" max="22" width="9.140625" customWidth="1"/>
    <col min="23" max="23" width="8.42578125" customWidth="1"/>
    <col min="24" max="24" width="8.7109375" customWidth="1"/>
    <col min="25" max="25" width="10.7109375" customWidth="1"/>
    <col min="26" max="26" width="11.140625" customWidth="1"/>
    <col min="27" max="27" width="10" customWidth="1"/>
    <col min="28" max="28" width="9.140625" customWidth="1"/>
  </cols>
  <sheetData>
    <row r="2" spans="2:28" ht="15.75" x14ac:dyDescent="0.25">
      <c r="B2" s="285"/>
      <c r="C2" s="257"/>
      <c r="D2" s="257"/>
      <c r="E2" s="1929" t="s">
        <v>534</v>
      </c>
      <c r="F2" s="1929"/>
      <c r="G2" s="257"/>
      <c r="H2" s="257"/>
      <c r="I2" s="257"/>
      <c r="J2" s="257"/>
      <c r="K2" s="257"/>
      <c r="L2" s="257"/>
      <c r="M2" s="1636"/>
      <c r="N2" s="1636"/>
      <c r="O2" s="257"/>
      <c r="P2" s="257"/>
      <c r="Q2" s="257"/>
      <c r="R2" s="257"/>
      <c r="S2" s="257"/>
      <c r="T2" s="257"/>
      <c r="V2" s="687"/>
      <c r="W2" s="687"/>
      <c r="X2" s="687"/>
      <c r="Y2" s="687"/>
      <c r="Z2" s="687"/>
      <c r="AA2" s="687"/>
      <c r="AB2" s="687"/>
    </row>
    <row r="3" spans="2:28" ht="39.75" customHeight="1" x14ac:dyDescent="0.2">
      <c r="B3" s="285"/>
      <c r="C3" s="256"/>
      <c r="D3" s="256"/>
      <c r="E3" s="944" t="s">
        <v>871</v>
      </c>
      <c r="F3" s="944"/>
      <c r="G3" s="944"/>
      <c r="H3" s="944"/>
      <c r="I3" s="944"/>
      <c r="J3" s="944"/>
      <c r="K3" s="944"/>
      <c r="L3" s="944"/>
      <c r="M3" s="944"/>
      <c r="N3" s="944"/>
      <c r="O3" s="944"/>
      <c r="P3" s="944"/>
      <c r="Q3" s="256"/>
      <c r="R3" s="256"/>
      <c r="S3" s="256"/>
      <c r="T3" s="256"/>
      <c r="V3" s="730"/>
      <c r="W3" s="730"/>
      <c r="X3" s="730"/>
      <c r="Y3" s="730"/>
      <c r="Z3" s="730"/>
      <c r="AA3" s="730"/>
      <c r="AB3" s="730"/>
    </row>
    <row r="4" spans="2:28" s="2" customFormat="1" ht="15.75" customHeight="1" x14ac:dyDescent="0.2">
      <c r="B4" s="697"/>
      <c r="C4" s="473"/>
      <c r="D4" s="473"/>
      <c r="E4" s="1317" t="s">
        <v>0</v>
      </c>
      <c r="F4" s="1317"/>
      <c r="G4" s="1318" t="s">
        <v>567</v>
      </c>
      <c r="H4" s="1319">
        <v>2024</v>
      </c>
      <c r="I4" s="1317"/>
      <c r="J4" s="1317"/>
      <c r="K4" s="1317"/>
      <c r="L4" s="473"/>
      <c r="M4" s="1317" t="s">
        <v>0</v>
      </c>
      <c r="N4" s="1317"/>
      <c r="O4" s="1318" t="s">
        <v>567</v>
      </c>
      <c r="P4" s="1319">
        <v>2023</v>
      </c>
      <c r="Q4" s="1317"/>
      <c r="R4" s="1317"/>
      <c r="S4" s="1317"/>
      <c r="T4" s="729"/>
      <c r="U4" s="1317"/>
      <c r="V4" s="1317"/>
      <c r="W4" s="1318" t="s">
        <v>567</v>
      </c>
      <c r="X4" s="1319">
        <v>2022</v>
      </c>
      <c r="Y4" s="1317"/>
      <c r="Z4" s="1317"/>
      <c r="AA4" s="1317"/>
      <c r="AB4" s="1328"/>
    </row>
    <row r="5" spans="2:28" ht="14.25" customHeight="1" x14ac:dyDescent="0.2">
      <c r="B5" s="285"/>
      <c r="C5" s="256"/>
      <c r="D5" s="1933" t="s">
        <v>551</v>
      </c>
      <c r="E5" s="933" t="s">
        <v>476</v>
      </c>
      <c r="F5" s="928" t="s">
        <v>477</v>
      </c>
      <c r="G5" s="928" t="s">
        <v>478</v>
      </c>
      <c r="H5" s="928" t="s">
        <v>478</v>
      </c>
      <c r="I5" s="926" t="s">
        <v>572</v>
      </c>
      <c r="J5" s="1927" t="s">
        <v>780</v>
      </c>
      <c r="K5" s="1930" t="s">
        <v>550</v>
      </c>
      <c r="L5" s="925"/>
      <c r="M5" s="929" t="s">
        <v>476</v>
      </c>
      <c r="N5" s="928" t="s">
        <v>477</v>
      </c>
      <c r="O5" s="928" t="s">
        <v>478</v>
      </c>
      <c r="P5" s="928" t="s">
        <v>478</v>
      </c>
      <c r="Q5" s="926" t="s">
        <v>572</v>
      </c>
      <c r="R5" s="1927" t="s">
        <v>780</v>
      </c>
      <c r="S5" s="1936" t="s">
        <v>550</v>
      </c>
      <c r="T5" s="826"/>
      <c r="U5" s="933" t="s">
        <v>476</v>
      </c>
      <c r="V5" s="928" t="s">
        <v>477</v>
      </c>
      <c r="W5" s="928" t="s">
        <v>478</v>
      </c>
      <c r="X5" s="928" t="s">
        <v>478</v>
      </c>
      <c r="Y5" s="926" t="s">
        <v>572</v>
      </c>
      <c r="Z5" s="1927" t="s">
        <v>780</v>
      </c>
      <c r="AA5" s="1936" t="s">
        <v>550</v>
      </c>
    </row>
    <row r="6" spans="2:28" ht="20.100000000000001" customHeight="1" x14ac:dyDescent="0.2">
      <c r="B6" s="896" t="s">
        <v>517</v>
      </c>
      <c r="C6" s="931" t="s">
        <v>563</v>
      </c>
      <c r="D6" s="1938"/>
      <c r="E6" s="934" t="s">
        <v>479</v>
      </c>
      <c r="F6" s="935" t="s">
        <v>480</v>
      </c>
      <c r="G6" s="935" t="s">
        <v>548</v>
      </c>
      <c r="H6" s="935" t="s">
        <v>549</v>
      </c>
      <c r="I6" s="932" t="s">
        <v>573</v>
      </c>
      <c r="J6" s="1928"/>
      <c r="K6" s="1931"/>
      <c r="L6" s="942"/>
      <c r="M6" s="943" t="s">
        <v>479</v>
      </c>
      <c r="N6" s="935" t="s">
        <v>480</v>
      </c>
      <c r="O6" s="935" t="s">
        <v>548</v>
      </c>
      <c r="P6" s="935" t="s">
        <v>549</v>
      </c>
      <c r="Q6" s="932" t="s">
        <v>573</v>
      </c>
      <c r="R6" s="1928"/>
      <c r="S6" s="1937"/>
      <c r="T6" s="826"/>
      <c r="U6" s="934" t="s">
        <v>479</v>
      </c>
      <c r="V6" s="935" t="s">
        <v>480</v>
      </c>
      <c r="W6" s="935" t="s">
        <v>548</v>
      </c>
      <c r="X6" s="935" t="s">
        <v>549</v>
      </c>
      <c r="Y6" s="932" t="s">
        <v>573</v>
      </c>
      <c r="Z6" s="1928"/>
      <c r="AA6" s="1937"/>
    </row>
    <row r="7" spans="2:28" ht="15" x14ac:dyDescent="0.2">
      <c r="B7" s="684">
        <v>1</v>
      </c>
      <c r="C7" s="705" t="s">
        <v>481</v>
      </c>
      <c r="D7" s="1330">
        <v>101</v>
      </c>
      <c r="E7" s="1410">
        <v>3</v>
      </c>
      <c r="F7" s="1411">
        <v>172000</v>
      </c>
      <c r="G7" s="1412">
        <v>9.8000000000000004E-2</v>
      </c>
      <c r="H7" s="1412">
        <v>3.3000000000000002E-2</v>
      </c>
      <c r="I7" s="1413">
        <f t="shared" ref="I7:I20" si="0">F7*H7</f>
        <v>5676</v>
      </c>
      <c r="J7" s="1414">
        <v>6.4000000000000001E-2</v>
      </c>
      <c r="K7" s="1412">
        <v>0.02</v>
      </c>
      <c r="L7" s="1409"/>
      <c r="M7" s="1410">
        <v>2</v>
      </c>
      <c r="N7" s="1411">
        <v>102000</v>
      </c>
      <c r="O7" s="1412">
        <v>6.7000000000000004E-2</v>
      </c>
      <c r="P7" s="1412">
        <v>2.3E-2</v>
      </c>
      <c r="Q7" s="1413">
        <f t="shared" ref="Q7:Q20" si="1">N7*P7</f>
        <v>2346</v>
      </c>
      <c r="R7" s="1414">
        <v>0.06</v>
      </c>
      <c r="S7" s="1412">
        <v>9.8000000000000004E-2</v>
      </c>
      <c r="T7" s="940"/>
      <c r="U7" s="1331">
        <v>3</v>
      </c>
      <c r="V7" s="1332">
        <v>103000</v>
      </c>
      <c r="W7" s="1333">
        <v>4.3999999999999997E-2</v>
      </c>
      <c r="X7" s="1333">
        <v>5.8999999999999997E-2</v>
      </c>
      <c r="Y7" s="1334">
        <v>6077</v>
      </c>
      <c r="Z7" s="1407">
        <v>9.0999999999999998E-2</v>
      </c>
      <c r="AA7" s="1333">
        <v>0.188</v>
      </c>
    </row>
    <row r="8" spans="2:28" ht="15" x14ac:dyDescent="0.2">
      <c r="B8" s="1433">
        <v>2</v>
      </c>
      <c r="C8" s="1434" t="s">
        <v>482</v>
      </c>
      <c r="D8" s="1435">
        <v>1071</v>
      </c>
      <c r="E8" s="1415">
        <v>7</v>
      </c>
      <c r="F8" s="1416">
        <v>76000</v>
      </c>
      <c r="G8" s="1417">
        <v>6.6000000000000003E-2</v>
      </c>
      <c r="H8" s="1417">
        <v>3.1E-2</v>
      </c>
      <c r="I8" s="1418">
        <f t="shared" si="0"/>
        <v>2356</v>
      </c>
      <c r="J8" s="1419">
        <v>3.4000000000000002E-2</v>
      </c>
      <c r="K8" s="1417">
        <v>6.0000000000000001E-3</v>
      </c>
      <c r="L8" s="731"/>
      <c r="M8" s="1415">
        <v>9</v>
      </c>
      <c r="N8" s="1416">
        <v>82000</v>
      </c>
      <c r="O8" s="1417">
        <v>5.1999999999999998E-2</v>
      </c>
      <c r="P8" s="1417">
        <v>4.2999999999999997E-2</v>
      </c>
      <c r="Q8" s="1418">
        <f t="shared" si="1"/>
        <v>3525.9999999999995</v>
      </c>
      <c r="R8" s="1419">
        <v>3.5999999999999997E-2</v>
      </c>
      <c r="S8" s="1417">
        <v>7.4999999999999997E-2</v>
      </c>
      <c r="T8" s="1441"/>
      <c r="U8" s="1436">
        <v>11</v>
      </c>
      <c r="V8" s="1437">
        <v>73000</v>
      </c>
      <c r="W8" s="1438">
        <v>4.8000000000000001E-2</v>
      </c>
      <c r="X8" s="1438">
        <v>3.2000000000000001E-2</v>
      </c>
      <c r="Y8" s="1439">
        <v>2336</v>
      </c>
      <c r="Z8" s="1440">
        <v>3.7999999999999999E-2</v>
      </c>
      <c r="AA8" s="1438">
        <v>0.112</v>
      </c>
    </row>
    <row r="9" spans="2:28" ht="15" x14ac:dyDescent="0.2">
      <c r="B9" s="684">
        <f t="shared" ref="B9:B22" si="2">B8+1</f>
        <v>3</v>
      </c>
      <c r="C9" s="683" t="s">
        <v>483</v>
      </c>
      <c r="D9" s="1330">
        <v>139</v>
      </c>
      <c r="E9" s="1420">
        <v>5</v>
      </c>
      <c r="F9" s="1413">
        <v>115000</v>
      </c>
      <c r="G9" s="1421">
        <v>0.124</v>
      </c>
      <c r="H9" s="1421">
        <v>0.19500000000000001</v>
      </c>
      <c r="I9" s="1422">
        <v>24929</v>
      </c>
      <c r="J9" s="1423">
        <v>0.17199999999999999</v>
      </c>
      <c r="K9" s="1421">
        <v>-3.7999999999999999E-2</v>
      </c>
      <c r="L9" s="731"/>
      <c r="M9" s="1420">
        <v>2</v>
      </c>
      <c r="N9" s="1413">
        <v>61000</v>
      </c>
      <c r="O9" s="1421">
        <v>7.2999999999999995E-2</v>
      </c>
      <c r="P9" s="1421">
        <v>0.28599999999999998</v>
      </c>
      <c r="Q9" s="1422">
        <v>24929</v>
      </c>
      <c r="R9" s="1423">
        <v>0.24399999999999999</v>
      </c>
      <c r="S9" s="1421">
        <v>-4.8000000000000001E-2</v>
      </c>
      <c r="T9" s="742"/>
      <c r="U9" s="1335">
        <v>6</v>
      </c>
      <c r="V9" s="1329">
        <v>97000</v>
      </c>
      <c r="W9" s="1336">
        <v>7.9000000000000001E-2</v>
      </c>
      <c r="X9" s="1336">
        <v>0.25700000000000001</v>
      </c>
      <c r="Y9" s="1334">
        <v>24929</v>
      </c>
      <c r="Z9" s="1407">
        <v>0.27200000000000002</v>
      </c>
      <c r="AA9" s="1336">
        <v>0.105</v>
      </c>
    </row>
    <row r="10" spans="2:28" ht="15" x14ac:dyDescent="0.2">
      <c r="B10" s="1433">
        <f t="shared" si="2"/>
        <v>4</v>
      </c>
      <c r="C10" s="1434" t="s">
        <v>484</v>
      </c>
      <c r="D10" s="1435">
        <v>14</v>
      </c>
      <c r="E10" s="1415">
        <v>4</v>
      </c>
      <c r="F10" s="1416">
        <v>54000</v>
      </c>
      <c r="G10" s="1417">
        <v>1.6E-2</v>
      </c>
      <c r="H10" s="1417">
        <v>0.20899999999999999</v>
      </c>
      <c r="I10" s="1418">
        <f t="shared" si="0"/>
        <v>11286</v>
      </c>
      <c r="J10" s="1419">
        <v>0.219</v>
      </c>
      <c r="K10" s="1953" t="s">
        <v>870</v>
      </c>
      <c r="L10" s="731"/>
      <c r="M10" s="1415">
        <v>4</v>
      </c>
      <c r="N10" s="1416">
        <v>85000</v>
      </c>
      <c r="O10" s="1417">
        <v>4.8000000000000001E-2</v>
      </c>
      <c r="P10" s="1417">
        <v>0.26100000000000001</v>
      </c>
      <c r="Q10" s="1418">
        <f t="shared" ref="Q10:Q22" si="3">N10*P10</f>
        <v>22185</v>
      </c>
      <c r="R10" s="1419">
        <v>0.26</v>
      </c>
      <c r="S10" s="1417">
        <v>0</v>
      </c>
      <c r="T10" s="1441"/>
      <c r="U10" s="1436">
        <v>4</v>
      </c>
      <c r="V10" s="1437">
        <v>71000</v>
      </c>
      <c r="W10" s="1438">
        <v>3.7999999999999999E-2</v>
      </c>
      <c r="X10" s="1438">
        <v>0.28999999999999998</v>
      </c>
      <c r="Y10" s="1439">
        <v>20590</v>
      </c>
      <c r="Z10" s="1440">
        <v>0.29299999999999998</v>
      </c>
      <c r="AA10" s="1438">
        <v>0.13300000000000001</v>
      </c>
    </row>
    <row r="11" spans="2:28" ht="15" x14ac:dyDescent="0.2">
      <c r="B11" s="684">
        <f t="shared" si="2"/>
        <v>5</v>
      </c>
      <c r="C11" s="683" t="s">
        <v>485</v>
      </c>
      <c r="D11" s="1330">
        <v>16100</v>
      </c>
      <c r="E11" s="1420">
        <v>13</v>
      </c>
      <c r="F11" s="1413">
        <v>279000</v>
      </c>
      <c r="G11" s="1421">
        <v>0.05</v>
      </c>
      <c r="H11" s="1421">
        <v>0.157</v>
      </c>
      <c r="I11" s="1422">
        <f t="shared" si="0"/>
        <v>43803</v>
      </c>
      <c r="J11" s="1423">
        <v>0.16700000000000001</v>
      </c>
      <c r="K11" s="1421">
        <v>-1.7999999999999999E-2</v>
      </c>
      <c r="L11" s="731"/>
      <c r="M11" s="1420">
        <v>18</v>
      </c>
      <c r="N11" s="1413">
        <v>262000</v>
      </c>
      <c r="O11" s="1421">
        <v>3.2000000000000001E-2</v>
      </c>
      <c r="P11" s="1421">
        <v>0.13500000000000001</v>
      </c>
      <c r="Q11" s="1422">
        <f t="shared" si="3"/>
        <v>35370</v>
      </c>
      <c r="R11" s="1423">
        <v>0.13600000000000001</v>
      </c>
      <c r="S11" s="1421">
        <v>-0.192</v>
      </c>
      <c r="T11" s="742"/>
      <c r="U11" s="1335">
        <v>20</v>
      </c>
      <c r="V11" s="1329">
        <v>457000</v>
      </c>
      <c r="W11" s="1336">
        <v>0.155</v>
      </c>
      <c r="X11" s="1336">
        <v>0.13600000000000001</v>
      </c>
      <c r="Y11" s="1334">
        <v>62152.000000000007</v>
      </c>
      <c r="Z11" s="1407">
        <v>0.113</v>
      </c>
      <c r="AA11" s="1336">
        <v>0.13200000000000001</v>
      </c>
    </row>
    <row r="12" spans="2:28" ht="15" x14ac:dyDescent="0.2">
      <c r="B12" s="1433">
        <f t="shared" si="2"/>
        <v>6</v>
      </c>
      <c r="C12" s="1434" t="s">
        <v>486</v>
      </c>
      <c r="D12" s="1435">
        <v>16239</v>
      </c>
      <c r="E12" s="1415">
        <v>8</v>
      </c>
      <c r="F12" s="1416">
        <v>124000</v>
      </c>
      <c r="G12" s="1417">
        <v>4.8000000000000001E-2</v>
      </c>
      <c r="H12" s="1417">
        <v>0.121</v>
      </c>
      <c r="I12" s="1418">
        <f t="shared" si="0"/>
        <v>15004</v>
      </c>
      <c r="J12" s="1419">
        <v>0.15</v>
      </c>
      <c r="K12" s="1417">
        <v>8.9999999999999993E-3</v>
      </c>
      <c r="L12" s="731"/>
      <c r="M12" s="1415">
        <v>10</v>
      </c>
      <c r="N12" s="1416">
        <v>156000</v>
      </c>
      <c r="O12" s="1417">
        <v>5.0999999999999997E-2</v>
      </c>
      <c r="P12" s="1417">
        <v>0.13700000000000001</v>
      </c>
      <c r="Q12" s="1418">
        <f t="shared" si="3"/>
        <v>21372</v>
      </c>
      <c r="R12" s="1419">
        <v>0.129</v>
      </c>
      <c r="S12" s="1417">
        <v>-8.5999999999999993E-2</v>
      </c>
      <c r="T12" s="1441"/>
      <c r="U12" s="1436">
        <v>11</v>
      </c>
      <c r="V12" s="1437">
        <v>145000</v>
      </c>
      <c r="W12" s="1438">
        <v>7.9000000000000001E-2</v>
      </c>
      <c r="X12" s="1438">
        <v>0.13400000000000001</v>
      </c>
      <c r="Y12" s="1439">
        <v>19430</v>
      </c>
      <c r="Z12" s="1440">
        <v>0.115</v>
      </c>
      <c r="AA12" s="1438">
        <v>0.13200000000000001</v>
      </c>
    </row>
    <row r="13" spans="2:28" ht="15" x14ac:dyDescent="0.2">
      <c r="B13" s="684">
        <f t="shared" si="2"/>
        <v>7</v>
      </c>
      <c r="C13" s="683" t="s">
        <v>487</v>
      </c>
      <c r="D13" s="1330">
        <v>181</v>
      </c>
      <c r="E13" s="1420">
        <v>6</v>
      </c>
      <c r="F13" s="1413">
        <v>121000</v>
      </c>
      <c r="G13" s="1421">
        <v>0.06</v>
      </c>
      <c r="H13" s="1421">
        <v>0.109</v>
      </c>
      <c r="I13" s="1422">
        <f t="shared" si="0"/>
        <v>13189</v>
      </c>
      <c r="J13" s="1423">
        <v>7.9000000000000001E-2</v>
      </c>
      <c r="K13" s="1421">
        <v>8.0000000000000002E-3</v>
      </c>
      <c r="L13" s="731"/>
      <c r="M13" s="1420">
        <v>4</v>
      </c>
      <c r="N13" s="1413">
        <v>113000</v>
      </c>
      <c r="O13" s="1421">
        <v>4.5999999999999999E-2</v>
      </c>
      <c r="P13" s="1421">
        <v>9.5000000000000001E-2</v>
      </c>
      <c r="Q13" s="1422">
        <f t="shared" si="3"/>
        <v>10735</v>
      </c>
      <c r="R13" s="1423">
        <v>6.3E-2</v>
      </c>
      <c r="S13" s="1421">
        <v>-1.7999999999999999E-2</v>
      </c>
      <c r="T13" s="742"/>
      <c r="U13" s="1335">
        <v>5</v>
      </c>
      <c r="V13" s="1329">
        <v>97000</v>
      </c>
      <c r="W13" s="1336">
        <v>6.0999999999999999E-2</v>
      </c>
      <c r="X13" s="1336">
        <v>0.10100000000000001</v>
      </c>
      <c r="Y13" s="1334">
        <v>9797</v>
      </c>
      <c r="Z13" s="1407">
        <v>5.8000000000000003E-2</v>
      </c>
      <c r="AA13" s="1336">
        <v>5.7000000000000002E-2</v>
      </c>
    </row>
    <row r="14" spans="2:28" ht="15" x14ac:dyDescent="0.2">
      <c r="B14" s="1433">
        <f t="shared" si="2"/>
        <v>8</v>
      </c>
      <c r="C14" s="1434" t="s">
        <v>488</v>
      </c>
      <c r="D14" s="1435">
        <v>222</v>
      </c>
      <c r="E14" s="1415">
        <v>8</v>
      </c>
      <c r="F14" s="1416">
        <v>131000</v>
      </c>
      <c r="G14" s="1417">
        <v>8.7999999999999995E-2</v>
      </c>
      <c r="H14" s="1417">
        <v>0.24399999999999999</v>
      </c>
      <c r="I14" s="1418">
        <f t="shared" si="0"/>
        <v>31964</v>
      </c>
      <c r="J14" s="1419">
        <v>0.17499999999999999</v>
      </c>
      <c r="K14" s="1417">
        <v>-1.0999999999999999E-2</v>
      </c>
      <c r="L14" s="731"/>
      <c r="M14" s="1415">
        <v>9</v>
      </c>
      <c r="N14" s="1416">
        <v>133000</v>
      </c>
      <c r="O14" s="1417">
        <v>7.3999999999999996E-2</v>
      </c>
      <c r="P14" s="1417">
        <v>0.19900000000000001</v>
      </c>
      <c r="Q14" s="1418">
        <f t="shared" si="3"/>
        <v>26467</v>
      </c>
      <c r="R14" s="1419">
        <v>0.158</v>
      </c>
      <c r="S14" s="1417">
        <v>0</v>
      </c>
      <c r="T14" s="1441"/>
      <c r="U14" s="1436">
        <v>12</v>
      </c>
      <c r="V14" s="1437">
        <v>142000</v>
      </c>
      <c r="W14" s="1438">
        <v>6.0999999999999999E-2</v>
      </c>
      <c r="X14" s="1438">
        <v>0.17399999999999999</v>
      </c>
      <c r="Y14" s="1439">
        <v>24708</v>
      </c>
      <c r="Z14" s="1440">
        <v>0.153</v>
      </c>
      <c r="AA14" s="1438">
        <v>4.7E-2</v>
      </c>
    </row>
    <row r="15" spans="2:28" ht="15" x14ac:dyDescent="0.2">
      <c r="B15" s="684">
        <f t="shared" si="2"/>
        <v>9</v>
      </c>
      <c r="C15" s="705" t="s">
        <v>489</v>
      </c>
      <c r="D15" s="1330">
        <v>251</v>
      </c>
      <c r="E15" s="1410">
        <v>8</v>
      </c>
      <c r="F15" s="1411">
        <v>134000</v>
      </c>
      <c r="G15" s="1412">
        <v>7.4999999999999997E-2</v>
      </c>
      <c r="H15" s="1412">
        <v>0.129</v>
      </c>
      <c r="I15" s="1422">
        <f t="shared" si="0"/>
        <v>17286</v>
      </c>
      <c r="J15" s="1423">
        <v>8.6999999999999994E-2</v>
      </c>
      <c r="K15" s="1412">
        <v>-2.1999999999999999E-2</v>
      </c>
      <c r="L15" s="1409"/>
      <c r="M15" s="1410">
        <v>8</v>
      </c>
      <c r="N15" s="1411">
        <v>160000</v>
      </c>
      <c r="O15" s="1412">
        <v>7.3999999999999996E-2</v>
      </c>
      <c r="P15" s="1412">
        <v>0.11700000000000001</v>
      </c>
      <c r="Q15" s="1422">
        <f t="shared" si="3"/>
        <v>18720</v>
      </c>
      <c r="R15" s="1423">
        <v>0.09</v>
      </c>
      <c r="S15" s="1412">
        <v>-4.0000000000000001E-3</v>
      </c>
      <c r="T15" s="940"/>
      <c r="U15" s="1331">
        <v>12</v>
      </c>
      <c r="V15" s="1332">
        <v>159000</v>
      </c>
      <c r="W15" s="1333">
        <v>8.2000000000000003E-2</v>
      </c>
      <c r="X15" s="1333">
        <v>0.13100000000000001</v>
      </c>
      <c r="Y15" s="1334">
        <v>20829</v>
      </c>
      <c r="Z15" s="1407">
        <v>9.7000000000000003E-2</v>
      </c>
      <c r="AA15" s="1333">
        <v>0.191</v>
      </c>
    </row>
    <row r="16" spans="2:28" ht="15" x14ac:dyDescent="0.2">
      <c r="B16" s="1433">
        <f t="shared" si="2"/>
        <v>10</v>
      </c>
      <c r="C16" s="1434" t="s">
        <v>490</v>
      </c>
      <c r="D16" s="1435">
        <v>256</v>
      </c>
      <c r="E16" s="1415">
        <v>8</v>
      </c>
      <c r="F16" s="1416">
        <v>128000</v>
      </c>
      <c r="G16" s="1417">
        <v>0.104</v>
      </c>
      <c r="H16" s="1417">
        <v>0.14599999999999999</v>
      </c>
      <c r="I16" s="1418">
        <f t="shared" si="0"/>
        <v>18688</v>
      </c>
      <c r="J16" s="1419">
        <v>8.5000000000000006E-2</v>
      </c>
      <c r="K16" s="1417">
        <v>-6.8000000000000005E-2</v>
      </c>
      <c r="L16" s="731"/>
      <c r="M16" s="1415">
        <v>7</v>
      </c>
      <c r="N16" s="1416">
        <v>140000</v>
      </c>
      <c r="O16" s="1417">
        <v>0.112</v>
      </c>
      <c r="P16" s="1417">
        <v>0.129</v>
      </c>
      <c r="Q16" s="1418">
        <f t="shared" si="3"/>
        <v>18060</v>
      </c>
      <c r="R16" s="1419">
        <v>8.2000000000000003E-2</v>
      </c>
      <c r="S16" s="1417">
        <v>0</v>
      </c>
      <c r="T16" s="1441"/>
      <c r="U16" s="1436">
        <v>9</v>
      </c>
      <c r="V16" s="1437">
        <v>136000</v>
      </c>
      <c r="W16" s="1438">
        <v>0.11700000000000001</v>
      </c>
      <c r="X16" s="1438">
        <v>0.14299999999999999</v>
      </c>
      <c r="Y16" s="1439">
        <v>19448</v>
      </c>
      <c r="Z16" s="1440">
        <v>9.0999999999999998E-2</v>
      </c>
      <c r="AA16" s="1438">
        <v>0.187</v>
      </c>
    </row>
    <row r="17" spans="2:30" ht="15" x14ac:dyDescent="0.2">
      <c r="B17" s="684">
        <f t="shared" si="2"/>
        <v>11</v>
      </c>
      <c r="C17" s="705" t="s">
        <v>491</v>
      </c>
      <c r="D17" s="1330">
        <v>28</v>
      </c>
      <c r="E17" s="1410">
        <v>11</v>
      </c>
      <c r="F17" s="1411">
        <v>188000</v>
      </c>
      <c r="G17" s="1412">
        <v>6.4000000000000001E-2</v>
      </c>
      <c r="H17" s="1412">
        <v>0.193</v>
      </c>
      <c r="I17" s="1422">
        <f t="shared" si="0"/>
        <v>36284</v>
      </c>
      <c r="J17" s="1423">
        <v>0.161</v>
      </c>
      <c r="K17" s="1412">
        <v>0</v>
      </c>
      <c r="L17" s="1409"/>
      <c r="M17" s="1410">
        <v>10</v>
      </c>
      <c r="N17" s="1411">
        <v>195000</v>
      </c>
      <c r="O17" s="1412">
        <v>6.3E-2</v>
      </c>
      <c r="P17" s="1412">
        <v>0.183</v>
      </c>
      <c r="Q17" s="1422">
        <f t="shared" si="3"/>
        <v>35685</v>
      </c>
      <c r="R17" s="1423">
        <v>0.16400000000000001</v>
      </c>
      <c r="S17" s="1412">
        <v>6.0000000000000001E-3</v>
      </c>
      <c r="T17" s="940"/>
      <c r="U17" s="1331">
        <v>12</v>
      </c>
      <c r="V17" s="1332">
        <v>173000</v>
      </c>
      <c r="W17" s="1333">
        <v>0.06</v>
      </c>
      <c r="X17" s="1333">
        <v>0.189</v>
      </c>
      <c r="Y17" s="1334">
        <v>32697</v>
      </c>
      <c r="Z17" s="1407">
        <v>0.188</v>
      </c>
      <c r="AA17" s="1333">
        <v>0.10199999999999999</v>
      </c>
    </row>
    <row r="18" spans="2:30" ht="15" x14ac:dyDescent="0.2">
      <c r="B18" s="1433">
        <f t="shared" si="2"/>
        <v>12</v>
      </c>
      <c r="C18" s="1434" t="s">
        <v>703</v>
      </c>
      <c r="D18" s="1435">
        <v>282</v>
      </c>
      <c r="E18" s="1415">
        <v>12</v>
      </c>
      <c r="F18" s="1416">
        <v>207000</v>
      </c>
      <c r="G18" s="1417">
        <v>5.6000000000000001E-2</v>
      </c>
      <c r="H18" s="1417">
        <v>0.17799999999999999</v>
      </c>
      <c r="I18" s="1418">
        <f t="shared" si="0"/>
        <v>36846</v>
      </c>
      <c r="J18" s="1419">
        <v>0.14399999999999999</v>
      </c>
      <c r="K18" s="1417">
        <v>0</v>
      </c>
      <c r="L18" s="731"/>
      <c r="M18" s="1415">
        <v>13</v>
      </c>
      <c r="N18" s="1416">
        <v>188000</v>
      </c>
      <c r="O18" s="1417">
        <v>5.2999999999999999E-2</v>
      </c>
      <c r="P18" s="1417">
        <v>0.182</v>
      </c>
      <c r="Q18" s="1418">
        <f t="shared" si="3"/>
        <v>34216</v>
      </c>
      <c r="R18" s="1419">
        <v>0.14399999999999999</v>
      </c>
      <c r="S18" s="1417">
        <v>8.0000000000000002E-3</v>
      </c>
      <c r="T18" s="1441"/>
      <c r="U18" s="1436">
        <v>20</v>
      </c>
      <c r="V18" s="1437">
        <v>202000</v>
      </c>
      <c r="W18" s="1438">
        <v>5.3999999999999999E-2</v>
      </c>
      <c r="X18" s="1438">
        <v>0.191</v>
      </c>
      <c r="Y18" s="1439">
        <v>38582</v>
      </c>
      <c r="Z18" s="1440">
        <v>0.189</v>
      </c>
      <c r="AA18" s="1438">
        <v>9.7000000000000003E-2</v>
      </c>
      <c r="AD18" s="939"/>
    </row>
    <row r="19" spans="2:30" ht="15" x14ac:dyDescent="0.2">
      <c r="B19" s="684">
        <f t="shared" si="2"/>
        <v>13</v>
      </c>
      <c r="C19" s="705" t="s">
        <v>492</v>
      </c>
      <c r="D19" s="1330">
        <v>283</v>
      </c>
      <c r="E19" s="1410">
        <v>13</v>
      </c>
      <c r="F19" s="1411">
        <v>206000</v>
      </c>
      <c r="G19" s="1412">
        <v>5.8999999999999997E-2</v>
      </c>
      <c r="H19" s="1412">
        <v>0.31900000000000001</v>
      </c>
      <c r="I19" s="1422">
        <f t="shared" si="0"/>
        <v>65714</v>
      </c>
      <c r="J19" s="1423">
        <v>0.308</v>
      </c>
      <c r="K19" s="1412">
        <v>-4.5999999999999999E-2</v>
      </c>
      <c r="L19" s="1409"/>
      <c r="M19" s="1410">
        <v>13</v>
      </c>
      <c r="N19" s="1411">
        <v>216000</v>
      </c>
      <c r="O19" s="1412">
        <v>6.3E-2</v>
      </c>
      <c r="P19" s="1412">
        <v>0.35099999999999998</v>
      </c>
      <c r="Q19" s="1422">
        <f t="shared" si="3"/>
        <v>75816</v>
      </c>
      <c r="R19" s="1423">
        <v>0.34200000000000003</v>
      </c>
      <c r="S19" s="1412">
        <v>1.7000000000000001E-2</v>
      </c>
      <c r="T19" s="940"/>
      <c r="U19" s="1331">
        <v>12</v>
      </c>
      <c r="V19" s="1332">
        <v>187000</v>
      </c>
      <c r="W19" s="1333">
        <v>7.0999999999999994E-2</v>
      </c>
      <c r="X19" s="1333">
        <v>0.28999999999999998</v>
      </c>
      <c r="Y19" s="1334">
        <v>54229.999999999993</v>
      </c>
      <c r="Z19" s="1407">
        <v>0.3</v>
      </c>
      <c r="AA19" s="1333">
        <v>6.7000000000000004E-2</v>
      </c>
    </row>
    <row r="20" spans="2:30" ht="15" x14ac:dyDescent="0.2">
      <c r="B20" s="1433">
        <f t="shared" si="2"/>
        <v>14</v>
      </c>
      <c r="C20" s="1434" t="s">
        <v>627</v>
      </c>
      <c r="D20" s="1435">
        <v>29</v>
      </c>
      <c r="E20" s="1415">
        <v>15</v>
      </c>
      <c r="F20" s="1416">
        <v>195000</v>
      </c>
      <c r="G20" s="1417">
        <v>5.2999999999999999E-2</v>
      </c>
      <c r="H20" s="1417">
        <v>0.16600000000000001</v>
      </c>
      <c r="I20" s="1418">
        <f t="shared" si="0"/>
        <v>32370</v>
      </c>
      <c r="J20" s="1419">
        <v>0.19900000000000001</v>
      </c>
      <c r="K20" s="1417">
        <v>-6.6000000000000003E-2</v>
      </c>
      <c r="L20" s="731"/>
      <c r="M20" s="1415">
        <v>15</v>
      </c>
      <c r="N20" s="1416">
        <v>190000</v>
      </c>
      <c r="O20" s="1417">
        <v>6.4000000000000001E-2</v>
      </c>
      <c r="P20" s="1417">
        <v>0.19</v>
      </c>
      <c r="Q20" s="1418">
        <f t="shared" si="3"/>
        <v>36100</v>
      </c>
      <c r="R20" s="1419">
        <v>0.20100000000000001</v>
      </c>
      <c r="S20" s="1417">
        <v>0.106</v>
      </c>
      <c r="T20" s="1441"/>
      <c r="U20" s="1436">
        <v>19</v>
      </c>
      <c r="V20" s="1437">
        <v>163000</v>
      </c>
      <c r="W20" s="1438">
        <v>0.05</v>
      </c>
      <c r="X20" s="1438">
        <v>0.219</v>
      </c>
      <c r="Y20" s="1439">
        <v>35697</v>
      </c>
      <c r="Z20" s="1440">
        <v>0.20799999999999999</v>
      </c>
      <c r="AA20" s="1438">
        <v>0.106</v>
      </c>
    </row>
    <row r="21" spans="2:30" ht="15" x14ac:dyDescent="0.2">
      <c r="B21" s="684">
        <f t="shared" si="2"/>
        <v>15</v>
      </c>
      <c r="C21" s="705" t="s">
        <v>493</v>
      </c>
      <c r="D21" s="1330">
        <v>310</v>
      </c>
      <c r="E21" s="1410">
        <v>8</v>
      </c>
      <c r="F21" s="1411">
        <v>134000</v>
      </c>
      <c r="G21" s="1412">
        <v>4.8000000000000001E-2</v>
      </c>
      <c r="H21" s="1412">
        <v>0.13</v>
      </c>
      <c r="I21" s="1424">
        <f t="shared" ref="I21" si="4">H21*F21</f>
        <v>17420</v>
      </c>
      <c r="J21" s="1423">
        <v>0.1</v>
      </c>
      <c r="K21" s="1412">
        <v>-3.5000000000000003E-2</v>
      </c>
      <c r="L21" s="1409"/>
      <c r="M21" s="1410">
        <v>8</v>
      </c>
      <c r="N21" s="1411">
        <v>160000</v>
      </c>
      <c r="O21" s="1412">
        <v>4.3999999999999997E-2</v>
      </c>
      <c r="P21" s="1412">
        <v>0.16200000000000001</v>
      </c>
      <c r="Q21" s="1424">
        <f t="shared" ref="Q21" si="5">P21*N21</f>
        <v>25920</v>
      </c>
      <c r="R21" s="1423">
        <v>0.128</v>
      </c>
      <c r="S21" s="1412">
        <v>-5.7000000000000002E-2</v>
      </c>
      <c r="T21" s="940"/>
      <c r="U21" s="1331">
        <v>9</v>
      </c>
      <c r="V21" s="1332">
        <v>118000</v>
      </c>
      <c r="W21" s="1333">
        <v>5.3999999999999999E-2</v>
      </c>
      <c r="X21" s="1333">
        <v>0.14199999999999999</v>
      </c>
      <c r="Y21" s="1334">
        <v>16756</v>
      </c>
      <c r="Z21" s="1407">
        <v>0.11799999999999999</v>
      </c>
      <c r="AA21" s="1333">
        <v>0.10199999999999999</v>
      </c>
    </row>
    <row r="22" spans="2:30" ht="15" x14ac:dyDescent="0.2">
      <c r="B22" s="1442">
        <f t="shared" si="2"/>
        <v>16</v>
      </c>
      <c r="C22" s="1434" t="s">
        <v>494</v>
      </c>
      <c r="D22" s="1435">
        <v>3102</v>
      </c>
      <c r="E22" s="1415">
        <v>7</v>
      </c>
      <c r="F22" s="1416">
        <v>141000</v>
      </c>
      <c r="G22" s="1417">
        <v>4.5999999999999999E-2</v>
      </c>
      <c r="H22" s="1417">
        <v>7.3999999999999996E-2</v>
      </c>
      <c r="I22" s="1416">
        <f t="shared" ref="I22" si="6">F22*H22</f>
        <v>10434</v>
      </c>
      <c r="J22" s="1419">
        <v>8.2000000000000003E-2</v>
      </c>
      <c r="K22" s="1417">
        <v>-1.6E-2</v>
      </c>
      <c r="L22" s="731"/>
      <c r="M22" s="1415">
        <v>8</v>
      </c>
      <c r="N22" s="1416">
        <v>156000</v>
      </c>
      <c r="O22" s="1417">
        <v>1.2E-2</v>
      </c>
      <c r="P22" s="1417">
        <v>6.3E-2</v>
      </c>
      <c r="Q22" s="1416">
        <f t="shared" ref="Q22" si="7">N22*P22</f>
        <v>9828</v>
      </c>
      <c r="R22" s="1419">
        <v>5.0999999999999997E-2</v>
      </c>
      <c r="S22" s="1417">
        <v>-8.5000000000000006E-2</v>
      </c>
      <c r="T22" s="1441"/>
      <c r="U22" s="1415">
        <v>9</v>
      </c>
      <c r="V22" s="1416">
        <v>146000</v>
      </c>
      <c r="W22" s="1417">
        <v>7.0999999999999994E-2</v>
      </c>
      <c r="X22" s="1417">
        <v>8.7999999999999995E-2</v>
      </c>
      <c r="Y22" s="1416">
        <f t="shared" ref="Y22" si="8">V22*X22</f>
        <v>12848</v>
      </c>
      <c r="Z22" s="1419">
        <v>7.0000000000000007E-2</v>
      </c>
      <c r="AA22" s="1417">
        <v>8.5999999999999993E-2</v>
      </c>
    </row>
    <row r="23" spans="2:30" ht="12" customHeight="1" x14ac:dyDescent="0.2">
      <c r="B23" s="684"/>
      <c r="C23" s="731"/>
      <c r="D23" s="749"/>
      <c r="E23" s="731"/>
      <c r="F23" s="731"/>
      <c r="G23" s="731"/>
      <c r="H23" s="731"/>
      <c r="I23" s="731"/>
      <c r="J23" s="731"/>
      <c r="K23" s="731"/>
      <c r="L23" s="731"/>
      <c r="M23" s="684"/>
      <c r="N23" s="743"/>
      <c r="O23" s="738"/>
      <c r="P23" s="738"/>
      <c r="Q23" s="744"/>
      <c r="R23" s="744"/>
      <c r="S23" s="738"/>
      <c r="T23" s="742"/>
      <c r="U23" s="745"/>
      <c r="V23" s="746"/>
      <c r="W23" s="747"/>
      <c r="X23" s="747"/>
      <c r="Y23" s="747"/>
      <c r="Z23" s="747"/>
      <c r="AA23" s="748"/>
    </row>
    <row r="24" spans="2:30" ht="15" x14ac:dyDescent="0.25">
      <c r="B24" s="685"/>
      <c r="C24" s="686"/>
      <c r="D24" s="1327"/>
      <c r="E24" s="1317" t="s">
        <v>0</v>
      </c>
      <c r="F24" s="1317"/>
      <c r="G24" s="1318" t="s">
        <v>567</v>
      </c>
      <c r="H24" s="1319">
        <f>H4</f>
        <v>2024</v>
      </c>
      <c r="I24" s="1317"/>
      <c r="J24" s="1317"/>
      <c r="K24" s="1317"/>
      <c r="L24" s="686"/>
      <c r="M24" s="1317" t="s">
        <v>0</v>
      </c>
      <c r="N24" s="1317"/>
      <c r="O24" s="1318" t="s">
        <v>567</v>
      </c>
      <c r="P24" s="1319">
        <f>P4</f>
        <v>2023</v>
      </c>
      <c r="Q24" s="1317"/>
      <c r="R24" s="1317"/>
      <c r="S24" s="1317"/>
      <c r="T24" s="728"/>
      <c r="U24" s="1320"/>
      <c r="V24" s="1320"/>
      <c r="W24" s="1318" t="s">
        <v>567</v>
      </c>
      <c r="X24" s="1319">
        <f>X4</f>
        <v>2022</v>
      </c>
      <c r="Y24" s="1321"/>
      <c r="Z24" s="1321"/>
      <c r="AA24" s="1320"/>
    </row>
    <row r="25" spans="2:30" ht="14.25" customHeight="1" x14ac:dyDescent="0.25">
      <c r="B25" s="685"/>
      <c r="C25" s="686"/>
      <c r="D25" s="1933" t="s">
        <v>551</v>
      </c>
      <c r="E25" s="927" t="s">
        <v>476</v>
      </c>
      <c r="F25" s="928" t="s">
        <v>477</v>
      </c>
      <c r="G25" s="928" t="s">
        <v>478</v>
      </c>
      <c r="H25" s="928" t="s">
        <v>478</v>
      </c>
      <c r="I25" s="926" t="s">
        <v>572</v>
      </c>
      <c r="J25" s="1927" t="s">
        <v>780</v>
      </c>
      <c r="K25" s="1930" t="s">
        <v>550</v>
      </c>
      <c r="L25" s="1473"/>
      <c r="M25" s="929" t="s">
        <v>476</v>
      </c>
      <c r="N25" s="928" t="s">
        <v>477</v>
      </c>
      <c r="O25" s="928" t="s">
        <v>478</v>
      </c>
      <c r="P25" s="928" t="s">
        <v>478</v>
      </c>
      <c r="Q25" s="926" t="s">
        <v>572</v>
      </c>
      <c r="R25" s="1927" t="s">
        <v>780</v>
      </c>
      <c r="S25" s="1930" t="s">
        <v>550</v>
      </c>
      <c r="T25" s="826"/>
      <c r="U25" s="1322" t="s">
        <v>476</v>
      </c>
      <c r="V25" s="1323" t="s">
        <v>477</v>
      </c>
      <c r="W25" s="1323" t="s">
        <v>478</v>
      </c>
      <c r="X25" s="1323" t="s">
        <v>478</v>
      </c>
      <c r="Y25" s="1323" t="s">
        <v>572</v>
      </c>
      <c r="Z25" s="1927" t="s">
        <v>780</v>
      </c>
      <c r="AA25" s="1939" t="s">
        <v>550</v>
      </c>
    </row>
    <row r="26" spans="2:30" ht="20.100000000000001" customHeight="1" x14ac:dyDescent="0.25">
      <c r="B26" s="685"/>
      <c r="C26" s="930" t="s">
        <v>564</v>
      </c>
      <c r="D26" s="1938"/>
      <c r="E26" s="936" t="s">
        <v>479</v>
      </c>
      <c r="F26" s="937" t="s">
        <v>480</v>
      </c>
      <c r="G26" s="937" t="s">
        <v>548</v>
      </c>
      <c r="H26" s="937" t="s">
        <v>549</v>
      </c>
      <c r="I26" s="932" t="s">
        <v>573</v>
      </c>
      <c r="J26" s="1928"/>
      <c r="K26" s="1931"/>
      <c r="L26" s="1474"/>
      <c r="M26" s="938" t="s">
        <v>479</v>
      </c>
      <c r="N26" s="937" t="s">
        <v>480</v>
      </c>
      <c r="O26" s="937" t="s">
        <v>548</v>
      </c>
      <c r="P26" s="937" t="s">
        <v>549</v>
      </c>
      <c r="Q26" s="1337" t="s">
        <v>573</v>
      </c>
      <c r="R26" s="1928"/>
      <c r="S26" s="1935"/>
      <c r="T26" s="826"/>
      <c r="U26" s="1324" t="s">
        <v>479</v>
      </c>
      <c r="V26" s="1325" t="s">
        <v>480</v>
      </c>
      <c r="W26" s="1325" t="s">
        <v>548</v>
      </c>
      <c r="X26" s="1325" t="s">
        <v>549</v>
      </c>
      <c r="Y26" s="1325" t="s">
        <v>573</v>
      </c>
      <c r="Z26" s="1928"/>
      <c r="AA26" s="1935"/>
    </row>
    <row r="27" spans="2:30" ht="15" x14ac:dyDescent="0.25">
      <c r="B27" s="684">
        <v>17</v>
      </c>
      <c r="C27" s="683" t="s">
        <v>496</v>
      </c>
      <c r="D27" s="1443">
        <v>412</v>
      </c>
      <c r="E27" s="1444">
        <v>5</v>
      </c>
      <c r="F27" s="1413">
        <v>135000</v>
      </c>
      <c r="G27" s="1421">
        <v>5.2999999999999999E-2</v>
      </c>
      <c r="H27" s="1421">
        <v>5.3999999999999999E-2</v>
      </c>
      <c r="I27" s="1413">
        <f t="shared" ref="I27:I33" si="9">F27*H27</f>
        <v>7290</v>
      </c>
      <c r="J27" s="819">
        <v>8.9999999999999993E-3</v>
      </c>
      <c r="K27" s="1421">
        <v>0</v>
      </c>
      <c r="L27" s="731"/>
      <c r="M27" s="1444">
        <v>6</v>
      </c>
      <c r="N27" s="1413">
        <v>139000</v>
      </c>
      <c r="O27" s="1421">
        <v>5.0999999999999997E-2</v>
      </c>
      <c r="P27" s="1421">
        <v>5.3999999999999999E-2</v>
      </c>
      <c r="Q27" s="1413">
        <f t="shared" ref="Q27:Q33" si="10">N27*P27</f>
        <v>7506</v>
      </c>
      <c r="R27" s="819">
        <v>8.0000000000000002E-3</v>
      </c>
      <c r="S27" s="1421">
        <v>0</v>
      </c>
      <c r="T27" s="941"/>
      <c r="U27" s="1445">
        <v>7</v>
      </c>
      <c r="V27" s="1329">
        <v>121000</v>
      </c>
      <c r="W27" s="1336">
        <v>0.05</v>
      </c>
      <c r="X27" s="1336">
        <v>4.9000000000000002E-2</v>
      </c>
      <c r="Y27" s="1329">
        <v>5929</v>
      </c>
      <c r="Z27" s="1408">
        <v>1.7000000000000001E-2</v>
      </c>
      <c r="AA27" s="1336">
        <v>0.115</v>
      </c>
    </row>
    <row r="28" spans="2:30" ht="15" x14ac:dyDescent="0.25">
      <c r="B28" s="1442">
        <f t="shared" ref="B28:B33" si="11">B27+1</f>
        <v>18</v>
      </c>
      <c r="C28" s="1434" t="s">
        <v>495</v>
      </c>
      <c r="D28" s="1448">
        <v>4312</v>
      </c>
      <c r="E28" s="1425">
        <v>5</v>
      </c>
      <c r="F28" s="1416">
        <v>170000</v>
      </c>
      <c r="G28" s="1417">
        <v>9.4E-2</v>
      </c>
      <c r="H28" s="1417">
        <v>3.7999999999999999E-2</v>
      </c>
      <c r="I28" s="1416">
        <f>F28*H28</f>
        <v>6460</v>
      </c>
      <c r="J28" s="1952" t="s">
        <v>870</v>
      </c>
      <c r="K28" s="1417">
        <v>0</v>
      </c>
      <c r="L28" s="731"/>
      <c r="M28" s="1425">
        <v>5</v>
      </c>
      <c r="N28" s="1416">
        <v>170000</v>
      </c>
      <c r="O28" s="1417">
        <v>9.4E-2</v>
      </c>
      <c r="P28" s="1417">
        <v>3.7999999999999999E-2</v>
      </c>
      <c r="Q28" s="1416">
        <f>N28*P28</f>
        <v>6460</v>
      </c>
      <c r="R28" s="1426">
        <v>0</v>
      </c>
      <c r="S28" s="1417">
        <v>0</v>
      </c>
      <c r="T28" s="1451"/>
      <c r="U28" s="1449">
        <v>5</v>
      </c>
      <c r="V28" s="1437">
        <v>160000</v>
      </c>
      <c r="W28" s="1438">
        <v>0.108</v>
      </c>
      <c r="X28" s="1438">
        <v>3.6999999999999998E-2</v>
      </c>
      <c r="Y28" s="1437">
        <v>5920</v>
      </c>
      <c r="Z28" s="1450">
        <v>1.2E-2</v>
      </c>
      <c r="AA28" s="1438">
        <v>0.156</v>
      </c>
    </row>
    <row r="29" spans="2:30" ht="15" x14ac:dyDescent="0.25">
      <c r="B29" s="1446">
        <f t="shared" si="11"/>
        <v>19</v>
      </c>
      <c r="C29" s="683" t="s">
        <v>702</v>
      </c>
      <c r="D29" s="1443">
        <v>4321</v>
      </c>
      <c r="E29" s="1444">
        <v>7</v>
      </c>
      <c r="F29" s="1413">
        <v>129000</v>
      </c>
      <c r="G29" s="1421">
        <v>5.6000000000000001E-2</v>
      </c>
      <c r="H29" s="1421">
        <v>0.111</v>
      </c>
      <c r="I29" s="1413">
        <f>F29*H29</f>
        <v>14319</v>
      </c>
      <c r="J29" s="1427">
        <v>5.1999999999999998E-2</v>
      </c>
      <c r="K29" s="1421">
        <v>-0.03</v>
      </c>
      <c r="L29" s="731"/>
      <c r="M29" s="1444">
        <v>6</v>
      </c>
      <c r="N29" s="1413">
        <v>143000</v>
      </c>
      <c r="O29" s="1421">
        <v>5.0999999999999997E-2</v>
      </c>
      <c r="P29" s="1421">
        <v>8.7999999999999995E-2</v>
      </c>
      <c r="Q29" s="1413">
        <f>N29*P29</f>
        <v>12584</v>
      </c>
      <c r="R29" s="1427">
        <v>0.04</v>
      </c>
      <c r="S29" s="1421">
        <v>7.0000000000000001E-3</v>
      </c>
      <c r="T29" s="941"/>
      <c r="U29" s="1445">
        <v>9</v>
      </c>
      <c r="V29" s="1329">
        <v>136000</v>
      </c>
      <c r="W29" s="1336">
        <v>0.06</v>
      </c>
      <c r="X29" s="1336">
        <v>9.7000000000000003E-2</v>
      </c>
      <c r="Y29" s="1329">
        <v>13192</v>
      </c>
      <c r="Z29" s="1408">
        <v>0.05</v>
      </c>
      <c r="AA29" s="1336">
        <v>0.217</v>
      </c>
    </row>
    <row r="30" spans="2:30" ht="15" x14ac:dyDescent="0.25">
      <c r="B30" s="1442">
        <f t="shared" si="11"/>
        <v>20</v>
      </c>
      <c r="C30" s="1434" t="s">
        <v>552</v>
      </c>
      <c r="D30" s="1452">
        <v>4322</v>
      </c>
      <c r="E30" s="1425">
        <v>6</v>
      </c>
      <c r="F30" s="1416">
        <v>160000</v>
      </c>
      <c r="G30" s="1417">
        <v>4.9000000000000002E-2</v>
      </c>
      <c r="H30" s="1417">
        <v>7.0999999999999994E-2</v>
      </c>
      <c r="I30" s="1416">
        <f>F30*H30</f>
        <v>11359.999999999998</v>
      </c>
      <c r="J30" s="1428">
        <v>3.6999999999999998E-2</v>
      </c>
      <c r="K30" s="1417">
        <v>1.4E-2</v>
      </c>
      <c r="L30" s="731"/>
      <c r="M30" s="1425">
        <v>5</v>
      </c>
      <c r="N30" s="1416">
        <v>164000</v>
      </c>
      <c r="O30" s="1417">
        <v>4.9000000000000002E-2</v>
      </c>
      <c r="P30" s="1417">
        <v>6.8000000000000005E-2</v>
      </c>
      <c r="Q30" s="1416">
        <f>N30*P30</f>
        <v>11152</v>
      </c>
      <c r="R30" s="1428">
        <v>4.4999999999999998E-2</v>
      </c>
      <c r="S30" s="1417">
        <v>0</v>
      </c>
      <c r="T30" s="1451"/>
      <c r="U30" s="1449">
        <v>5</v>
      </c>
      <c r="V30" s="1437">
        <v>156000</v>
      </c>
      <c r="W30" s="1438">
        <v>5.3999999999999999E-2</v>
      </c>
      <c r="X30" s="1438">
        <v>7.4999999999999997E-2</v>
      </c>
      <c r="Y30" s="1437">
        <v>11700</v>
      </c>
      <c r="Z30" s="1450">
        <v>5.3999999999999999E-2</v>
      </c>
      <c r="AA30" s="1438">
        <v>0.17699999999999999</v>
      </c>
    </row>
    <row r="31" spans="2:30" ht="15" x14ac:dyDescent="0.25">
      <c r="B31" s="1446">
        <f t="shared" si="11"/>
        <v>21</v>
      </c>
      <c r="C31" s="686" t="s">
        <v>781</v>
      </c>
      <c r="D31" s="1447">
        <v>4332</v>
      </c>
      <c r="E31" s="1444">
        <v>4</v>
      </c>
      <c r="F31" s="1413">
        <v>118000</v>
      </c>
      <c r="G31" s="1421">
        <v>5.0999999999999997E-2</v>
      </c>
      <c r="H31" s="1421">
        <v>6.6000000000000003E-2</v>
      </c>
      <c r="I31" s="1413">
        <f>F31*H31</f>
        <v>7788</v>
      </c>
      <c r="J31" s="1429">
        <v>5.5E-2</v>
      </c>
      <c r="K31" s="1421">
        <v>-0.02</v>
      </c>
      <c r="L31" s="731"/>
      <c r="M31" s="1444">
        <v>4</v>
      </c>
      <c r="N31" s="1413">
        <v>101000</v>
      </c>
      <c r="O31" s="1421">
        <v>5.3999999999999999E-2</v>
      </c>
      <c r="P31" s="1421">
        <v>0.10299999999999999</v>
      </c>
      <c r="Q31" s="1413">
        <f>N31*P31</f>
        <v>10403</v>
      </c>
      <c r="R31" s="1429">
        <v>3.7999999999999999E-2</v>
      </c>
      <c r="S31" s="1421">
        <v>-5.0000000000000001E-3</v>
      </c>
      <c r="T31" s="941"/>
      <c r="U31" s="1445">
        <v>3</v>
      </c>
      <c r="V31" s="1329">
        <v>103000</v>
      </c>
      <c r="W31" s="1336">
        <v>5.6000000000000001E-2</v>
      </c>
      <c r="X31" s="1336">
        <v>6.3E-2</v>
      </c>
      <c r="Y31" s="1329">
        <v>6489</v>
      </c>
      <c r="Z31" s="1408">
        <v>8.8999999999999996E-2</v>
      </c>
      <c r="AA31" s="1336">
        <v>0.17699999999999999</v>
      </c>
    </row>
    <row r="32" spans="2:30" s="286" customFormat="1" ht="15" x14ac:dyDescent="0.25">
      <c r="B32" s="1442">
        <f t="shared" si="11"/>
        <v>22</v>
      </c>
      <c r="C32" s="1434" t="s">
        <v>497</v>
      </c>
      <c r="D32" s="1452">
        <v>43341</v>
      </c>
      <c r="E32" s="1425">
        <v>3</v>
      </c>
      <c r="F32" s="1416">
        <v>127000</v>
      </c>
      <c r="G32" s="1417">
        <v>9.4E-2</v>
      </c>
      <c r="H32" s="1417">
        <v>3.1E-2</v>
      </c>
      <c r="I32" s="1416">
        <f>F32*H32</f>
        <v>3937</v>
      </c>
      <c r="J32" s="1430">
        <v>2E-3</v>
      </c>
      <c r="K32" s="1417">
        <v>0</v>
      </c>
      <c r="L32" s="731"/>
      <c r="M32" s="1425">
        <v>6</v>
      </c>
      <c r="N32" s="1416">
        <v>96000</v>
      </c>
      <c r="O32" s="1417">
        <v>8.3000000000000004E-2</v>
      </c>
      <c r="P32" s="1417">
        <v>2.5999999999999999E-2</v>
      </c>
      <c r="Q32" s="1416">
        <f>N32*P32</f>
        <v>2496</v>
      </c>
      <c r="R32" s="1430">
        <v>9.9999999999999995E-7</v>
      </c>
      <c r="S32" s="1417">
        <v>9.9999999999999995E-7</v>
      </c>
      <c r="T32" s="1451"/>
      <c r="U32" s="1449">
        <v>7</v>
      </c>
      <c r="V32" s="1437">
        <v>96000</v>
      </c>
      <c r="W32" s="1438">
        <v>5.6000000000000001E-2</v>
      </c>
      <c r="X32" s="1438">
        <v>4.4999999999999998E-2</v>
      </c>
      <c r="Y32" s="1437">
        <v>4320</v>
      </c>
      <c r="Z32" s="1450">
        <v>8.9999999999999993E-3</v>
      </c>
      <c r="AA32" s="1438">
        <v>0.13500000000000001</v>
      </c>
    </row>
    <row r="33" spans="2:32" ht="15" x14ac:dyDescent="0.25">
      <c r="B33" s="1446">
        <f t="shared" si="11"/>
        <v>23</v>
      </c>
      <c r="C33" s="683" t="s">
        <v>553</v>
      </c>
      <c r="D33" s="1443">
        <v>4391</v>
      </c>
      <c r="E33" s="1444">
        <v>5</v>
      </c>
      <c r="F33" s="1413">
        <v>117000</v>
      </c>
      <c r="G33" s="1421">
        <v>7.2999999999999995E-2</v>
      </c>
      <c r="H33" s="1421">
        <v>6.0999999999999999E-2</v>
      </c>
      <c r="I33" s="1413">
        <f t="shared" si="9"/>
        <v>7137</v>
      </c>
      <c r="J33" s="1429">
        <v>2.5000000000000001E-2</v>
      </c>
      <c r="K33" s="1421">
        <v>5.0000000000000001E-3</v>
      </c>
      <c r="L33" s="731"/>
      <c r="M33" s="1444">
        <v>5</v>
      </c>
      <c r="N33" s="1413">
        <v>128000</v>
      </c>
      <c r="O33" s="1421">
        <v>0.06</v>
      </c>
      <c r="P33" s="1421">
        <v>4.5999999999999999E-2</v>
      </c>
      <c r="Q33" s="1413">
        <f t="shared" ref="Q33" si="12">N33*P33</f>
        <v>5888</v>
      </c>
      <c r="R33" s="1429">
        <v>0.02</v>
      </c>
      <c r="S33" s="1421">
        <v>1.2999999999999999E-2</v>
      </c>
      <c r="T33" s="941"/>
      <c r="U33" s="1445">
        <v>5</v>
      </c>
      <c r="V33" s="1329">
        <v>134000</v>
      </c>
      <c r="W33" s="1336">
        <v>6.4000000000000001E-2</v>
      </c>
      <c r="X33" s="1336">
        <v>5.6000000000000001E-2</v>
      </c>
      <c r="Y33" s="1329">
        <v>7504</v>
      </c>
      <c r="Z33" s="1408">
        <v>3.5999999999999997E-2</v>
      </c>
      <c r="AA33" s="1336">
        <v>0.14399999999999999</v>
      </c>
    </row>
    <row r="34" spans="2:32" ht="12" customHeight="1" x14ac:dyDescent="0.25">
      <c r="B34" s="684"/>
      <c r="C34" s="731"/>
      <c r="D34" s="736"/>
      <c r="E34" s="731"/>
      <c r="F34" s="731"/>
      <c r="G34" s="731"/>
      <c r="H34" s="731"/>
      <c r="I34" s="731"/>
      <c r="J34" s="731"/>
      <c r="K34" s="731"/>
      <c r="L34" s="731"/>
      <c r="M34" s="732"/>
      <c r="N34" s="733"/>
      <c r="O34" s="734"/>
      <c r="P34" s="734"/>
      <c r="Q34" s="735"/>
      <c r="R34" s="735"/>
      <c r="S34" s="734"/>
      <c r="T34" s="941"/>
      <c r="U34" s="732"/>
      <c r="V34" s="735"/>
      <c r="W34" s="734"/>
      <c r="X34" s="734"/>
      <c r="Y34" s="734"/>
      <c r="Z34" s="734"/>
      <c r="AA34" s="734"/>
      <c r="AD34" s="734"/>
    </row>
    <row r="35" spans="2:32" ht="15" x14ac:dyDescent="0.25">
      <c r="B35" s="685"/>
      <c r="C35" s="686"/>
      <c r="D35" s="1327"/>
      <c r="E35" s="1317" t="s">
        <v>0</v>
      </c>
      <c r="F35" s="1317"/>
      <c r="G35" s="1318" t="s">
        <v>567</v>
      </c>
      <c r="H35" s="1326">
        <f>H4</f>
        <v>2024</v>
      </c>
      <c r="I35" s="1317"/>
      <c r="J35" s="1317"/>
      <c r="K35" s="1317"/>
      <c r="L35" s="686"/>
      <c r="M35" s="1317" t="s">
        <v>0</v>
      </c>
      <c r="N35" s="1317"/>
      <c r="O35" s="1318" t="s">
        <v>567</v>
      </c>
      <c r="P35" s="1319">
        <f>P24</f>
        <v>2023</v>
      </c>
      <c r="Q35" s="1317"/>
      <c r="R35" s="1317"/>
      <c r="S35" s="1317"/>
      <c r="T35" s="728"/>
      <c r="U35" s="1317"/>
      <c r="V35" s="1317"/>
      <c r="W35" s="1318" t="s">
        <v>567</v>
      </c>
      <c r="X35" s="1319">
        <f>X24</f>
        <v>2022</v>
      </c>
      <c r="Y35" s="1317"/>
      <c r="Z35" s="1317"/>
      <c r="AA35" s="1317"/>
    </row>
    <row r="36" spans="2:32" ht="14.25" customHeight="1" x14ac:dyDescent="0.25">
      <c r="B36" s="685"/>
      <c r="C36" s="686"/>
      <c r="D36" s="1933" t="s">
        <v>551</v>
      </c>
      <c r="E36" s="927" t="s">
        <v>476</v>
      </c>
      <c r="F36" s="928" t="s">
        <v>477</v>
      </c>
      <c r="G36" s="928" t="s">
        <v>478</v>
      </c>
      <c r="H36" s="928" t="s">
        <v>478</v>
      </c>
      <c r="I36" s="926" t="s">
        <v>572</v>
      </c>
      <c r="J36" s="1927" t="s">
        <v>780</v>
      </c>
      <c r="K36" s="1930" t="s">
        <v>550</v>
      </c>
      <c r="L36" s="1473"/>
      <c r="M36" s="929" t="s">
        <v>476</v>
      </c>
      <c r="N36" s="928" t="s">
        <v>477</v>
      </c>
      <c r="O36" s="928" t="s">
        <v>478</v>
      </c>
      <c r="P36" s="928" t="s">
        <v>478</v>
      </c>
      <c r="Q36" s="926" t="s">
        <v>572</v>
      </c>
      <c r="R36" s="1927" t="s">
        <v>780</v>
      </c>
      <c r="S36" s="1930" t="s">
        <v>550</v>
      </c>
      <c r="T36" s="826"/>
      <c r="U36" s="929" t="s">
        <v>476</v>
      </c>
      <c r="V36" s="928" t="s">
        <v>477</v>
      </c>
      <c r="W36" s="928" t="s">
        <v>478</v>
      </c>
      <c r="X36" s="928" t="s">
        <v>478</v>
      </c>
      <c r="Y36" s="926" t="s">
        <v>572</v>
      </c>
      <c r="Z36" s="1927" t="s">
        <v>780</v>
      </c>
      <c r="AA36" s="1930" t="s">
        <v>550</v>
      </c>
    </row>
    <row r="37" spans="2:32" ht="20.100000000000001" customHeight="1" x14ac:dyDescent="0.25">
      <c r="B37" s="685"/>
      <c r="C37" s="930" t="s">
        <v>565</v>
      </c>
      <c r="D37" s="1938"/>
      <c r="E37" s="936" t="s">
        <v>479</v>
      </c>
      <c r="F37" s="937" t="s">
        <v>480</v>
      </c>
      <c r="G37" s="937" t="s">
        <v>548</v>
      </c>
      <c r="H37" s="937" t="s">
        <v>549</v>
      </c>
      <c r="I37" s="932" t="s">
        <v>573</v>
      </c>
      <c r="J37" s="1928"/>
      <c r="K37" s="1932"/>
      <c r="L37" s="1474"/>
      <c r="M37" s="938" t="s">
        <v>479</v>
      </c>
      <c r="N37" s="937" t="s">
        <v>480</v>
      </c>
      <c r="O37" s="937" t="s">
        <v>548</v>
      </c>
      <c r="P37" s="937" t="s">
        <v>549</v>
      </c>
      <c r="Q37" s="1337" t="s">
        <v>573</v>
      </c>
      <c r="R37" s="1928"/>
      <c r="S37" s="1935"/>
      <c r="T37" s="826"/>
      <c r="U37" s="938" t="s">
        <v>479</v>
      </c>
      <c r="V37" s="937" t="s">
        <v>480</v>
      </c>
      <c r="W37" s="937" t="s">
        <v>548</v>
      </c>
      <c r="X37" s="937" t="s">
        <v>549</v>
      </c>
      <c r="Y37" s="1337" t="s">
        <v>573</v>
      </c>
      <c r="Z37" s="1928"/>
      <c r="AA37" s="1935"/>
    </row>
    <row r="38" spans="2:32" ht="15" x14ac:dyDescent="0.25">
      <c r="B38" s="1455">
        <v>24</v>
      </c>
      <c r="C38" s="686" t="s">
        <v>712</v>
      </c>
      <c r="D38" s="1447">
        <v>45112</v>
      </c>
      <c r="E38" s="1420">
        <v>2</v>
      </c>
      <c r="F38" s="1413">
        <v>453000</v>
      </c>
      <c r="G38" s="1421">
        <v>2.1000000000000001E-2</v>
      </c>
      <c r="H38" s="1421">
        <v>0.111</v>
      </c>
      <c r="I38" s="1413">
        <f>F38*H38</f>
        <v>50283</v>
      </c>
      <c r="J38" s="1954">
        <v>0.126</v>
      </c>
      <c r="K38" s="1959">
        <v>0</v>
      </c>
      <c r="L38" s="731"/>
      <c r="M38" s="1420">
        <v>2</v>
      </c>
      <c r="N38" s="1413">
        <v>484000</v>
      </c>
      <c r="O38" s="1421">
        <v>1.7000000000000001E-2</v>
      </c>
      <c r="P38" s="1421">
        <v>0.11</v>
      </c>
      <c r="Q38" s="1413">
        <f>N38*P38</f>
        <v>53240</v>
      </c>
      <c r="R38" s="1432">
        <v>0.13300000000000001</v>
      </c>
      <c r="S38" s="1421">
        <v>0</v>
      </c>
      <c r="T38" s="742"/>
      <c r="U38" s="1335">
        <v>3</v>
      </c>
      <c r="V38" s="1329">
        <v>431000</v>
      </c>
      <c r="W38" s="1336">
        <v>1.7999999999999999E-2</v>
      </c>
      <c r="X38" s="1336">
        <v>0.13600000000000001</v>
      </c>
      <c r="Y38" s="1329">
        <v>58616.000000000007</v>
      </c>
      <c r="Z38" s="1408">
        <v>0.159</v>
      </c>
      <c r="AA38" s="1336">
        <v>2.4E-2</v>
      </c>
    </row>
    <row r="39" spans="2:32" ht="15" x14ac:dyDescent="0.2">
      <c r="B39" s="1456">
        <f>B38+1</f>
        <v>25</v>
      </c>
      <c r="C39" s="1434" t="s">
        <v>498</v>
      </c>
      <c r="D39" s="1457">
        <v>452</v>
      </c>
      <c r="E39" s="1415">
        <v>3</v>
      </c>
      <c r="F39" s="1416">
        <v>123000</v>
      </c>
      <c r="G39" s="1417">
        <v>0.08</v>
      </c>
      <c r="H39" s="1417">
        <v>5.0999999999999997E-2</v>
      </c>
      <c r="I39" s="1416">
        <f t="shared" ref="I39:I48" si="13">F39*H39</f>
        <v>6273</v>
      </c>
      <c r="J39" s="1431">
        <v>4.3999999999999997E-2</v>
      </c>
      <c r="K39" s="1417">
        <v>6.0999999999999999E-2</v>
      </c>
      <c r="L39" s="731"/>
      <c r="M39" s="1415">
        <v>3</v>
      </c>
      <c r="N39" s="1416">
        <v>119000</v>
      </c>
      <c r="O39" s="1417">
        <v>6.5000000000000002E-2</v>
      </c>
      <c r="P39" s="1417">
        <v>5.0999999999999997E-2</v>
      </c>
      <c r="Q39" s="1416">
        <f t="shared" ref="Q39:Q48" si="14">N39*P39</f>
        <v>6069</v>
      </c>
      <c r="R39" s="1431">
        <v>4.3999999999999997E-2</v>
      </c>
      <c r="S39" s="1417">
        <v>7.0000000000000007E-2</v>
      </c>
      <c r="T39" s="1441"/>
      <c r="U39" s="1436">
        <v>3</v>
      </c>
      <c r="V39" s="1437">
        <v>108000</v>
      </c>
      <c r="W39" s="1438">
        <v>0.06</v>
      </c>
      <c r="X39" s="1438">
        <v>5.0999999999999997E-2</v>
      </c>
      <c r="Y39" s="1437">
        <v>5508</v>
      </c>
      <c r="Z39" s="1450">
        <v>5.1999999999999998E-2</v>
      </c>
      <c r="AA39" s="1438">
        <v>3.7999999999999999E-2</v>
      </c>
    </row>
    <row r="40" spans="2:32" ht="15" x14ac:dyDescent="0.2">
      <c r="B40" s="1455">
        <f t="shared" ref="B40:B41" si="15">B39+1</f>
        <v>26</v>
      </c>
      <c r="C40" s="683" t="s">
        <v>499</v>
      </c>
      <c r="D40" s="1447">
        <v>4532</v>
      </c>
      <c r="E40" s="1955">
        <v>4</v>
      </c>
      <c r="F40" s="1956">
        <v>198000</v>
      </c>
      <c r="G40" s="1957">
        <v>5.3999999999999999E-2</v>
      </c>
      <c r="H40" s="1957">
        <v>0.161</v>
      </c>
      <c r="I40" s="1956">
        <f t="shared" si="13"/>
        <v>31878</v>
      </c>
      <c r="J40" s="1958">
        <v>0.17</v>
      </c>
      <c r="K40" s="1957">
        <v>3.5000000000000003E-2</v>
      </c>
      <c r="L40" s="731"/>
      <c r="M40" s="1420">
        <v>3</v>
      </c>
      <c r="N40" s="1413">
        <v>182000</v>
      </c>
      <c r="O40" s="1421">
        <v>4.9000000000000002E-2</v>
      </c>
      <c r="P40" s="1421">
        <v>0.16</v>
      </c>
      <c r="Q40" s="1413">
        <f t="shared" si="14"/>
        <v>29120</v>
      </c>
      <c r="R40" s="1432">
        <v>0.16300000000000001</v>
      </c>
      <c r="S40" s="1421">
        <v>5.5E-2</v>
      </c>
      <c r="T40" s="742"/>
      <c r="U40" s="1335">
        <v>4</v>
      </c>
      <c r="V40" s="1329">
        <v>164000</v>
      </c>
      <c r="W40" s="1336">
        <v>5.2999999999999999E-2</v>
      </c>
      <c r="X40" s="1336">
        <v>0.157</v>
      </c>
      <c r="Y40" s="1329">
        <v>25748</v>
      </c>
      <c r="Z40" s="1408">
        <v>0.17599999999999999</v>
      </c>
      <c r="AA40" s="1336">
        <v>2.7E-2</v>
      </c>
    </row>
    <row r="41" spans="2:32" ht="15" x14ac:dyDescent="0.2">
      <c r="B41" s="1456">
        <f t="shared" si="15"/>
        <v>27</v>
      </c>
      <c r="C41" s="1434" t="s">
        <v>705</v>
      </c>
      <c r="D41" s="1457">
        <v>454</v>
      </c>
      <c r="E41" s="1415">
        <v>3</v>
      </c>
      <c r="F41" s="1416">
        <v>228000</v>
      </c>
      <c r="G41" s="1417">
        <v>3.3000000000000002E-2</v>
      </c>
      <c r="H41" s="1417">
        <v>4.7E-2</v>
      </c>
      <c r="I41" s="1416">
        <f t="shared" si="13"/>
        <v>10716</v>
      </c>
      <c r="J41" s="1426">
        <v>7.0000000000000007E-2</v>
      </c>
      <c r="K41" s="1953" t="s">
        <v>870</v>
      </c>
      <c r="L41" s="731"/>
      <c r="M41" s="1415">
        <v>4</v>
      </c>
      <c r="N41" s="1416">
        <v>245000</v>
      </c>
      <c r="O41" s="1417">
        <v>3.7999999999999999E-2</v>
      </c>
      <c r="P41" s="1417">
        <v>3.5999999999999997E-2</v>
      </c>
      <c r="Q41" s="1416">
        <f t="shared" si="14"/>
        <v>8820</v>
      </c>
      <c r="R41" s="1426">
        <v>6.8000000000000005E-2</v>
      </c>
      <c r="S41" s="1417">
        <v>-5.0000000000000001E-3</v>
      </c>
      <c r="T41" s="1441"/>
      <c r="U41" s="1436">
        <v>4</v>
      </c>
      <c r="V41" s="1437">
        <v>250000</v>
      </c>
      <c r="W41" s="1438">
        <v>2.5000000000000001E-2</v>
      </c>
      <c r="X41" s="1438">
        <v>2.3E-2</v>
      </c>
      <c r="Y41" s="1437">
        <v>5750</v>
      </c>
      <c r="Z41" s="1450">
        <v>6.6000000000000003E-2</v>
      </c>
      <c r="AA41" s="1438">
        <v>8.0000000000000002E-3</v>
      </c>
    </row>
    <row r="42" spans="2:32" ht="15" x14ac:dyDescent="0.2">
      <c r="B42" s="1455">
        <f>B41+1</f>
        <v>28</v>
      </c>
      <c r="C42" s="1453" t="s">
        <v>711</v>
      </c>
      <c r="D42" s="1447">
        <v>47114</v>
      </c>
      <c r="E42" s="1955">
        <v>6</v>
      </c>
      <c r="F42" s="1956">
        <v>215000</v>
      </c>
      <c r="G42" s="1957">
        <v>2.8000000000000001E-2</v>
      </c>
      <c r="H42" s="1957">
        <v>2E-3</v>
      </c>
      <c r="I42" s="1956">
        <f t="shared" si="13"/>
        <v>430</v>
      </c>
      <c r="J42" s="1958">
        <v>3.5999999999999997E-2</v>
      </c>
      <c r="K42" s="1957">
        <v>-4.2999999999999997E-2</v>
      </c>
      <c r="L42" s="731"/>
      <c r="M42" s="1420">
        <v>7</v>
      </c>
      <c r="N42" s="1413">
        <v>221000</v>
      </c>
      <c r="O42" s="1421">
        <v>1.7999999999999999E-2</v>
      </c>
      <c r="P42" s="1421">
        <v>6.0000000000000001E-3</v>
      </c>
      <c r="Q42" s="1413">
        <f t="shared" si="14"/>
        <v>1326</v>
      </c>
      <c r="R42" s="1432">
        <v>3.4000000000000002E-2</v>
      </c>
      <c r="S42" s="1421">
        <v>0</v>
      </c>
      <c r="T42" s="742"/>
      <c r="U42" s="1335">
        <v>7</v>
      </c>
      <c r="V42" s="1329">
        <v>153000</v>
      </c>
      <c r="W42" s="1336">
        <v>0.02</v>
      </c>
      <c r="X42" s="1336">
        <v>0.01</v>
      </c>
      <c r="Y42" s="1329">
        <v>1530</v>
      </c>
      <c r="Z42" s="1408">
        <v>4.2000000000000003E-2</v>
      </c>
      <c r="AA42" s="1336">
        <v>0.106</v>
      </c>
    </row>
    <row r="43" spans="2:32" ht="15" x14ac:dyDescent="0.2">
      <c r="B43" s="1456">
        <f t="shared" ref="B43:B48" si="16">B42+1</f>
        <v>29</v>
      </c>
      <c r="C43" s="1434" t="s">
        <v>555</v>
      </c>
      <c r="D43" s="1457">
        <v>47521</v>
      </c>
      <c r="E43" s="1415">
        <v>4</v>
      </c>
      <c r="F43" s="1416">
        <v>180000</v>
      </c>
      <c r="G43" s="1417">
        <v>4.3999999999999997E-2</v>
      </c>
      <c r="H43" s="1417">
        <v>0.11</v>
      </c>
      <c r="I43" s="1416">
        <f t="shared" si="13"/>
        <v>19800</v>
      </c>
      <c r="J43" s="1426">
        <v>8.1000000000000003E-2</v>
      </c>
      <c r="K43" s="1417">
        <v>-1E-3</v>
      </c>
      <c r="L43" s="731"/>
      <c r="M43" s="1415">
        <v>4</v>
      </c>
      <c r="N43" s="1416">
        <v>156000</v>
      </c>
      <c r="O43" s="1417">
        <v>4.4999999999999998E-2</v>
      </c>
      <c r="P43" s="1417">
        <v>7.2999999999999995E-2</v>
      </c>
      <c r="Q43" s="1416">
        <f t="shared" si="14"/>
        <v>11388</v>
      </c>
      <c r="R43" s="1426">
        <v>8.4000000000000005E-2</v>
      </c>
      <c r="S43" s="1417">
        <v>-2.5000000000000001E-2</v>
      </c>
      <c r="T43" s="1441"/>
      <c r="U43" s="1436">
        <v>4</v>
      </c>
      <c r="V43" s="1437">
        <v>154000</v>
      </c>
      <c r="W43" s="1438">
        <v>4.2000000000000003E-2</v>
      </c>
      <c r="X43" s="1438">
        <v>7.2999999999999995E-2</v>
      </c>
      <c r="Y43" s="1437">
        <v>11242</v>
      </c>
      <c r="Z43" s="1450">
        <v>7.0000000000000007E-2</v>
      </c>
      <c r="AA43" s="1438">
        <v>-9.0999999999999998E-2</v>
      </c>
    </row>
    <row r="44" spans="2:32" ht="15" x14ac:dyDescent="0.2">
      <c r="B44" s="1455">
        <f t="shared" si="16"/>
        <v>30</v>
      </c>
      <c r="C44" s="731" t="s">
        <v>554</v>
      </c>
      <c r="D44" s="1447">
        <v>4771</v>
      </c>
      <c r="E44" s="1955">
        <v>5</v>
      </c>
      <c r="F44" s="1956">
        <v>283000</v>
      </c>
      <c r="G44" s="1957">
        <v>0.03</v>
      </c>
      <c r="H44" s="1957">
        <v>0.214</v>
      </c>
      <c r="I44" s="1956">
        <f t="shared" si="13"/>
        <v>60562</v>
      </c>
      <c r="J44" s="1958">
        <v>0.22600000000000001</v>
      </c>
      <c r="K44" s="1957">
        <v>-2.3E-2</v>
      </c>
      <c r="L44" s="731"/>
      <c r="M44" s="1420">
        <v>4</v>
      </c>
      <c r="N44" s="1413">
        <v>254000</v>
      </c>
      <c r="O44" s="1421">
        <v>4.1000000000000002E-2</v>
      </c>
      <c r="P44" s="1421">
        <v>0.184</v>
      </c>
      <c r="Q44" s="1413">
        <f t="shared" si="14"/>
        <v>46736</v>
      </c>
      <c r="R44" s="1432">
        <v>0.22700000000000001</v>
      </c>
      <c r="S44" s="1421">
        <v>-2.5999999999999999E-2</v>
      </c>
      <c r="T44" s="742"/>
      <c r="U44" s="1335">
        <v>5</v>
      </c>
      <c r="V44" s="1329">
        <v>202000</v>
      </c>
      <c r="W44" s="1336">
        <v>4.1000000000000002E-2</v>
      </c>
      <c r="X44" s="1336">
        <v>0.17699999999999999</v>
      </c>
      <c r="Y44" s="1329">
        <v>35754</v>
      </c>
      <c r="Z44" s="1408">
        <v>0.193</v>
      </c>
      <c r="AA44" s="1336">
        <v>-1.9E-2</v>
      </c>
    </row>
    <row r="45" spans="2:32" ht="15" x14ac:dyDescent="0.2">
      <c r="B45" s="1456">
        <f t="shared" si="16"/>
        <v>31</v>
      </c>
      <c r="C45" s="1458" t="s">
        <v>713</v>
      </c>
      <c r="D45" s="1457">
        <v>474</v>
      </c>
      <c r="E45" s="1415">
        <v>3</v>
      </c>
      <c r="F45" s="1416">
        <v>203000</v>
      </c>
      <c r="G45" s="1417">
        <v>0.04</v>
      </c>
      <c r="H45" s="1417">
        <v>0.23400000000000001</v>
      </c>
      <c r="I45" s="1416">
        <f t="shared" si="13"/>
        <v>47502</v>
      </c>
      <c r="J45" s="1426">
        <v>0.30399999999999999</v>
      </c>
      <c r="K45" s="1417">
        <v>-0.01</v>
      </c>
      <c r="L45" s="731"/>
      <c r="M45" s="1415">
        <v>3</v>
      </c>
      <c r="N45" s="1416">
        <v>203000</v>
      </c>
      <c r="O45" s="1417">
        <v>3.9E-2</v>
      </c>
      <c r="P45" s="1417">
        <v>0.23799999999999999</v>
      </c>
      <c r="Q45" s="1416">
        <f t="shared" si="14"/>
        <v>48314</v>
      </c>
      <c r="R45" s="1426">
        <v>0.28499999999999998</v>
      </c>
      <c r="S45" s="1417">
        <v>3.2000000000000001E-2</v>
      </c>
      <c r="T45" s="1459"/>
      <c r="U45" s="1436">
        <v>3</v>
      </c>
      <c r="V45" s="1437">
        <v>152000</v>
      </c>
      <c r="W45" s="1438">
        <v>5.0999999999999997E-2</v>
      </c>
      <c r="X45" s="1438">
        <v>0.252</v>
      </c>
      <c r="Y45" s="1437">
        <v>38304</v>
      </c>
      <c r="Z45" s="1450">
        <v>0.34100000000000003</v>
      </c>
      <c r="AA45" s="1438">
        <v>0</v>
      </c>
    </row>
    <row r="46" spans="2:32" ht="15" x14ac:dyDescent="0.2">
      <c r="B46" s="1446">
        <f t="shared" si="16"/>
        <v>32</v>
      </c>
      <c r="C46" s="1453" t="s">
        <v>714</v>
      </c>
      <c r="D46" s="1447">
        <v>47641</v>
      </c>
      <c r="E46" s="1420">
        <v>2</v>
      </c>
      <c r="F46" s="1413">
        <v>123000</v>
      </c>
      <c r="G46" s="1421">
        <v>1.7000000000000001E-2</v>
      </c>
      <c r="H46" s="1421">
        <v>0.23</v>
      </c>
      <c r="I46" s="1413">
        <f t="shared" si="13"/>
        <v>28290</v>
      </c>
      <c r="J46" s="1954">
        <v>0.28000000000000003</v>
      </c>
      <c r="K46" s="1421">
        <v>-8.0000000000000002E-3</v>
      </c>
      <c r="L46" s="731"/>
      <c r="M46" s="1420">
        <v>3</v>
      </c>
      <c r="N46" s="1413">
        <v>123000</v>
      </c>
      <c r="O46" s="1421">
        <v>3.6999999999999998E-2</v>
      </c>
      <c r="P46" s="1421">
        <v>0.19900000000000001</v>
      </c>
      <c r="Q46" s="1413">
        <f t="shared" si="14"/>
        <v>24477</v>
      </c>
      <c r="R46" s="1432">
        <v>0.27</v>
      </c>
      <c r="S46" s="1421">
        <v>0.123</v>
      </c>
      <c r="T46" s="742"/>
      <c r="U46" s="1335">
        <v>3</v>
      </c>
      <c r="V46" s="1329">
        <v>123000</v>
      </c>
      <c r="W46" s="1336">
        <v>3.6999999999999998E-2</v>
      </c>
      <c r="X46" s="1336">
        <v>0.19900000000000001</v>
      </c>
      <c r="Y46" s="1329">
        <v>24477</v>
      </c>
      <c r="Z46" s="1408">
        <v>0.27</v>
      </c>
      <c r="AA46" s="1336">
        <v>0.123</v>
      </c>
      <c r="AC46" s="737"/>
      <c r="AD46" s="684"/>
      <c r="AE46" s="1315"/>
      <c r="AF46" s="1316"/>
    </row>
    <row r="47" spans="2:32" ht="15" x14ac:dyDescent="0.2">
      <c r="B47" s="1456">
        <f t="shared" si="16"/>
        <v>33</v>
      </c>
      <c r="C47" s="1458" t="s">
        <v>706</v>
      </c>
      <c r="D47" s="1457">
        <v>47301</v>
      </c>
      <c r="E47" s="1415">
        <v>2</v>
      </c>
      <c r="F47" s="1416">
        <v>113000</v>
      </c>
      <c r="G47" s="1417">
        <v>4.2999999999999997E-2</v>
      </c>
      <c r="H47" s="1417">
        <v>0.03</v>
      </c>
      <c r="I47" s="1416">
        <f t="shared" si="13"/>
        <v>3390</v>
      </c>
      <c r="J47" s="1426">
        <v>4.2000000000000003E-2</v>
      </c>
      <c r="K47" s="1953">
        <v>0</v>
      </c>
      <c r="L47" s="731"/>
      <c r="M47" s="1415">
        <v>3</v>
      </c>
      <c r="N47" s="1416">
        <v>95000</v>
      </c>
      <c r="O47" s="1417">
        <v>4.7E-2</v>
      </c>
      <c r="P47" s="1417">
        <v>4.2999999999999997E-2</v>
      </c>
      <c r="Q47" s="1416">
        <f t="shared" si="14"/>
        <v>4084.9999999999995</v>
      </c>
      <c r="R47" s="1426">
        <v>4.8000000000000001E-2</v>
      </c>
      <c r="S47" s="1417">
        <v>0</v>
      </c>
      <c r="T47" s="1441"/>
      <c r="U47" s="1436">
        <v>3</v>
      </c>
      <c r="V47" s="1437">
        <v>98000</v>
      </c>
      <c r="W47" s="1438">
        <v>4.5999999999999999E-2</v>
      </c>
      <c r="X47" s="1438">
        <v>3.2000000000000001E-2</v>
      </c>
      <c r="Y47" s="1437">
        <v>3136</v>
      </c>
      <c r="Z47" s="1450">
        <v>4.2000000000000003E-2</v>
      </c>
      <c r="AA47" s="1438">
        <v>0</v>
      </c>
      <c r="AC47" s="737"/>
      <c r="AD47" s="684"/>
      <c r="AE47" s="1315"/>
      <c r="AF47" s="1316"/>
    </row>
    <row r="48" spans="2:32" ht="15" x14ac:dyDescent="0.2">
      <c r="B48" s="1455">
        <f t="shared" si="16"/>
        <v>34</v>
      </c>
      <c r="C48" s="1454" t="s">
        <v>704</v>
      </c>
      <c r="D48" s="1447">
        <v>47761</v>
      </c>
      <c r="E48" s="1955">
        <v>2</v>
      </c>
      <c r="F48" s="1956">
        <v>101000</v>
      </c>
      <c r="G48" s="1957">
        <v>7.0000000000000007E-2</v>
      </c>
      <c r="H48" s="1957">
        <v>0.22500000000000001</v>
      </c>
      <c r="I48" s="1413">
        <f t="shared" si="13"/>
        <v>22725</v>
      </c>
      <c r="J48" s="1958">
        <v>0.23200000000000001</v>
      </c>
      <c r="K48" s="1957">
        <v>4.3999999999999997E-2</v>
      </c>
      <c r="L48" s="731"/>
      <c r="M48" s="1420">
        <v>3</v>
      </c>
      <c r="N48" s="1413">
        <v>109000</v>
      </c>
      <c r="O48" s="1421">
        <v>2.7E-2</v>
      </c>
      <c r="P48" s="1421">
        <v>0.26800000000000002</v>
      </c>
      <c r="Q48" s="1413">
        <f t="shared" si="14"/>
        <v>29212</v>
      </c>
      <c r="R48" s="1432">
        <v>0.247</v>
      </c>
      <c r="S48" s="1421">
        <v>0.157</v>
      </c>
      <c r="T48" s="742"/>
      <c r="U48" s="1335">
        <v>3</v>
      </c>
      <c r="V48" s="1329">
        <v>53000</v>
      </c>
      <c r="W48" s="1336">
        <v>7.0999999999999994E-2</v>
      </c>
      <c r="X48" s="1336">
        <v>0.35299999999999998</v>
      </c>
      <c r="Y48" s="1329">
        <v>18709</v>
      </c>
      <c r="Z48" s="1408">
        <v>0.312</v>
      </c>
      <c r="AA48" s="1336">
        <v>0.125</v>
      </c>
    </row>
    <row r="49" spans="2:33" ht="12" customHeight="1" x14ac:dyDescent="0.2">
      <c r="B49" s="684"/>
      <c r="C49" s="731"/>
      <c r="D49" s="736"/>
      <c r="E49" s="731"/>
      <c r="F49" s="731"/>
      <c r="G49" s="731"/>
      <c r="H49" s="731"/>
      <c r="I49" s="731"/>
      <c r="J49" s="731"/>
      <c r="K49" s="731"/>
      <c r="L49" s="731"/>
      <c r="M49" s="684"/>
      <c r="N49" s="743"/>
      <c r="O49" s="738"/>
      <c r="P49" s="738"/>
      <c r="Q49" s="743"/>
      <c r="R49" s="743"/>
      <c r="S49" s="738"/>
      <c r="T49" s="742"/>
      <c r="U49" s="684"/>
      <c r="V49" s="743"/>
      <c r="W49" s="738"/>
      <c r="X49" s="738"/>
      <c r="Y49" s="738"/>
      <c r="Z49" s="738"/>
      <c r="AA49" s="738"/>
    </row>
    <row r="50" spans="2:33" ht="14.25" customHeight="1" x14ac:dyDescent="0.25">
      <c r="B50" s="685"/>
      <c r="C50" s="686"/>
      <c r="D50" s="1327"/>
      <c r="E50" s="1317" t="s">
        <v>0</v>
      </c>
      <c r="F50" s="1317"/>
      <c r="G50" s="1318" t="s">
        <v>567</v>
      </c>
      <c r="H50" s="1326">
        <f>H35</f>
        <v>2024</v>
      </c>
      <c r="I50" s="1317"/>
      <c r="J50" s="1317"/>
      <c r="K50" s="1317"/>
      <c r="L50" s="686"/>
      <c r="M50" s="1317" t="str">
        <f>M35</f>
        <v xml:space="preserve"> </v>
      </c>
      <c r="N50" s="1317"/>
      <c r="O50" s="1318" t="s">
        <v>567</v>
      </c>
      <c r="P50" s="1319">
        <f>P35</f>
        <v>2023</v>
      </c>
      <c r="Q50" s="1317"/>
      <c r="R50" s="1317"/>
      <c r="S50" s="1317"/>
      <c r="T50" s="728"/>
      <c r="U50" s="1317" t="s">
        <v>0</v>
      </c>
      <c r="V50" s="1317"/>
      <c r="W50" s="1318" t="s">
        <v>567</v>
      </c>
      <c r="X50" s="1319">
        <f>X35</f>
        <v>2022</v>
      </c>
      <c r="Y50" s="1317"/>
      <c r="Z50" s="1317"/>
      <c r="AA50" s="1317"/>
    </row>
    <row r="51" spans="2:33" ht="15" x14ac:dyDescent="0.25">
      <c r="B51" s="685"/>
      <c r="C51" s="686"/>
      <c r="D51" s="1933" t="s">
        <v>551</v>
      </c>
      <c r="E51" s="927" t="s">
        <v>476</v>
      </c>
      <c r="F51" s="928" t="s">
        <v>477</v>
      </c>
      <c r="G51" s="928" t="s">
        <v>478</v>
      </c>
      <c r="H51" s="928" t="s">
        <v>478</v>
      </c>
      <c r="I51" s="926" t="s">
        <v>572</v>
      </c>
      <c r="J51" s="1927" t="s">
        <v>780</v>
      </c>
      <c r="K51" s="1930" t="s">
        <v>550</v>
      </c>
      <c r="L51" s="1473"/>
      <c r="M51" s="929" t="s">
        <v>476</v>
      </c>
      <c r="N51" s="928" t="s">
        <v>477</v>
      </c>
      <c r="O51" s="928" t="s">
        <v>478</v>
      </c>
      <c r="P51" s="928" t="s">
        <v>478</v>
      </c>
      <c r="Q51" s="926" t="s">
        <v>572</v>
      </c>
      <c r="R51" s="1927" t="s">
        <v>780</v>
      </c>
      <c r="S51" s="1930" t="s">
        <v>550</v>
      </c>
      <c r="T51" s="826"/>
      <c r="U51" s="929" t="s">
        <v>476</v>
      </c>
      <c r="V51" s="928" t="s">
        <v>477</v>
      </c>
      <c r="W51" s="928" t="s">
        <v>478</v>
      </c>
      <c r="X51" s="928" t="s">
        <v>478</v>
      </c>
      <c r="Y51" s="926" t="s">
        <v>572</v>
      </c>
      <c r="Z51" s="1927" t="s">
        <v>780</v>
      </c>
      <c r="AA51" s="1930" t="s">
        <v>550</v>
      </c>
    </row>
    <row r="52" spans="2:33" ht="20.100000000000001" customHeight="1" x14ac:dyDescent="0.25">
      <c r="B52" s="685"/>
      <c r="C52" s="930" t="s">
        <v>566</v>
      </c>
      <c r="D52" s="1934"/>
      <c r="E52" s="936" t="s">
        <v>479</v>
      </c>
      <c r="F52" s="937" t="s">
        <v>480</v>
      </c>
      <c r="G52" s="937" t="s">
        <v>548</v>
      </c>
      <c r="H52" s="937" t="s">
        <v>549</v>
      </c>
      <c r="I52" s="932" t="s">
        <v>573</v>
      </c>
      <c r="J52" s="1928"/>
      <c r="K52" s="1931"/>
      <c r="L52" s="1474"/>
      <c r="M52" s="938" t="s">
        <v>479</v>
      </c>
      <c r="N52" s="937" t="s">
        <v>480</v>
      </c>
      <c r="O52" s="937" t="s">
        <v>548</v>
      </c>
      <c r="P52" s="937" t="s">
        <v>549</v>
      </c>
      <c r="Q52" s="1337" t="s">
        <v>573</v>
      </c>
      <c r="R52" s="1928"/>
      <c r="S52" s="1935"/>
      <c r="T52" s="826"/>
      <c r="U52" s="938" t="s">
        <v>479</v>
      </c>
      <c r="V52" s="937" t="s">
        <v>480</v>
      </c>
      <c r="W52" s="937" t="s">
        <v>548</v>
      </c>
      <c r="X52" s="937" t="s">
        <v>549</v>
      </c>
      <c r="Y52" s="1337" t="s">
        <v>573</v>
      </c>
      <c r="Z52" s="1928"/>
      <c r="AA52" s="1935"/>
    </row>
    <row r="53" spans="2:33" ht="15" x14ac:dyDescent="0.2">
      <c r="B53" s="1446">
        <v>35</v>
      </c>
      <c r="C53" s="1453" t="s">
        <v>586</v>
      </c>
      <c r="D53" s="1460" t="s">
        <v>585</v>
      </c>
      <c r="E53" s="1960">
        <v>3</v>
      </c>
      <c r="F53" s="1956">
        <v>148000</v>
      </c>
      <c r="G53" s="1957">
        <v>0.161</v>
      </c>
      <c r="H53" s="1957">
        <v>3.0000000000000001E-3</v>
      </c>
      <c r="I53" s="1956">
        <f t="shared" ref="I53:I73" si="17">F53*H53</f>
        <v>444</v>
      </c>
      <c r="J53" s="1958">
        <v>0</v>
      </c>
      <c r="K53" s="1957">
        <v>0.03</v>
      </c>
      <c r="L53" s="822"/>
      <c r="M53" s="1444">
        <v>3</v>
      </c>
      <c r="N53" s="1413">
        <v>162000</v>
      </c>
      <c r="O53" s="1421">
        <v>0.159</v>
      </c>
      <c r="P53" s="1421">
        <v>2.1000000000000001E-2</v>
      </c>
      <c r="Q53" s="1413">
        <f t="shared" ref="Q53:Q73" si="18">N53*P53</f>
        <v>3402</v>
      </c>
      <c r="R53" s="1951"/>
      <c r="S53" s="1421">
        <v>0.10199999999999999</v>
      </c>
      <c r="T53" s="738"/>
      <c r="U53" s="1445">
        <v>3</v>
      </c>
      <c r="V53" s="1329">
        <v>129000</v>
      </c>
      <c r="W53" s="1336">
        <v>0.16400000000000001</v>
      </c>
      <c r="X53" s="1336">
        <v>2.1000000000000001E-2</v>
      </c>
      <c r="Y53" s="1329">
        <v>2709</v>
      </c>
      <c r="Z53" s="1408">
        <v>1.0999999999999999E-2</v>
      </c>
      <c r="AA53" s="1336">
        <v>0.13900000000000001</v>
      </c>
    </row>
    <row r="54" spans="2:33" ht="15" x14ac:dyDescent="0.2">
      <c r="B54" s="1442">
        <f>1+B53</f>
        <v>36</v>
      </c>
      <c r="C54" s="1458" t="s">
        <v>709</v>
      </c>
      <c r="D54" s="1468">
        <v>4932</v>
      </c>
      <c r="E54" s="1425">
        <v>3</v>
      </c>
      <c r="F54" s="1416">
        <v>62000</v>
      </c>
      <c r="G54" s="1417">
        <v>0.104</v>
      </c>
      <c r="H54" s="1417">
        <v>1.7000000000000001E-2</v>
      </c>
      <c r="I54" s="1416">
        <f t="shared" si="17"/>
        <v>1054</v>
      </c>
      <c r="J54" s="1426">
        <v>0</v>
      </c>
      <c r="K54" s="1417">
        <v>4.2000000000000003E-2</v>
      </c>
      <c r="L54" s="731"/>
      <c r="M54" s="1425">
        <v>3</v>
      </c>
      <c r="N54" s="1416">
        <v>61000</v>
      </c>
      <c r="O54" s="1417">
        <v>0.111</v>
      </c>
      <c r="P54" s="1417">
        <v>1.4999999999999999E-2</v>
      </c>
      <c r="Q54" s="1416">
        <f t="shared" si="18"/>
        <v>915</v>
      </c>
      <c r="R54" s="1952"/>
      <c r="S54" s="1417">
        <v>9.7000000000000003E-2</v>
      </c>
      <c r="T54" s="1469"/>
      <c r="U54" s="1449">
        <v>3</v>
      </c>
      <c r="V54" s="1437">
        <v>62000</v>
      </c>
      <c r="W54" s="1438">
        <v>0.11</v>
      </c>
      <c r="X54" s="1438">
        <v>0.01</v>
      </c>
      <c r="Y54" s="1437">
        <v>620</v>
      </c>
      <c r="Z54" s="1450">
        <v>0</v>
      </c>
      <c r="AA54" s="1438">
        <v>0.217</v>
      </c>
      <c r="AC54" s="684"/>
      <c r="AD54" s="684"/>
      <c r="AE54" s="684"/>
      <c r="AF54" s="1315"/>
      <c r="AG54" s="1316"/>
    </row>
    <row r="55" spans="2:33" ht="15" x14ac:dyDescent="0.25">
      <c r="B55" s="1446">
        <f t="shared" ref="B55:B73" si="19">1+B54</f>
        <v>37</v>
      </c>
      <c r="C55" s="1462" t="s">
        <v>708</v>
      </c>
      <c r="D55" s="1461">
        <v>4941</v>
      </c>
      <c r="E55" s="1444">
        <v>4</v>
      </c>
      <c r="F55" s="1413">
        <v>147000</v>
      </c>
      <c r="G55" s="1421">
        <v>9.2999999999999999E-2</v>
      </c>
      <c r="H55" s="1421">
        <v>3.3000000000000002E-2</v>
      </c>
      <c r="I55" s="1413">
        <f t="shared" si="17"/>
        <v>4851</v>
      </c>
      <c r="J55" s="1432">
        <v>0</v>
      </c>
      <c r="K55" s="1421">
        <v>5.0000000000000001E-3</v>
      </c>
      <c r="L55" s="286"/>
      <c r="M55" s="1444">
        <v>5</v>
      </c>
      <c r="N55" s="1413">
        <v>127000</v>
      </c>
      <c r="O55" s="1421">
        <v>8.7999999999999995E-2</v>
      </c>
      <c r="P55" s="1421">
        <v>4.1000000000000002E-2</v>
      </c>
      <c r="Q55" s="1413">
        <f t="shared" si="18"/>
        <v>5207</v>
      </c>
      <c r="R55" s="1951"/>
      <c r="S55" s="1421">
        <v>0.13300000000000001</v>
      </c>
      <c r="T55" s="738"/>
      <c r="U55" s="1445">
        <v>5</v>
      </c>
      <c r="V55" s="1329">
        <v>127000</v>
      </c>
      <c r="W55" s="1336">
        <v>8.7999999999999995E-2</v>
      </c>
      <c r="X55" s="1336">
        <v>4.1000000000000002E-2</v>
      </c>
      <c r="Y55" s="1329">
        <v>5207</v>
      </c>
      <c r="Z55" s="1408">
        <v>0</v>
      </c>
      <c r="AA55" s="1336">
        <v>0.13300000000000001</v>
      </c>
    </row>
    <row r="56" spans="2:33" ht="15" x14ac:dyDescent="0.2">
      <c r="B56" s="1442">
        <f t="shared" si="19"/>
        <v>38</v>
      </c>
      <c r="C56" s="1470" t="s">
        <v>500</v>
      </c>
      <c r="D56" s="1471">
        <v>551</v>
      </c>
      <c r="E56" s="1425">
        <v>3</v>
      </c>
      <c r="F56" s="1416">
        <v>106000</v>
      </c>
      <c r="G56" s="1417">
        <v>0.10199999999999999</v>
      </c>
      <c r="H56" s="1417">
        <v>-5.0000000000000001E-3</v>
      </c>
      <c r="I56" s="1416">
        <f t="shared" si="17"/>
        <v>-530</v>
      </c>
      <c r="J56" s="1426">
        <v>5.0000000000000001E-3</v>
      </c>
      <c r="K56" s="1417">
        <v>0.04</v>
      </c>
      <c r="L56" s="1409"/>
      <c r="M56" s="1425">
        <v>4</v>
      </c>
      <c r="N56" s="1416">
        <v>112000</v>
      </c>
      <c r="O56" s="1417">
        <v>9.2999999999999999E-2</v>
      </c>
      <c r="P56" s="1417">
        <v>-1.0999999999999999E-2</v>
      </c>
      <c r="Q56" s="1416">
        <f t="shared" si="18"/>
        <v>-1232</v>
      </c>
      <c r="R56" s="1426">
        <v>4.0000000000000001E-3</v>
      </c>
      <c r="S56" s="1417">
        <v>9.4E-2</v>
      </c>
      <c r="T56" s="1469"/>
      <c r="U56" s="1449">
        <v>5</v>
      </c>
      <c r="V56" s="1437">
        <v>106000</v>
      </c>
      <c r="W56" s="1438">
        <v>0.105</v>
      </c>
      <c r="X56" s="1438">
        <v>-1.0999999999999999E-2</v>
      </c>
      <c r="Y56" s="1437">
        <v>-1166</v>
      </c>
      <c r="Z56" s="1450">
        <v>8.0000000000000002E-3</v>
      </c>
      <c r="AA56" s="1438">
        <v>0.38200000000000001</v>
      </c>
      <c r="AC56" s="731"/>
    </row>
    <row r="57" spans="2:33" ht="15" x14ac:dyDescent="0.2">
      <c r="B57" s="1446">
        <f t="shared" si="19"/>
        <v>39</v>
      </c>
      <c r="C57" s="1463" t="s">
        <v>535</v>
      </c>
      <c r="D57" s="1464">
        <v>561</v>
      </c>
      <c r="E57" s="1960">
        <v>4</v>
      </c>
      <c r="F57" s="1413">
        <v>84000</v>
      </c>
      <c r="G57" s="1957">
        <v>0.05</v>
      </c>
      <c r="H57" s="1957">
        <v>0</v>
      </c>
      <c r="I57" s="1413">
        <f t="shared" si="17"/>
        <v>0</v>
      </c>
      <c r="J57" s="1958">
        <v>1.2999999999999999E-2</v>
      </c>
      <c r="K57" s="1957">
        <v>0</v>
      </c>
      <c r="L57" s="1409"/>
      <c r="M57" s="1444">
        <v>4</v>
      </c>
      <c r="N57" s="1413">
        <v>85000</v>
      </c>
      <c r="O57" s="1421">
        <v>5.1999999999999998E-2</v>
      </c>
      <c r="P57" s="1421">
        <v>9.9999999999999995E-7</v>
      </c>
      <c r="Q57" s="1413">
        <f t="shared" si="18"/>
        <v>8.4999999999999992E-2</v>
      </c>
      <c r="R57" s="1432">
        <v>1.2999999999999999E-2</v>
      </c>
      <c r="S57" s="1421">
        <v>4.7E-2</v>
      </c>
      <c r="T57" s="738"/>
      <c r="U57" s="1445">
        <v>4</v>
      </c>
      <c r="V57" s="1329">
        <v>71000</v>
      </c>
      <c r="W57" s="1336">
        <v>7.6999999999999999E-2</v>
      </c>
      <c r="X57" s="1336">
        <v>1.6E-2</v>
      </c>
      <c r="Y57" s="1329">
        <v>1136</v>
      </c>
      <c r="Z57" s="1408">
        <v>1.2E-2</v>
      </c>
      <c r="AA57" s="1336">
        <v>0.29799999999999999</v>
      </c>
      <c r="AC57" s="731"/>
    </row>
    <row r="58" spans="2:33" ht="15" x14ac:dyDescent="0.2">
      <c r="B58" s="1442">
        <f t="shared" si="19"/>
        <v>40</v>
      </c>
      <c r="C58" s="1470" t="s">
        <v>501</v>
      </c>
      <c r="D58" s="1472">
        <v>562</v>
      </c>
      <c r="E58" s="1425">
        <v>3</v>
      </c>
      <c r="F58" s="1416">
        <v>94000</v>
      </c>
      <c r="G58" s="1417">
        <v>5.3999999999999999E-2</v>
      </c>
      <c r="H58" s="1417">
        <v>1.0999999999999999E-2</v>
      </c>
      <c r="I58" s="1416">
        <f t="shared" si="17"/>
        <v>1034</v>
      </c>
      <c r="J58" s="1426">
        <v>1.0999999999999999E-2</v>
      </c>
      <c r="K58" s="1417">
        <v>0</v>
      </c>
      <c r="L58" s="1409"/>
      <c r="M58" s="1425">
        <v>3</v>
      </c>
      <c r="N58" s="1416">
        <v>87000</v>
      </c>
      <c r="O58" s="1417">
        <v>4.5999999999999999E-2</v>
      </c>
      <c r="P58" s="1417">
        <v>0.01</v>
      </c>
      <c r="Q58" s="1416">
        <f t="shared" si="18"/>
        <v>870</v>
      </c>
      <c r="R58" s="1426">
        <v>0.01</v>
      </c>
      <c r="S58" s="1417">
        <v>7.4999999999999997E-2</v>
      </c>
      <c r="T58" s="1469"/>
      <c r="U58" s="1449">
        <v>7</v>
      </c>
      <c r="V58" s="1437">
        <v>53000</v>
      </c>
      <c r="W58" s="1438">
        <v>3.2000000000000001E-2</v>
      </c>
      <c r="X58" s="1438">
        <v>0</v>
      </c>
      <c r="Y58" s="1437">
        <v>0</v>
      </c>
      <c r="Z58" s="1450">
        <v>1.3999999999999999E-2</v>
      </c>
      <c r="AA58" s="1438">
        <v>0</v>
      </c>
      <c r="AC58" s="731"/>
    </row>
    <row r="59" spans="2:33" ht="15" x14ac:dyDescent="0.2">
      <c r="B59" s="1446">
        <f t="shared" si="19"/>
        <v>41</v>
      </c>
      <c r="C59" s="1465" t="s">
        <v>574</v>
      </c>
      <c r="D59" s="1464">
        <v>56302</v>
      </c>
      <c r="E59" s="1444">
        <v>2</v>
      </c>
      <c r="F59" s="1413">
        <v>60000</v>
      </c>
      <c r="G59" s="1421">
        <v>3.3000000000000002E-2</v>
      </c>
      <c r="H59" s="1421">
        <v>0</v>
      </c>
      <c r="I59" s="1413">
        <f t="shared" si="17"/>
        <v>0</v>
      </c>
      <c r="J59" s="1432">
        <v>1.0999999999999999E-2</v>
      </c>
      <c r="K59" s="1421">
        <v>0</v>
      </c>
      <c r="L59" s="1466"/>
      <c r="M59" s="1444">
        <v>3</v>
      </c>
      <c r="N59" s="1413">
        <v>60000</v>
      </c>
      <c r="O59" s="1421">
        <v>3.5999999999999997E-2</v>
      </c>
      <c r="P59" s="1421">
        <v>9.9999999999999995E-7</v>
      </c>
      <c r="Q59" s="1413">
        <f t="shared" si="18"/>
        <v>0.06</v>
      </c>
      <c r="R59" s="1432">
        <v>1.2999999999999999E-2</v>
      </c>
      <c r="S59" s="1421">
        <v>0</v>
      </c>
      <c r="T59" s="738"/>
      <c r="U59" s="1445">
        <v>4</v>
      </c>
      <c r="V59" s="1329">
        <v>52000</v>
      </c>
      <c r="W59" s="1336">
        <v>3.2000000000000001E-2</v>
      </c>
      <c r="X59" s="1336">
        <v>2E-3</v>
      </c>
      <c r="Y59" s="1329">
        <v>104</v>
      </c>
      <c r="Z59" s="1408">
        <v>1.7000000000000001E-2</v>
      </c>
      <c r="AA59" s="1336">
        <v>0.185</v>
      </c>
      <c r="AC59" s="731"/>
    </row>
    <row r="60" spans="2:33" ht="15" x14ac:dyDescent="0.2">
      <c r="B60" s="1442">
        <f t="shared" si="19"/>
        <v>42</v>
      </c>
      <c r="C60" s="1470" t="s">
        <v>558</v>
      </c>
      <c r="D60" s="1471">
        <v>62</v>
      </c>
      <c r="E60" s="1425">
        <v>5</v>
      </c>
      <c r="F60" s="1416">
        <v>76000</v>
      </c>
      <c r="G60" s="1417">
        <v>4.3999999999999997E-2</v>
      </c>
      <c r="H60" s="1417">
        <v>2.8000000000000001E-2</v>
      </c>
      <c r="I60" s="1416">
        <f t="shared" si="17"/>
        <v>2128</v>
      </c>
      <c r="J60" s="1426">
        <v>0</v>
      </c>
      <c r="K60" s="1417">
        <v>4.5999999999999999E-2</v>
      </c>
      <c r="L60" s="1409"/>
      <c r="M60" s="1425">
        <v>5</v>
      </c>
      <c r="N60" s="1416">
        <v>69000</v>
      </c>
      <c r="O60" s="1417">
        <v>4.4999999999999998E-2</v>
      </c>
      <c r="P60" s="1417">
        <v>3.3000000000000002E-2</v>
      </c>
      <c r="Q60" s="1416">
        <f t="shared" si="18"/>
        <v>2277</v>
      </c>
      <c r="R60" s="1952"/>
      <c r="S60" s="1417">
        <v>4.2999999999999997E-2</v>
      </c>
      <c r="T60" s="1469"/>
      <c r="U60" s="1449">
        <v>6</v>
      </c>
      <c r="V60" s="1437">
        <v>62000</v>
      </c>
      <c r="W60" s="1438">
        <v>4.2999999999999997E-2</v>
      </c>
      <c r="X60" s="1438">
        <v>5.3999999999999999E-2</v>
      </c>
      <c r="Y60" s="1437">
        <v>3348</v>
      </c>
      <c r="Z60" s="1450">
        <v>0</v>
      </c>
      <c r="AA60" s="1438">
        <v>0.123</v>
      </c>
      <c r="AC60" s="731"/>
    </row>
    <row r="61" spans="2:33" ht="15" x14ac:dyDescent="0.25">
      <c r="B61" s="1446">
        <f t="shared" si="19"/>
        <v>43</v>
      </c>
      <c r="C61" s="1467" t="s">
        <v>710</v>
      </c>
      <c r="D61" s="1464">
        <v>6831</v>
      </c>
      <c r="E61" s="1960">
        <v>2</v>
      </c>
      <c r="F61" s="1956">
        <v>68000</v>
      </c>
      <c r="G61" s="1957">
        <v>3.2000000000000001E-2</v>
      </c>
      <c r="H61" s="1957">
        <v>0</v>
      </c>
      <c r="I61" s="1956">
        <f t="shared" si="17"/>
        <v>0</v>
      </c>
      <c r="J61" s="1958">
        <v>0</v>
      </c>
      <c r="K61" s="1957">
        <v>0</v>
      </c>
      <c r="L61" s="286"/>
      <c r="M61" s="1444">
        <v>2</v>
      </c>
      <c r="N61" s="1413">
        <v>68000</v>
      </c>
      <c r="O61" s="1421">
        <v>1.9E-2</v>
      </c>
      <c r="P61" s="1421">
        <v>-8.0000000000000002E-3</v>
      </c>
      <c r="Q61" s="1413">
        <f t="shared" si="18"/>
        <v>-544</v>
      </c>
      <c r="R61" s="1951"/>
      <c r="S61" s="1421">
        <v>-8.7999999999999995E-2</v>
      </c>
      <c r="T61" s="738"/>
      <c r="U61" s="1445">
        <v>2</v>
      </c>
      <c r="V61" s="1329">
        <v>75000</v>
      </c>
      <c r="W61" s="1336">
        <v>5.0000000000000001E-3</v>
      </c>
      <c r="X61" s="1336">
        <v>-3.0000000000000001E-3</v>
      </c>
      <c r="Y61" s="1329">
        <v>-225</v>
      </c>
      <c r="Z61" s="1408">
        <v>0</v>
      </c>
      <c r="AA61" s="1336">
        <v>-3.5999999999999997E-2</v>
      </c>
    </row>
    <row r="62" spans="2:33" ht="15" x14ac:dyDescent="0.2">
      <c r="B62" s="1442">
        <f t="shared" si="19"/>
        <v>44</v>
      </c>
      <c r="C62" s="1470" t="s">
        <v>502</v>
      </c>
      <c r="D62" s="1471">
        <v>69201</v>
      </c>
      <c r="E62" s="1425">
        <v>3</v>
      </c>
      <c r="F62" s="1416">
        <v>81000</v>
      </c>
      <c r="G62" s="1417">
        <v>0.109</v>
      </c>
      <c r="H62" s="1417">
        <v>6.4000000000000001E-2</v>
      </c>
      <c r="I62" s="1416">
        <f t="shared" si="17"/>
        <v>5184</v>
      </c>
      <c r="J62" s="1426">
        <v>0</v>
      </c>
      <c r="K62" s="1417">
        <v>7.2999999999999995E-2</v>
      </c>
      <c r="L62" s="1409"/>
      <c r="M62" s="1425">
        <v>3</v>
      </c>
      <c r="N62" s="1416">
        <v>81000</v>
      </c>
      <c r="O62" s="1417">
        <v>0.1</v>
      </c>
      <c r="P62" s="1417">
        <v>5.7000000000000002E-2</v>
      </c>
      <c r="Q62" s="1416">
        <f t="shared" si="18"/>
        <v>4617</v>
      </c>
      <c r="R62" s="1426">
        <v>0</v>
      </c>
      <c r="S62" s="1417">
        <v>0.08</v>
      </c>
      <c r="T62" s="1469"/>
      <c r="U62" s="1449">
        <v>3</v>
      </c>
      <c r="V62" s="1437">
        <v>71000</v>
      </c>
      <c r="W62" s="1438">
        <v>9.5000000000000001E-2</v>
      </c>
      <c r="X62" s="1438">
        <v>6.2E-2</v>
      </c>
      <c r="Y62" s="1437">
        <v>4402</v>
      </c>
      <c r="Z62" s="1450">
        <v>0</v>
      </c>
      <c r="AA62" s="1438">
        <v>0.109</v>
      </c>
      <c r="AC62" s="731"/>
    </row>
    <row r="63" spans="2:33" ht="15" x14ac:dyDescent="0.2">
      <c r="B63" s="1446">
        <f t="shared" si="19"/>
        <v>45</v>
      </c>
      <c r="C63" s="1463" t="s">
        <v>559</v>
      </c>
      <c r="D63" s="1464">
        <v>7112</v>
      </c>
      <c r="E63" s="1960">
        <v>3</v>
      </c>
      <c r="F63" s="1956">
        <v>117000</v>
      </c>
      <c r="G63" s="1957">
        <v>6.3E-2</v>
      </c>
      <c r="H63" s="1957">
        <v>8.4000000000000005E-2</v>
      </c>
      <c r="I63" s="1956">
        <f t="shared" si="17"/>
        <v>9828</v>
      </c>
      <c r="J63" s="1958">
        <v>1E-3</v>
      </c>
      <c r="K63" s="1957">
        <v>7.0000000000000001E-3</v>
      </c>
      <c r="L63" s="1409"/>
      <c r="M63" s="1444">
        <v>3</v>
      </c>
      <c r="N63" s="1413">
        <v>111000</v>
      </c>
      <c r="O63" s="1421">
        <v>6.4000000000000001E-2</v>
      </c>
      <c r="P63" s="1421">
        <v>9.5000000000000001E-2</v>
      </c>
      <c r="Q63" s="1413">
        <f t="shared" si="18"/>
        <v>10545</v>
      </c>
      <c r="R63" s="1432">
        <v>0</v>
      </c>
      <c r="S63" s="1421">
        <v>4.2999999999999997E-2</v>
      </c>
      <c r="T63" s="738"/>
      <c r="U63" s="1445">
        <v>4</v>
      </c>
      <c r="V63" s="1329">
        <v>112000</v>
      </c>
      <c r="W63" s="1336">
        <v>7.9000000000000001E-2</v>
      </c>
      <c r="X63" s="1336">
        <v>0.108</v>
      </c>
      <c r="Y63" s="1329">
        <v>12096</v>
      </c>
      <c r="Z63" s="1408">
        <v>4.7E-2</v>
      </c>
      <c r="AA63" s="1336">
        <v>0.12</v>
      </c>
      <c r="AC63" s="731"/>
    </row>
    <row r="64" spans="2:33" ht="15" x14ac:dyDescent="0.2">
      <c r="B64" s="1442">
        <f t="shared" si="19"/>
        <v>46</v>
      </c>
      <c r="C64" s="1470" t="s">
        <v>503</v>
      </c>
      <c r="D64" s="1471">
        <v>7311</v>
      </c>
      <c r="E64" s="1425">
        <v>4</v>
      </c>
      <c r="F64" s="1416">
        <v>82000</v>
      </c>
      <c r="G64" s="1417">
        <v>0.03</v>
      </c>
      <c r="H64" s="1417">
        <v>8.3000000000000004E-2</v>
      </c>
      <c r="I64" s="1416">
        <f t="shared" si="17"/>
        <v>6806</v>
      </c>
      <c r="J64" s="1426">
        <v>0</v>
      </c>
      <c r="K64" s="1417">
        <v>0</v>
      </c>
      <c r="L64" s="1409"/>
      <c r="M64" s="1425">
        <v>3</v>
      </c>
      <c r="N64" s="1416">
        <v>79000</v>
      </c>
      <c r="O64" s="1417">
        <v>3.9E-2</v>
      </c>
      <c r="P64" s="1417">
        <v>7.5999999999999998E-2</v>
      </c>
      <c r="Q64" s="1416">
        <f t="shared" si="18"/>
        <v>6004</v>
      </c>
      <c r="R64" s="1426">
        <v>0</v>
      </c>
      <c r="S64" s="1417">
        <v>2E-3</v>
      </c>
      <c r="T64" s="1469"/>
      <c r="U64" s="1449">
        <v>4</v>
      </c>
      <c r="V64" s="1437">
        <v>78000</v>
      </c>
      <c r="W64" s="1438">
        <v>0.05</v>
      </c>
      <c r="X64" s="1438">
        <v>9.2999999999999999E-2</v>
      </c>
      <c r="Y64" s="1437">
        <v>7254</v>
      </c>
      <c r="Z64" s="1450">
        <v>2.1999999999999999E-2</v>
      </c>
      <c r="AA64" s="1438">
        <v>7.6999999999999999E-2</v>
      </c>
      <c r="AC64" s="731"/>
    </row>
    <row r="65" spans="2:29" ht="15" x14ac:dyDescent="0.2">
      <c r="B65" s="1446">
        <f t="shared" si="19"/>
        <v>47</v>
      </c>
      <c r="C65" s="1465" t="s">
        <v>707</v>
      </c>
      <c r="D65" s="1464">
        <v>811</v>
      </c>
      <c r="E65" s="1960">
        <v>3</v>
      </c>
      <c r="F65" s="1956">
        <v>74000</v>
      </c>
      <c r="G65" s="1957">
        <v>0.1</v>
      </c>
      <c r="H65" s="1957">
        <v>2.3E-2</v>
      </c>
      <c r="I65" s="1956">
        <f t="shared" si="17"/>
        <v>1702</v>
      </c>
      <c r="J65" s="1958">
        <v>0</v>
      </c>
      <c r="K65" s="1957">
        <v>6.7000000000000004E-2</v>
      </c>
      <c r="L65" s="1409"/>
      <c r="M65" s="1444">
        <v>3</v>
      </c>
      <c r="N65" s="1413">
        <v>67000</v>
      </c>
      <c r="O65" s="1421">
        <v>0.09</v>
      </c>
      <c r="P65" s="1421">
        <v>2.1000000000000001E-2</v>
      </c>
      <c r="Q65" s="1413">
        <f t="shared" si="18"/>
        <v>1407</v>
      </c>
      <c r="R65" s="1432">
        <v>0</v>
      </c>
      <c r="S65" s="1421">
        <v>4.8000000000000001E-2</v>
      </c>
      <c r="T65" s="738"/>
      <c r="U65" s="1445">
        <v>5</v>
      </c>
      <c r="V65" s="1329">
        <v>64000</v>
      </c>
      <c r="W65" s="1336">
        <v>9.9000000000000005E-2</v>
      </c>
      <c r="X65" s="1336">
        <v>2.3E-2</v>
      </c>
      <c r="Y65" s="1329">
        <v>1472</v>
      </c>
      <c r="Z65" s="1408">
        <v>4.0000000000000001E-3</v>
      </c>
      <c r="AA65" s="1336">
        <v>0.128</v>
      </c>
      <c r="AC65" s="731"/>
    </row>
    <row r="66" spans="2:29" ht="15" x14ac:dyDescent="0.2">
      <c r="B66" s="1442">
        <f t="shared" si="19"/>
        <v>48</v>
      </c>
      <c r="C66" s="1470" t="s">
        <v>504</v>
      </c>
      <c r="D66" s="1471">
        <v>812</v>
      </c>
      <c r="E66" s="1425">
        <v>4</v>
      </c>
      <c r="F66" s="1416">
        <v>43000</v>
      </c>
      <c r="G66" s="1417">
        <v>7.6999999999999999E-2</v>
      </c>
      <c r="H66" s="1417">
        <v>4.4999999999999998E-2</v>
      </c>
      <c r="I66" s="1416">
        <f t="shared" si="17"/>
        <v>1935</v>
      </c>
      <c r="J66" s="1426">
        <v>0</v>
      </c>
      <c r="K66" s="1417">
        <v>2.5000000000000001E-2</v>
      </c>
      <c r="L66" s="1409"/>
      <c r="M66" s="1425">
        <v>4</v>
      </c>
      <c r="N66" s="1416">
        <v>43000</v>
      </c>
      <c r="O66" s="1417">
        <v>7.4999999999999997E-2</v>
      </c>
      <c r="P66" s="1417">
        <v>4.9000000000000002E-2</v>
      </c>
      <c r="Q66" s="1416">
        <f t="shared" si="18"/>
        <v>2107</v>
      </c>
      <c r="R66" s="1426">
        <v>0</v>
      </c>
      <c r="S66" s="1417">
        <v>4.9000000000000002E-2</v>
      </c>
      <c r="T66" s="1469"/>
      <c r="U66" s="1449">
        <v>4</v>
      </c>
      <c r="V66" s="1437">
        <v>49000</v>
      </c>
      <c r="W66" s="1438">
        <v>6.4000000000000001E-2</v>
      </c>
      <c r="X66" s="1438">
        <v>5.2999999999999999E-2</v>
      </c>
      <c r="Y66" s="1437">
        <v>2597</v>
      </c>
      <c r="Z66" s="1450">
        <v>5.0000000000000001E-3</v>
      </c>
      <c r="AA66" s="1438">
        <v>0.122</v>
      </c>
      <c r="AC66" s="731"/>
    </row>
    <row r="67" spans="2:29" s="258" customFormat="1" ht="15" x14ac:dyDescent="0.2">
      <c r="B67" s="1446">
        <f t="shared" si="19"/>
        <v>49</v>
      </c>
      <c r="C67" s="1463" t="s">
        <v>520</v>
      </c>
      <c r="D67" s="1464">
        <v>8622</v>
      </c>
      <c r="E67" s="1960">
        <v>3</v>
      </c>
      <c r="F67" s="1956">
        <v>128000</v>
      </c>
      <c r="G67" s="1957">
        <v>0.04</v>
      </c>
      <c r="H67" s="1957">
        <v>4.2999999999999997E-2</v>
      </c>
      <c r="I67" s="1956">
        <f t="shared" si="17"/>
        <v>5504</v>
      </c>
      <c r="J67" s="1958">
        <v>1E-3</v>
      </c>
      <c r="K67" s="1957">
        <v>5.6000000000000001E-2</v>
      </c>
      <c r="L67" s="1409"/>
      <c r="M67" s="1444">
        <v>5</v>
      </c>
      <c r="N67" s="1413">
        <v>112000</v>
      </c>
      <c r="O67" s="1421">
        <v>3.1E-2</v>
      </c>
      <c r="P67" s="1421">
        <v>1.7000000000000001E-2</v>
      </c>
      <c r="Q67" s="1413">
        <f t="shared" si="18"/>
        <v>1904.0000000000002</v>
      </c>
      <c r="R67" s="1432">
        <v>0</v>
      </c>
      <c r="S67" s="1421">
        <v>0.21099999999999999</v>
      </c>
      <c r="T67" s="738"/>
      <c r="U67" s="1445">
        <v>5</v>
      </c>
      <c r="V67" s="1329">
        <v>96000</v>
      </c>
      <c r="W67" s="1336">
        <v>1.7999999999999999E-2</v>
      </c>
      <c r="X67" s="1336">
        <v>2.1000000000000001E-2</v>
      </c>
      <c r="Y67" s="1329">
        <v>2016.0000000000002</v>
      </c>
      <c r="Z67" s="1408">
        <v>4.0000000000000001E-3</v>
      </c>
      <c r="AA67" s="1336">
        <v>0.13500000000000001</v>
      </c>
      <c r="AC67" s="731"/>
    </row>
    <row r="68" spans="2:29" s="258" customFormat="1" ht="15" x14ac:dyDescent="0.2">
      <c r="B68" s="1442">
        <f t="shared" si="19"/>
        <v>50</v>
      </c>
      <c r="C68" s="1470" t="s">
        <v>560</v>
      </c>
      <c r="D68" s="1471">
        <v>8623</v>
      </c>
      <c r="E68" s="1425">
        <v>4</v>
      </c>
      <c r="F68" s="1416">
        <v>117000</v>
      </c>
      <c r="G68" s="1417">
        <v>4.8000000000000001E-2</v>
      </c>
      <c r="H68" s="1417">
        <v>2.1000000000000001E-2</v>
      </c>
      <c r="I68" s="1416">
        <f t="shared" si="17"/>
        <v>2457</v>
      </c>
      <c r="J68" s="1426">
        <v>1.6E-2</v>
      </c>
      <c r="K68" s="1417">
        <v>4.3999999999999997E-2</v>
      </c>
      <c r="L68" s="1409"/>
      <c r="M68" s="1425">
        <v>3</v>
      </c>
      <c r="N68" s="1416">
        <v>117000</v>
      </c>
      <c r="O68" s="1417">
        <v>7.9000000000000001E-2</v>
      </c>
      <c r="P68" s="1417">
        <v>1.4999999999999999E-2</v>
      </c>
      <c r="Q68" s="1416">
        <f t="shared" si="18"/>
        <v>1755</v>
      </c>
      <c r="R68" s="1426">
        <v>1.2E-2</v>
      </c>
      <c r="S68" s="1417">
        <v>4.2000000000000003E-2</v>
      </c>
      <c r="T68" s="1469"/>
      <c r="U68" s="1449">
        <v>4</v>
      </c>
      <c r="V68" s="1437">
        <v>119000</v>
      </c>
      <c r="W68" s="1438">
        <v>8.5999999999999993E-2</v>
      </c>
      <c r="X68" s="1438">
        <v>0.01</v>
      </c>
      <c r="Y68" s="1437">
        <v>1190</v>
      </c>
      <c r="Z68" s="1450">
        <v>2E-3</v>
      </c>
      <c r="AA68" s="1438">
        <v>3.1E-2</v>
      </c>
      <c r="AC68" s="731"/>
    </row>
    <row r="69" spans="2:29" ht="15" x14ac:dyDescent="0.2">
      <c r="B69" s="1446">
        <f t="shared" si="19"/>
        <v>51</v>
      </c>
      <c r="C69" s="1453" t="s">
        <v>505</v>
      </c>
      <c r="D69" s="1464">
        <v>86901</v>
      </c>
      <c r="E69" s="1960">
        <v>2</v>
      </c>
      <c r="F69" s="1956">
        <v>71000</v>
      </c>
      <c r="G69" s="1957">
        <v>5.1999999999999998E-2</v>
      </c>
      <c r="H69" s="1957">
        <v>3.2000000000000001E-2</v>
      </c>
      <c r="I69" s="1956">
        <f t="shared" si="17"/>
        <v>2272</v>
      </c>
      <c r="J69" s="1958">
        <v>0</v>
      </c>
      <c r="K69" s="1957">
        <v>2.1000000000000001E-2</v>
      </c>
      <c r="L69" s="731"/>
      <c r="M69" s="1444">
        <v>2</v>
      </c>
      <c r="N69" s="1413">
        <v>73000</v>
      </c>
      <c r="O69" s="1421">
        <v>4.5999999999999999E-2</v>
      </c>
      <c r="P69" s="1421">
        <v>3.5999999999999997E-2</v>
      </c>
      <c r="Q69" s="1413">
        <f t="shared" si="18"/>
        <v>2628</v>
      </c>
      <c r="R69" s="1432">
        <v>0</v>
      </c>
      <c r="S69" s="1421">
        <v>0</v>
      </c>
      <c r="T69" s="738"/>
      <c r="U69" s="1445">
        <v>3</v>
      </c>
      <c r="V69" s="1329">
        <v>50000</v>
      </c>
      <c r="W69" s="1336">
        <v>8.4000000000000005E-2</v>
      </c>
      <c r="X69" s="1336">
        <v>2.5999999999999999E-2</v>
      </c>
      <c r="Y69" s="1329">
        <v>1300</v>
      </c>
      <c r="Z69" s="1408">
        <v>2E-3</v>
      </c>
      <c r="AA69" s="1336">
        <v>4.2999999999999997E-2</v>
      </c>
      <c r="AC69" s="731"/>
    </row>
    <row r="70" spans="2:29" ht="15" x14ac:dyDescent="0.2">
      <c r="B70" s="1442">
        <f t="shared" si="19"/>
        <v>52</v>
      </c>
      <c r="C70" s="1470" t="s">
        <v>562</v>
      </c>
      <c r="D70" s="1471">
        <v>8891</v>
      </c>
      <c r="E70" s="1425">
        <v>15</v>
      </c>
      <c r="F70" s="1416">
        <v>50000</v>
      </c>
      <c r="G70" s="1417">
        <v>4.5999999999999999E-2</v>
      </c>
      <c r="H70" s="1417">
        <v>3.5000000000000003E-2</v>
      </c>
      <c r="I70" s="1416">
        <f t="shared" si="17"/>
        <v>1750.0000000000002</v>
      </c>
      <c r="J70" s="1426">
        <v>0</v>
      </c>
      <c r="K70" s="1417">
        <v>0.13800000000000001</v>
      </c>
      <c r="L70" s="1409"/>
      <c r="M70" s="1425">
        <v>17</v>
      </c>
      <c r="N70" s="1416">
        <v>46000</v>
      </c>
      <c r="O70" s="1417">
        <v>2.3E-2</v>
      </c>
      <c r="P70" s="1417">
        <v>5.2999999999999999E-2</v>
      </c>
      <c r="Q70" s="1416">
        <f t="shared" si="18"/>
        <v>2438</v>
      </c>
      <c r="R70" s="1426">
        <v>0</v>
      </c>
      <c r="S70" s="1417">
        <v>0.112</v>
      </c>
      <c r="T70" s="1469"/>
      <c r="U70" s="1449">
        <v>11</v>
      </c>
      <c r="V70" s="1437">
        <v>47000</v>
      </c>
      <c r="W70" s="1438">
        <v>0.04</v>
      </c>
      <c r="X70" s="1438">
        <v>0.03</v>
      </c>
      <c r="Y70" s="1437">
        <v>1410</v>
      </c>
      <c r="Z70" s="1450">
        <v>0</v>
      </c>
      <c r="AA70" s="1438">
        <v>2.5999999999999999E-2</v>
      </c>
      <c r="AC70" s="731"/>
    </row>
    <row r="71" spans="2:29" ht="15" x14ac:dyDescent="0.2">
      <c r="B71" s="1446">
        <f t="shared" si="19"/>
        <v>53</v>
      </c>
      <c r="C71" s="1463" t="s">
        <v>561</v>
      </c>
      <c r="D71" s="1464">
        <v>9313</v>
      </c>
      <c r="E71" s="1960">
        <v>1</v>
      </c>
      <c r="F71" s="1956">
        <v>89000</v>
      </c>
      <c r="G71" s="1957">
        <v>0.128</v>
      </c>
      <c r="H71" s="1957">
        <v>1.2E-2</v>
      </c>
      <c r="I71" s="1956">
        <f t="shared" si="17"/>
        <v>1068</v>
      </c>
      <c r="J71" s="1958">
        <v>0</v>
      </c>
      <c r="K71" s="1957">
        <v>4.3999999999999997E-2</v>
      </c>
      <c r="L71" s="1409"/>
      <c r="M71" s="1444">
        <v>1</v>
      </c>
      <c r="N71" s="1413">
        <v>63000</v>
      </c>
      <c r="O71" s="1421">
        <v>0.11</v>
      </c>
      <c r="P71" s="1421">
        <v>1.2999999999999999E-2</v>
      </c>
      <c r="Q71" s="1413">
        <f t="shared" si="18"/>
        <v>819</v>
      </c>
      <c r="R71" s="1432">
        <v>0</v>
      </c>
      <c r="S71" s="1421">
        <v>8.8999999999999996E-2</v>
      </c>
      <c r="T71" s="738"/>
      <c r="U71" s="1445">
        <v>2</v>
      </c>
      <c r="V71" s="1329">
        <v>63000</v>
      </c>
      <c r="W71" s="1336">
        <v>8.1000000000000003E-2</v>
      </c>
      <c r="X71" s="1336">
        <v>1.6E-2</v>
      </c>
      <c r="Y71" s="1329">
        <v>1008</v>
      </c>
      <c r="Z71" s="1408">
        <v>0</v>
      </c>
      <c r="AA71" s="1336">
        <v>0</v>
      </c>
      <c r="AC71" s="731"/>
    </row>
    <row r="72" spans="2:29" ht="15" x14ac:dyDescent="0.2">
      <c r="B72" s="1442">
        <f t="shared" si="19"/>
        <v>54</v>
      </c>
      <c r="C72" s="1458" t="s">
        <v>556</v>
      </c>
      <c r="D72" s="1471">
        <v>96021</v>
      </c>
      <c r="E72" s="1425">
        <v>1</v>
      </c>
      <c r="F72" s="1416">
        <v>67000</v>
      </c>
      <c r="G72" s="1417">
        <v>5.8000000000000003E-2</v>
      </c>
      <c r="H72" s="1417">
        <v>1.7000000000000001E-2</v>
      </c>
      <c r="I72" s="1416">
        <f t="shared" si="17"/>
        <v>1139</v>
      </c>
      <c r="J72" s="1426">
        <v>3.7999999999999999E-2</v>
      </c>
      <c r="K72" s="1417">
        <v>4.5999999999999999E-2</v>
      </c>
      <c r="L72" s="731"/>
      <c r="M72" s="1425">
        <v>1</v>
      </c>
      <c r="N72" s="1416">
        <v>62000</v>
      </c>
      <c r="O72" s="1417">
        <v>5.0999999999999997E-2</v>
      </c>
      <c r="P72" s="1417">
        <v>1.2999999999999999E-2</v>
      </c>
      <c r="Q72" s="1416">
        <f t="shared" si="18"/>
        <v>806</v>
      </c>
      <c r="R72" s="1426">
        <v>5.2999999999999999E-2</v>
      </c>
      <c r="S72" s="1417">
        <v>4.1000000000000002E-2</v>
      </c>
      <c r="T72" s="1469"/>
      <c r="U72" s="1449">
        <v>1</v>
      </c>
      <c r="V72" s="1437">
        <v>52000</v>
      </c>
      <c r="W72" s="1438">
        <v>0.05</v>
      </c>
      <c r="X72" s="1438">
        <v>3.7999999999999999E-2</v>
      </c>
      <c r="Y72" s="1437">
        <v>1976</v>
      </c>
      <c r="Z72" s="1450">
        <v>5.6000000000000001E-2</v>
      </c>
      <c r="AA72" s="1438">
        <v>0.14299999999999999</v>
      </c>
      <c r="AC72" s="731"/>
    </row>
    <row r="73" spans="2:29" ht="15" x14ac:dyDescent="0.2">
      <c r="B73" s="1446">
        <f t="shared" si="19"/>
        <v>55</v>
      </c>
      <c r="C73" s="1463" t="s">
        <v>557</v>
      </c>
      <c r="D73" s="1464">
        <v>96022</v>
      </c>
      <c r="E73" s="1960">
        <v>1</v>
      </c>
      <c r="F73" s="1956">
        <v>66000</v>
      </c>
      <c r="G73" s="1957">
        <v>5.5E-2</v>
      </c>
      <c r="H73" s="1957">
        <v>0.04</v>
      </c>
      <c r="I73" s="1956">
        <f t="shared" si="17"/>
        <v>2640</v>
      </c>
      <c r="J73" s="1958">
        <v>5.3999999999999999E-2</v>
      </c>
      <c r="K73" s="1961">
        <v>0</v>
      </c>
      <c r="L73" s="1409"/>
      <c r="M73" s="1444">
        <v>1</v>
      </c>
      <c r="N73" s="1413">
        <v>66000</v>
      </c>
      <c r="O73" s="1421">
        <v>4.2000000000000003E-2</v>
      </c>
      <c r="P73" s="1421">
        <v>5.0999999999999997E-2</v>
      </c>
      <c r="Q73" s="1413">
        <f t="shared" si="18"/>
        <v>3366</v>
      </c>
      <c r="R73" s="1432">
        <v>6.2E-2</v>
      </c>
      <c r="S73" s="1421">
        <v>7.5999999999999998E-2</v>
      </c>
      <c r="T73" s="738"/>
      <c r="U73" s="1445">
        <v>1</v>
      </c>
      <c r="V73" s="1329">
        <v>54000</v>
      </c>
      <c r="W73" s="1336">
        <v>5.2999999999999999E-2</v>
      </c>
      <c r="X73" s="1336">
        <v>5.3999999999999999E-2</v>
      </c>
      <c r="Y73" s="1329">
        <v>2916</v>
      </c>
      <c r="Z73" s="1408">
        <v>6.4000000000000001E-2</v>
      </c>
      <c r="AA73" s="1336">
        <v>9.6000000000000002E-2</v>
      </c>
      <c r="AC73" s="731"/>
    </row>
  </sheetData>
  <sheetProtection algorithmName="SHA-512" hashValue="nADCcAVEbr9ShlY7mt5CYyOqAD15ldUTgA11AP3mhUCX9hxRS5Ft1kkVSpp1Gk1bAYyeFMeiPlDVPoQLFHocwA==" saltValue="Wpyr4be1R71zvw4U5lTvPA==" spinCount="100000" sheet="1" objects="1" scenarios="1"/>
  <mergeCells count="30">
    <mergeCell ref="D51:D52"/>
    <mergeCell ref="S51:S52"/>
    <mergeCell ref="S5:S6"/>
    <mergeCell ref="AA5:AA6"/>
    <mergeCell ref="AA51:AA52"/>
    <mergeCell ref="D5:D6"/>
    <mergeCell ref="D25:D26"/>
    <mergeCell ref="D36:D37"/>
    <mergeCell ref="K51:K52"/>
    <mergeCell ref="S25:S26"/>
    <mergeCell ref="S36:S37"/>
    <mergeCell ref="AA25:AA26"/>
    <mergeCell ref="AA36:AA37"/>
    <mergeCell ref="Z5:Z6"/>
    <mergeCell ref="Z25:Z26"/>
    <mergeCell ref="Z36:Z37"/>
    <mergeCell ref="Z51:Z52"/>
    <mergeCell ref="M2:N2"/>
    <mergeCell ref="E2:F2"/>
    <mergeCell ref="K5:K6"/>
    <mergeCell ref="K25:K26"/>
    <mergeCell ref="K36:K37"/>
    <mergeCell ref="R5:R6"/>
    <mergeCell ref="R25:R26"/>
    <mergeCell ref="R36:R37"/>
    <mergeCell ref="R51:R52"/>
    <mergeCell ref="J5:J6"/>
    <mergeCell ref="J25:J26"/>
    <mergeCell ref="J36:J37"/>
    <mergeCell ref="J51:J52"/>
  </mergeCells>
  <conditionalFormatting sqref="J28">
    <cfRule type="cellIs" priority="2" operator="equal">
      <formula>0</formula>
    </cfRule>
  </conditionalFormatting>
  <conditionalFormatting sqref="R28">
    <cfRule type="cellIs" priority="1" operator="equal">
      <formula>0</formula>
    </cfRule>
  </conditionalFormatting>
  <printOptions horizontalCentered="1"/>
  <pageMargins left="0.23622047244094491" right="0.23622047244094491" top="0.35433070866141736" bottom="0.35433070866141736" header="0.31496062992125984" footer="0.31496062992125984"/>
  <pageSetup paperSize="9" scale="60" orientation="landscape" verticalDpi="4"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ul5"/>
  <dimension ref="A2:AT222"/>
  <sheetViews>
    <sheetView workbookViewId="0"/>
  </sheetViews>
  <sheetFormatPr defaultRowHeight="12.75" x14ac:dyDescent="0.2"/>
  <cols>
    <col min="1" max="1" width="21.140625" customWidth="1"/>
    <col min="2" max="3" width="9.140625" customWidth="1"/>
    <col min="4" max="4" width="15.7109375" customWidth="1"/>
    <col min="5" max="23" width="9.140625" customWidth="1"/>
  </cols>
  <sheetData>
    <row r="2" spans="1:9" x14ac:dyDescent="0.2">
      <c r="A2" s="52"/>
      <c r="B2" s="52"/>
      <c r="C2" s="52"/>
      <c r="D2" s="1940" t="s">
        <v>693</v>
      </c>
      <c r="E2" s="1940"/>
      <c r="F2" s="93">
        <f>F5+F9+F13+F17</f>
        <v>0</v>
      </c>
      <c r="G2" s="93">
        <f t="shared" ref="G2" si="0">G5+G9+G13+G17</f>
        <v>0</v>
      </c>
      <c r="H2" s="93">
        <f>H5+H9+H13+H17</f>
        <v>0</v>
      </c>
      <c r="I2" s="52"/>
    </row>
    <row r="3" spans="1:9" x14ac:dyDescent="0.2">
      <c r="A3" s="52"/>
      <c r="B3" s="55"/>
      <c r="C3" s="1275" t="s">
        <v>686</v>
      </c>
      <c r="D3" s="57"/>
      <c r="E3" s="58"/>
      <c r="F3" s="56">
        <f>G47+G48</f>
        <v>0</v>
      </c>
      <c r="G3" s="56">
        <f>F3-F5</f>
        <v>0</v>
      </c>
      <c r="H3" s="56">
        <f>G3-G5</f>
        <v>0</v>
      </c>
      <c r="I3" s="64"/>
    </row>
    <row r="4" spans="1:9" x14ac:dyDescent="0.2">
      <c r="A4" s="52"/>
      <c r="B4" s="55"/>
      <c r="C4" s="59" t="s">
        <v>17</v>
      </c>
      <c r="D4" s="57"/>
      <c r="E4" s="58"/>
      <c r="F4" s="67">
        <f>'K3 Resultat'!F55</f>
        <v>7.0000000000000007E-2</v>
      </c>
      <c r="G4" s="67">
        <f>'K3 Resultat'!H55</f>
        <v>7.0000000000000007E-2</v>
      </c>
      <c r="H4" s="67">
        <f>'K3 Resultat'!K55</f>
        <v>7.0000000000000007E-2</v>
      </c>
      <c r="I4" s="68"/>
    </row>
    <row r="5" spans="1:9" x14ac:dyDescent="0.2">
      <c r="A5" s="52"/>
      <c r="B5" s="55"/>
      <c r="C5" s="59" t="s">
        <v>22</v>
      </c>
      <c r="D5" s="57"/>
      <c r="E5" s="58"/>
      <c r="F5" s="56">
        <f>F3*F4</f>
        <v>0</v>
      </c>
      <c r="G5" s="56">
        <f>G3*G4</f>
        <v>0</v>
      </c>
      <c r="H5" s="56">
        <f>H3*H4</f>
        <v>0</v>
      </c>
      <c r="I5" s="64"/>
    </row>
    <row r="6" spans="1:9" x14ac:dyDescent="0.2">
      <c r="A6" s="52"/>
      <c r="B6" s="55"/>
      <c r="C6" s="59" t="s">
        <v>20</v>
      </c>
      <c r="D6" s="57"/>
      <c r="E6" s="58"/>
      <c r="F6" s="56">
        <f>F3-F5</f>
        <v>0</v>
      </c>
      <c r="G6" s="56">
        <f>G3-G5</f>
        <v>0</v>
      </c>
      <c r="H6" s="56">
        <f>H3-H5</f>
        <v>0</v>
      </c>
      <c r="I6" s="64"/>
    </row>
    <row r="7" spans="1:9" x14ac:dyDescent="0.2">
      <c r="A7" s="52"/>
      <c r="B7" s="55"/>
      <c r="C7" s="1275" t="s">
        <v>687</v>
      </c>
      <c r="D7" s="57"/>
      <c r="E7" s="58"/>
      <c r="F7" s="56">
        <f>IF(G59&lt;0,0,G59)</f>
        <v>0</v>
      </c>
      <c r="G7" s="56">
        <f>F7-F9</f>
        <v>0</v>
      </c>
      <c r="H7" s="56">
        <f>G7-G9</f>
        <v>0</v>
      </c>
      <c r="I7" s="64"/>
    </row>
    <row r="8" spans="1:9" x14ac:dyDescent="0.2">
      <c r="A8" s="52"/>
      <c r="B8" s="55"/>
      <c r="C8" s="59" t="s">
        <v>18</v>
      </c>
      <c r="D8" s="57"/>
      <c r="E8" s="58"/>
      <c r="F8" s="67">
        <f>'K3 Resultat'!F57</f>
        <v>0.2</v>
      </c>
      <c r="G8" s="67">
        <f>'K3 Resultat'!H57</f>
        <v>0.2</v>
      </c>
      <c r="H8" s="67">
        <f>'K3 Resultat'!K57</f>
        <v>0.2</v>
      </c>
      <c r="I8" s="68"/>
    </row>
    <row r="9" spans="1:9" x14ac:dyDescent="0.2">
      <c r="A9" s="52"/>
      <c r="B9" s="55"/>
      <c r="C9" s="59" t="s">
        <v>23</v>
      </c>
      <c r="D9" s="57"/>
      <c r="E9" s="58"/>
      <c r="F9" s="56">
        <f>F7*F8</f>
        <v>0</v>
      </c>
      <c r="G9" s="56">
        <f>G7*G8</f>
        <v>0</v>
      </c>
      <c r="H9" s="56">
        <f>H7*H8</f>
        <v>0</v>
      </c>
      <c r="I9" s="64"/>
    </row>
    <row r="10" spans="1:9" x14ac:dyDescent="0.2">
      <c r="A10" s="52"/>
      <c r="B10" s="55"/>
      <c r="C10" s="59" t="s">
        <v>21</v>
      </c>
      <c r="D10" s="57"/>
      <c r="E10" s="58"/>
      <c r="F10" s="56">
        <f>F7-F9</f>
        <v>0</v>
      </c>
      <c r="G10" s="56">
        <f>G7-G9</f>
        <v>0</v>
      </c>
      <c r="H10" s="56">
        <f>H7-H9</f>
        <v>0</v>
      </c>
      <c r="I10" s="64"/>
    </row>
    <row r="11" spans="1:9" x14ac:dyDescent="0.2">
      <c r="A11" s="52"/>
      <c r="B11" s="60"/>
      <c r="C11" s="1275" t="s">
        <v>688</v>
      </c>
      <c r="D11" s="1276"/>
      <c r="E11" s="1277"/>
      <c r="F11" s="1278">
        <f>'K3 Resultat'!E30/1.24</f>
        <v>0</v>
      </c>
      <c r="G11" s="1278">
        <f>F11-F13</f>
        <v>0</v>
      </c>
      <c r="H11" s="1278">
        <f>G11-G13</f>
        <v>0</v>
      </c>
      <c r="I11" s="64"/>
    </row>
    <row r="12" spans="1:9" x14ac:dyDescent="0.2">
      <c r="A12" s="52"/>
      <c r="B12" s="52"/>
      <c r="C12" s="1279" t="s">
        <v>689</v>
      </c>
      <c r="D12" s="1280"/>
      <c r="E12" s="1281"/>
      <c r="F12" s="67">
        <f>'K3 Resultat'!F57</f>
        <v>0.2</v>
      </c>
      <c r="G12" s="67">
        <f>'K3 Resultat'!H57</f>
        <v>0.2</v>
      </c>
      <c r="H12" s="67">
        <f>'K3 Resultat'!K57</f>
        <v>0.2</v>
      </c>
      <c r="I12" s="52"/>
    </row>
    <row r="13" spans="1:9" x14ac:dyDescent="0.2">
      <c r="A13" s="52"/>
      <c r="B13" s="52"/>
      <c r="C13" s="59" t="s">
        <v>690</v>
      </c>
      <c r="D13" s="57"/>
      <c r="E13" s="58"/>
      <c r="F13" s="56">
        <f>F11*F12</f>
        <v>0</v>
      </c>
      <c r="G13" s="56">
        <f>G11*G12</f>
        <v>0</v>
      </c>
      <c r="H13" s="56">
        <f>H11*H12</f>
        <v>0</v>
      </c>
      <c r="I13" s="52"/>
    </row>
    <row r="14" spans="1:9" x14ac:dyDescent="0.2">
      <c r="A14" s="52"/>
      <c r="B14" s="52"/>
      <c r="C14" s="59" t="s">
        <v>691</v>
      </c>
      <c r="D14" s="57"/>
      <c r="E14" s="58"/>
      <c r="F14" s="56">
        <f>F11-F13</f>
        <v>0</v>
      </c>
      <c r="G14" s="56">
        <f>G11-G13</f>
        <v>0</v>
      </c>
      <c r="H14" s="56">
        <f>H11-H13</f>
        <v>0</v>
      </c>
      <c r="I14" s="52"/>
    </row>
    <row r="15" spans="1:9" x14ac:dyDescent="0.2">
      <c r="A15" s="52"/>
      <c r="B15" s="52"/>
      <c r="C15" s="61" t="s">
        <v>692</v>
      </c>
      <c r="D15" s="61"/>
      <c r="E15" s="61"/>
      <c r="F15" s="1278">
        <f>'K3 Resultat'!E31</f>
        <v>0</v>
      </c>
      <c r="G15" s="1278">
        <f>F15-F17</f>
        <v>0</v>
      </c>
      <c r="H15" s="1278">
        <f>G15-G17</f>
        <v>0</v>
      </c>
      <c r="I15" s="52"/>
    </row>
    <row r="16" spans="1:9" x14ac:dyDescent="0.2">
      <c r="A16" s="52"/>
      <c r="B16" s="52"/>
      <c r="C16" s="1279" t="s">
        <v>689</v>
      </c>
      <c r="D16" s="1282"/>
      <c r="E16" s="1282"/>
      <c r="F16" s="67">
        <f>'[1]Rahoitus K3'!F58</f>
        <v>0.2</v>
      </c>
      <c r="G16" s="67">
        <f>'[1]Rahoitus K3'!H58</f>
        <v>0.2</v>
      </c>
      <c r="H16" s="67">
        <f>'[1]Rahoitus K3'!K58</f>
        <v>0.2</v>
      </c>
      <c r="I16" s="52"/>
    </row>
    <row r="17" spans="1:41" x14ac:dyDescent="0.2">
      <c r="A17" s="52"/>
      <c r="B17" s="52"/>
      <c r="C17" s="59" t="s">
        <v>690</v>
      </c>
      <c r="D17" s="60"/>
      <c r="E17" s="60"/>
      <c r="F17" s="56">
        <f>F15*F16</f>
        <v>0</v>
      </c>
      <c r="G17" s="56">
        <f>G15*G16</f>
        <v>0</v>
      </c>
      <c r="H17" s="56">
        <f>H15*H16</f>
        <v>0</v>
      </c>
      <c r="I17" s="52"/>
    </row>
    <row r="18" spans="1:41" x14ac:dyDescent="0.2">
      <c r="A18" s="52"/>
      <c r="B18" s="52"/>
      <c r="C18" s="59" t="s">
        <v>691</v>
      </c>
      <c r="D18" s="60"/>
      <c r="E18" s="60"/>
      <c r="F18" s="1283">
        <f>F15-F17</f>
        <v>0</v>
      </c>
      <c r="G18" s="1283">
        <f>G15-G17</f>
        <v>0</v>
      </c>
      <c r="H18" s="1283">
        <f>H15-H17</f>
        <v>0</v>
      </c>
      <c r="I18" s="52"/>
    </row>
    <row r="19" spans="1:41" ht="15.75" x14ac:dyDescent="0.25">
      <c r="A19" s="52"/>
      <c r="B19" s="52"/>
      <c r="F19" s="52"/>
      <c r="G19" s="1941" t="s">
        <v>32</v>
      </c>
      <c r="H19" s="1941"/>
      <c r="I19" s="1941"/>
      <c r="J19" s="124"/>
      <c r="K19" s="125" t="s">
        <v>67</v>
      </c>
      <c r="L19" s="126"/>
      <c r="M19" s="126"/>
      <c r="N19" s="126"/>
      <c r="O19" s="126"/>
      <c r="P19" s="127"/>
    </row>
    <row r="20" spans="1:41" x14ac:dyDescent="0.2">
      <c r="C20" s="91"/>
      <c r="D20" s="91"/>
      <c r="E20" s="91"/>
      <c r="F20" s="52" t="s">
        <v>29</v>
      </c>
      <c r="G20" s="91" t="s">
        <v>1</v>
      </c>
      <c r="H20" s="91" t="s">
        <v>33</v>
      </c>
      <c r="I20" s="91" t="s">
        <v>14</v>
      </c>
      <c r="J20" s="128"/>
      <c r="K20" s="91" t="s">
        <v>68</v>
      </c>
      <c r="L20" s="129">
        <f>'K3 Resultat'!H22/12</f>
        <v>0</v>
      </c>
      <c r="P20" s="130"/>
    </row>
    <row r="21" spans="1:41" x14ac:dyDescent="0.2">
      <c r="C21" s="90"/>
      <c r="D21" s="90"/>
      <c r="E21" s="90"/>
      <c r="F21" s="52" t="s">
        <v>28</v>
      </c>
      <c r="G21" s="92">
        <f>IF('K3 Resultat'!$I18=2,'K3 Resultat'!$K18*'K3 Resultat'!$H18,IF('K3 Resultat'!$I18=1,'K3 Resultat'!$K18*'K3 Resultat'!$H18,('1Kauppa AT lainat ja avustukset'!$B30-0.5*'1Kauppa AT lainat ja avustukset'!$E30)*'K3 Resultat'!$H18))</f>
        <v>0</v>
      </c>
      <c r="H21" s="92">
        <f>IF('K3 Resultat'!$I18=2,'K3 Resultat'!$K18*'K3 Resultat'!$H18,IF('K3 Resultat'!$I18=1,('K3 Resultat'!$K18-0.5*C30)*'K3 Resultat'!$H18,('1Kauppa AT lainat ja avustukset'!$B30-1.5*'1Kauppa AT lainat ja avustukset'!$E30)*'K3 Resultat'!$H18))</f>
        <v>0</v>
      </c>
      <c r="I21" s="92">
        <f>IF('K3 Resultat'!$I18=2,('K3 Resultat'!$K18-0.5*D30)*'K3 Resultat'!$H18,IF('K3 Resultat'!$I18=1,('K3 Resultat'!$K18-1.5*C30)*'K3 Resultat'!$H18,('1Kauppa AT lainat ja avustukset'!$B30-2.5*'1Kauppa AT lainat ja avustukset'!$E30)*'K3 Resultat'!$H18))</f>
        <v>0</v>
      </c>
      <c r="J21" s="128"/>
      <c r="K21" s="1" t="s">
        <v>69</v>
      </c>
      <c r="L21">
        <f>'K3 Resultat'!I22*12</f>
        <v>0</v>
      </c>
      <c r="P21" s="130"/>
    </row>
    <row r="22" spans="1:41" x14ac:dyDescent="0.2">
      <c r="C22" s="90"/>
      <c r="D22" s="90"/>
      <c r="E22" s="90"/>
      <c r="F22" s="52" t="s">
        <v>30</v>
      </c>
      <c r="G22" s="92">
        <f>IF('K3 Resultat'!$I19=2,'K3 Resultat'!$K19*'K3 Resultat'!$H19,IF('K3 Resultat'!$I19=1,'K3 Resultat'!$K19*'K3 Resultat'!$H19,('1Kauppa AT lainat ja avustukset'!$B31-0.5*'1Kauppa AT lainat ja avustukset'!$E31)*'K3 Resultat'!$H19))</f>
        <v>0</v>
      </c>
      <c r="H22" s="92">
        <f>IF('K3 Resultat'!$I19=2,'K3 Resultat'!$K19*'K3 Resultat'!$H19,IF('K3 Resultat'!$I19=1,('K3 Resultat'!$K19-0.5*C31)*'K3 Resultat'!$H19,('1Kauppa AT lainat ja avustukset'!$B31-1.5*'1Kauppa AT lainat ja avustukset'!$E31)*'K3 Resultat'!$H19))</f>
        <v>0</v>
      </c>
      <c r="I22" s="92">
        <f>IF('K3 Resultat'!$I19=2,('K3 Resultat'!$K19-0.5*D31)*'K3 Resultat'!$H19,IF('K3 Resultat'!$I19=1,('K3 Resultat'!$K19-1.5*C31)*'K3 Resultat'!$H19,('1Kauppa AT lainat ja avustukset'!$B31-2.5*'1Kauppa AT lainat ja avustukset'!$E31)*'K3 Resultat'!$H19))</f>
        <v>0</v>
      </c>
      <c r="J22" s="128"/>
      <c r="K22" s="1" t="s">
        <v>27</v>
      </c>
      <c r="L22" s="50">
        <f>'K3 Resultat'!K22</f>
        <v>0</v>
      </c>
      <c r="P22" s="130"/>
    </row>
    <row r="23" spans="1:41" x14ac:dyDescent="0.2">
      <c r="C23" s="90"/>
      <c r="D23" s="90"/>
      <c r="E23" s="90"/>
      <c r="F23" s="52" t="s">
        <v>31</v>
      </c>
      <c r="G23" s="92">
        <f>IF('K3 Resultat'!$I20=2,'K3 Resultat'!$K20*'K3 Resultat'!$H20,IF('K3 Resultat'!$I20=1,'K3 Resultat'!$K20*'K3 Resultat'!$H20,('1Kauppa AT lainat ja avustukset'!$B32-0.5*'1Kauppa AT lainat ja avustukset'!$E32)*'K3 Resultat'!$H20))</f>
        <v>0</v>
      </c>
      <c r="H23" s="92">
        <f>IF('K3 Resultat'!$I20=2,'K3 Resultat'!$K20*'K3 Resultat'!$H20,IF('K3 Resultat'!$I20=1,('K3 Resultat'!$K20-0.5*C32)*'K3 Resultat'!$H20,('1Kauppa AT lainat ja avustukset'!$B32-1.5*'1Kauppa AT lainat ja avustukset'!$E32)*'K3 Resultat'!$H20))</f>
        <v>0</v>
      </c>
      <c r="I23" s="92">
        <f>IF('K3 Resultat'!$I20=2,('K3 Resultat'!$K20-0.5*D32)*'K3 Resultat'!$H20,IF('K3 Resultat'!$I20=1,('K3 Resultat'!$K20-1.5*C32)*'K3 Resultat'!$H20,('1Kauppa AT lainat ja avustukset'!$B32-2.5*'1Kauppa AT lainat ja avustukset'!$E32)*'K3 Resultat'!$H20))</f>
        <v>0</v>
      </c>
      <c r="J23" s="128"/>
      <c r="K23" s="1" t="s">
        <v>70</v>
      </c>
      <c r="L23" s="131">
        <f>IF(L20=0,0,-PMT(L20,L21,L22)*12)</f>
        <v>0</v>
      </c>
      <c r="P23" s="130"/>
    </row>
    <row r="24" spans="1:41" x14ac:dyDescent="0.2">
      <c r="C24" s="90"/>
      <c r="D24" s="90"/>
      <c r="E24" s="90"/>
      <c r="F24" s="52"/>
      <c r="G24" s="92"/>
      <c r="H24" s="92"/>
      <c r="I24" s="92"/>
      <c r="J24" s="128"/>
      <c r="K24" s="286" t="s">
        <v>213</v>
      </c>
      <c r="L24" s="131">
        <f>L23/4</f>
        <v>0</v>
      </c>
      <c r="P24" s="130"/>
    </row>
    <row r="25" spans="1:41" x14ac:dyDescent="0.2">
      <c r="C25" s="7"/>
      <c r="D25" s="7"/>
      <c r="E25" s="7"/>
      <c r="F25" s="52"/>
      <c r="G25" s="92"/>
      <c r="H25" s="92"/>
      <c r="I25" s="92"/>
      <c r="J25" s="128"/>
      <c r="K25" s="506" t="s">
        <v>194</v>
      </c>
      <c r="L25" s="506" t="s">
        <v>200</v>
      </c>
      <c r="M25" s="506" t="s">
        <v>201</v>
      </c>
      <c r="N25" s="506" t="s">
        <v>202</v>
      </c>
      <c r="O25" s="506" t="s">
        <v>203</v>
      </c>
      <c r="P25" s="516" t="s">
        <v>204</v>
      </c>
      <c r="Q25" s="506" t="s">
        <v>205</v>
      </c>
      <c r="R25" s="506" t="s">
        <v>206</v>
      </c>
      <c r="S25" s="506" t="s">
        <v>207</v>
      </c>
      <c r="T25" s="506" t="s">
        <v>208</v>
      </c>
      <c r="U25" s="506" t="s">
        <v>209</v>
      </c>
      <c r="V25" s="506" t="s">
        <v>210</v>
      </c>
      <c r="W25" s="506" t="s">
        <v>211</v>
      </c>
    </row>
    <row r="26" spans="1:41" x14ac:dyDescent="0.2">
      <c r="C26" s="7"/>
      <c r="D26" s="7"/>
      <c r="E26" s="7"/>
      <c r="F26" s="52" t="s">
        <v>19</v>
      </c>
      <c r="G26" s="92">
        <f>SUM(G21:G25)</f>
        <v>0</v>
      </c>
      <c r="H26" s="92">
        <f>SUM(H21:H25)</f>
        <v>0</v>
      </c>
      <c r="I26" s="92">
        <f>SUM(I21:I25)</f>
        <v>0</v>
      </c>
      <c r="J26" s="132" t="s">
        <v>71</v>
      </c>
      <c r="K26">
        <v>3</v>
      </c>
      <c r="L26">
        <v>8</v>
      </c>
      <c r="M26">
        <v>11</v>
      </c>
      <c r="N26">
        <v>14</v>
      </c>
      <c r="O26">
        <v>17</v>
      </c>
      <c r="P26">
        <v>20</v>
      </c>
      <c r="Q26">
        <v>23</v>
      </c>
      <c r="R26">
        <v>26</v>
      </c>
      <c r="S26">
        <v>29</v>
      </c>
      <c r="T26">
        <v>32</v>
      </c>
      <c r="U26">
        <v>35</v>
      </c>
      <c r="V26">
        <v>38</v>
      </c>
      <c r="W26">
        <v>41</v>
      </c>
    </row>
    <row r="27" spans="1:41" x14ac:dyDescent="0.2">
      <c r="A27" s="52"/>
      <c r="B27" s="52"/>
      <c r="C27" s="52"/>
      <c r="D27" s="52"/>
      <c r="E27" s="52"/>
      <c r="F27" s="60">
        <f>IF($F19=6,'1Kauppa AT lainat ja avustukset'!B194-'1Kauppa AT lainat ja avustukset'!B164,IF($F19=7,'1Kauppa AT lainat ja avustukset'!C195-'1Kauppa AT lainat ja avustukset'!C165,IF($F19=8,'1Kauppa AT lainat ja avustukset'!D196-'1Kauppa AT lainat ja avustukset'!D166,IF($F19=9,'1Kauppa AT lainat ja avustukset'!E197-'1Kauppa AT lainat ja avustukset'!E167,IF($F19=10,'1Kauppa AT lainat ja avustukset'!F198-'1Kauppa AT lainat ja avustukset'!F168,IF($F19=11,'1Kauppa AT lainat ja avustukset'!G199-'1Kauppa AT lainat ja avustukset'!G169,IF($F19=12,'1Kauppa AT lainat ja avustukset'!H200-'1Kauppa AT lainat ja avustukset'!H170,IF($F19=13,'1Kauppa AT lainat ja avustukset'!I201-'1Kauppa AT lainat ja avustukset'!I171,IF($F19=14,'1Kauppa AT lainat ja avustukset'!J202-'1Kauppa AT lainat ja avustukset'!J172,IF($F19=15,'1Kauppa AT lainat ja avustukset'!K203-'1Kauppa AT lainat ja avustukset'!K173,IF($F19=16,'1Kauppa AT lainat ja avustukset'!L204-'1Kauppa AT lainat ja avustukset'!L174,IF($F19=17,'1Kauppa AT lainat ja avustukset'!M205-'1Kauppa AT lainat ja avustukset'!M175,'1Kauppa AT lainat ja avustukset'!N206*'1Kauppa AT lainat ja avustukset'!N176))))))))))))</f>
        <v>0</v>
      </c>
      <c r="G27" s="52">
        <f>-IF($F19=6,'1Kauppa AT lainat ja avustukset'!N194-'1Kauppa AT lainat ja avustukset'!N164,IF($F19=7,'1Kauppa AT lainat ja avustukset'!O195-'1Kauppa AT lainat ja avustukset'!O165,IF($F19=8,'1Kauppa AT lainat ja avustukset'!P196-'1Kauppa AT lainat ja avustukset'!P166,IF($F19=9,'1Kauppa AT lainat ja avustukset'!Q197-'1Kauppa AT lainat ja avustukset'!Q167,IF($F19=10,'1Kauppa AT lainat ja avustukset'!Q168,IF($F19=11,'1Kauppa AT lainat ja avustukset'!IR6,IF($F19=12,'1Kauppa AT lainat ja avustukset'!S170,IF($F19=13,'1Kauppa AT lainat ja avustukset'!T171,IF($F19=14,'1Kauppa AT lainat ja avustukset'!U172,IF($F19=15,'1Kauppa AT lainat ja avustukset'!V173,IF($F19=16,'1Kauppa AT lainat ja avustukset'!W174,IF($F19=17,'1Kauppa AT lainat ja avustukset'!X175,'1Kauppa AT lainat ja avustukset'!Y176))))))))))))</f>
        <v>0</v>
      </c>
      <c r="H27" s="52"/>
      <c r="I27" s="52"/>
      <c r="J27" s="515" t="s">
        <v>193</v>
      </c>
      <c r="K27" s="131">
        <f>IF(K26&gt;$L21,0,-IPMT($L20,K26,$L21,$L22))</f>
        <v>0</v>
      </c>
      <c r="L27" s="131">
        <f>IF(L26&gt;$L21,0,-IPMT($L20,L26,$L21,$L22))</f>
        <v>0</v>
      </c>
      <c r="M27" s="131">
        <f t="shared" ref="M27:P27" si="1">IF(M26&gt;$L21,0,-IPMT($L20,M26,$L21,$L22))</f>
        <v>0</v>
      </c>
      <c r="N27" s="131">
        <f t="shared" si="1"/>
        <v>0</v>
      </c>
      <c r="O27" s="131">
        <f t="shared" si="1"/>
        <v>0</v>
      </c>
      <c r="P27" s="131">
        <f t="shared" si="1"/>
        <v>0</v>
      </c>
      <c r="Q27" s="131">
        <f t="shared" ref="Q27:W27" si="2">IF(Q26&gt;$L21,0,-IPMT($L20,Q26,$L21,$L22))</f>
        <v>0</v>
      </c>
      <c r="R27" s="131">
        <f t="shared" si="2"/>
        <v>0</v>
      </c>
      <c r="S27" s="131">
        <f t="shared" si="2"/>
        <v>0</v>
      </c>
      <c r="T27" s="131">
        <f t="shared" si="2"/>
        <v>0</v>
      </c>
      <c r="U27" s="131">
        <f t="shared" si="2"/>
        <v>0</v>
      </c>
      <c r="V27" s="131">
        <f t="shared" si="2"/>
        <v>0</v>
      </c>
      <c r="W27" s="131">
        <f t="shared" si="2"/>
        <v>0</v>
      </c>
      <c r="X27" s="131"/>
      <c r="Y27" s="131"/>
      <c r="Z27" s="131"/>
      <c r="AA27" s="131"/>
      <c r="AB27" s="131"/>
      <c r="AC27" s="131"/>
      <c r="AD27" s="131"/>
      <c r="AE27" s="131"/>
      <c r="AF27" s="131"/>
      <c r="AG27" s="131"/>
      <c r="AH27" s="131"/>
      <c r="AI27" s="131"/>
      <c r="AJ27" s="131"/>
      <c r="AK27" s="131"/>
      <c r="AL27" s="131"/>
      <c r="AM27" s="131"/>
      <c r="AN27" s="131"/>
      <c r="AO27" s="131"/>
    </row>
    <row r="28" spans="1:41" x14ac:dyDescent="0.2">
      <c r="C28" s="1942" t="s">
        <v>37</v>
      </c>
      <c r="D28" s="1942"/>
      <c r="E28" s="1942"/>
      <c r="G28" s="1942" t="s">
        <v>38</v>
      </c>
      <c r="H28" s="1942"/>
      <c r="I28" s="1942"/>
      <c r="J28" s="515" t="s">
        <v>212</v>
      </c>
      <c r="K28" s="131">
        <f>6*K27</f>
        <v>0</v>
      </c>
      <c r="L28" s="131">
        <f>3*L27</f>
        <v>0</v>
      </c>
      <c r="M28" s="131">
        <f t="shared" ref="M28:W28" si="3">3*M27</f>
        <v>0</v>
      </c>
      <c r="N28" s="131">
        <f t="shared" si="3"/>
        <v>0</v>
      </c>
      <c r="O28" s="131">
        <f t="shared" si="3"/>
        <v>0</v>
      </c>
      <c r="P28" s="131">
        <f t="shared" si="3"/>
        <v>0</v>
      </c>
      <c r="Q28" s="131">
        <f t="shared" si="3"/>
        <v>0</v>
      </c>
      <c r="R28" s="131">
        <f t="shared" si="3"/>
        <v>0</v>
      </c>
      <c r="S28" s="131">
        <f t="shared" si="3"/>
        <v>0</v>
      </c>
      <c r="T28" s="131">
        <f t="shared" si="3"/>
        <v>0</v>
      </c>
      <c r="U28" s="131">
        <f t="shared" si="3"/>
        <v>0</v>
      </c>
      <c r="V28" s="131">
        <f t="shared" si="3"/>
        <v>0</v>
      </c>
      <c r="W28" s="131">
        <f t="shared" si="3"/>
        <v>0</v>
      </c>
      <c r="X28" s="131"/>
    </row>
    <row r="29" spans="1:41" x14ac:dyDescent="0.2">
      <c r="A29" s="52" t="s">
        <v>29</v>
      </c>
      <c r="B29" s="1" t="s">
        <v>27</v>
      </c>
      <c r="C29" s="91" t="s">
        <v>34</v>
      </c>
      <c r="D29" s="91" t="s">
        <v>35</v>
      </c>
      <c r="E29" s="91" t="s">
        <v>36</v>
      </c>
      <c r="F29" s="52" t="s">
        <v>29</v>
      </c>
      <c r="G29" s="91" t="s">
        <v>1</v>
      </c>
      <c r="H29" s="91" t="s">
        <v>33</v>
      </c>
      <c r="I29" s="91" t="s">
        <v>14</v>
      </c>
      <c r="J29" s="517" t="s">
        <v>214</v>
      </c>
      <c r="K29" s="131">
        <f>2*$L24-K28</f>
        <v>0</v>
      </c>
      <c r="L29" s="131">
        <f>$L24-L28</f>
        <v>0</v>
      </c>
      <c r="M29" s="131">
        <f t="shared" ref="M29:W29" si="4">$L24-M28</f>
        <v>0</v>
      </c>
      <c r="N29" s="131">
        <f t="shared" si="4"/>
        <v>0</v>
      </c>
      <c r="O29" s="131">
        <f t="shared" si="4"/>
        <v>0</v>
      </c>
      <c r="P29" s="131">
        <f t="shared" si="4"/>
        <v>0</v>
      </c>
      <c r="Q29" s="131">
        <f t="shared" si="4"/>
        <v>0</v>
      </c>
      <c r="R29" s="131">
        <f t="shared" si="4"/>
        <v>0</v>
      </c>
      <c r="S29" s="131">
        <f t="shared" si="4"/>
        <v>0</v>
      </c>
      <c r="T29" s="131">
        <f t="shared" si="4"/>
        <v>0</v>
      </c>
      <c r="U29" s="131">
        <f t="shared" si="4"/>
        <v>0</v>
      </c>
      <c r="V29" s="131">
        <f t="shared" si="4"/>
        <v>0</v>
      </c>
      <c r="W29" s="131">
        <f t="shared" si="4"/>
        <v>0</v>
      </c>
      <c r="X29" s="131" t="s">
        <v>0</v>
      </c>
    </row>
    <row r="30" spans="1:41" x14ac:dyDescent="0.2">
      <c r="A30" s="52" t="s">
        <v>28</v>
      </c>
      <c r="B30" s="50">
        <f>'K3 Resultat'!K18</f>
        <v>0</v>
      </c>
      <c r="C30" s="7">
        <f>IF('K3 Resultat'!$J18=0,0,$B30/('K3 Resultat'!$J18-1))</f>
        <v>0</v>
      </c>
      <c r="D30" s="7">
        <f>IF('K3 Resultat'!$J18=0,0,$B30/('K3 Resultat'!$J18-2))</f>
        <v>0</v>
      </c>
      <c r="E30" s="7">
        <f>IF('K3 Resultat'!$J18=0,0,$B30/'K3 Resultat'!$J18)</f>
        <v>0</v>
      </c>
      <c r="F30" s="52" t="s">
        <v>28</v>
      </c>
      <c r="G30" s="90">
        <f>IF('K3 Resultat'!$I18=2,'1Kauppa AT lainat ja avustukset'!G21,IF('K3 Resultat'!$I18=1,'1Kauppa AT lainat ja avustukset'!$G21,'1Kauppa AT lainat ja avustukset'!$E30+$G21))</f>
        <v>0</v>
      </c>
      <c r="H30" s="90">
        <f>IF('K3 Resultat'!$I18=2,'1Kauppa AT lainat ja avustukset'!H21,IF('K3 Resultat'!$I18=1,H21+C30,'1Kauppa AT lainat ja avustukset'!$E30+H21))</f>
        <v>0</v>
      </c>
      <c r="I30" s="90">
        <f>IF('K3 Resultat'!$I18=2,'1Kauppa AT lainat ja avustukset'!I21+D30,IF('K3 Resultat'!$I18=1,I21+C30,'1Kauppa AT lainat ja avustukset'!$E30+I21))</f>
        <v>0</v>
      </c>
      <c r="J30" s="128"/>
      <c r="P30" s="130"/>
    </row>
    <row r="31" spans="1:41" x14ac:dyDescent="0.2">
      <c r="A31" s="52" t="s">
        <v>30</v>
      </c>
      <c r="B31" s="50">
        <f>'K3 Resultat'!K19</f>
        <v>0</v>
      </c>
      <c r="C31" s="7">
        <f>IF('K3 Resultat'!$J19=0,0,$B31/('K3 Resultat'!$J19-1))</f>
        <v>0</v>
      </c>
      <c r="D31" s="7">
        <f>IF('K3 Resultat'!$J19=0,0,$B31/('K3 Resultat'!$J19-2))</f>
        <v>0</v>
      </c>
      <c r="E31" s="7">
        <f>IF('K3 Resultat'!$J19=0,0,$B31/'K3 Resultat'!$J19)</f>
        <v>0</v>
      </c>
      <c r="F31" s="52" t="s">
        <v>30</v>
      </c>
      <c r="G31" s="90">
        <f>IF('K3 Resultat'!$I19=2,'1Kauppa AT lainat ja avustukset'!G22,IF('K3 Resultat'!$I19=1,'1Kauppa AT lainat ja avustukset'!$G22,'1Kauppa AT lainat ja avustukset'!$E31+$G22))</f>
        <v>0</v>
      </c>
      <c r="H31" s="90">
        <f>IF('K3 Resultat'!$I19=2,'1Kauppa AT lainat ja avustukset'!H22,IF('K3 Resultat'!$I19=1,H22+C31,'1Kauppa AT lainat ja avustukset'!$E31+H22))</f>
        <v>0</v>
      </c>
      <c r="I31" s="90">
        <f>IF('K3 Resultat'!$I19=2,'1Kauppa AT lainat ja avustukset'!I22+D31,IF('K3 Resultat'!$I19=1,I22+C31,'1Kauppa AT lainat ja avustukset'!$E31+I22))</f>
        <v>0</v>
      </c>
      <c r="J31" s="128"/>
      <c r="P31" s="130"/>
    </row>
    <row r="32" spans="1:41" x14ac:dyDescent="0.2">
      <c r="A32" s="52" t="s">
        <v>31</v>
      </c>
      <c r="B32" s="50">
        <f>'K3 Resultat'!K20</f>
        <v>0</v>
      </c>
      <c r="C32" s="7">
        <f>IF('K3 Resultat'!$J20=0,0,$B32/('K3 Resultat'!$J20-1))</f>
        <v>0</v>
      </c>
      <c r="D32" s="7">
        <f>IF('K3 Resultat'!$J20=0,0,$B32/('K3 Resultat'!$J20-2))</f>
        <v>0</v>
      </c>
      <c r="E32" s="7">
        <f>IF('K3 Resultat'!$J20=0,0,$B32/'K3 Resultat'!$J20)</f>
        <v>0</v>
      </c>
      <c r="F32" s="52" t="s">
        <v>31</v>
      </c>
      <c r="G32" s="90">
        <f>IF('K3 Resultat'!$I20=2,'1Kauppa AT lainat ja avustukset'!G23,IF('K3 Resultat'!$I20=1,'1Kauppa AT lainat ja avustukset'!$G23,'1Kauppa AT lainat ja avustukset'!$E32+$G23))</f>
        <v>0</v>
      </c>
      <c r="H32" s="90">
        <f>IF('K3 Resultat'!$I20=2,'1Kauppa AT lainat ja avustukset'!H23,IF('K3 Resultat'!$I20=1,H23+C32,'1Kauppa AT lainat ja avustukset'!$E32+H23))</f>
        <v>0</v>
      </c>
      <c r="I32" s="90">
        <f>IF('K3 Resultat'!$I20=2,'1Kauppa AT lainat ja avustukset'!I23+D32,IF('K3 Resultat'!$I20=1,I23+C32,'1Kauppa AT lainat ja avustukset'!$E32+I23))</f>
        <v>0</v>
      </c>
      <c r="J32" s="128"/>
      <c r="P32" s="130"/>
    </row>
    <row r="33" spans="1:16" x14ac:dyDescent="0.2">
      <c r="A33" s="52"/>
      <c r="C33" s="7"/>
      <c r="F33" s="52"/>
      <c r="J33" s="128"/>
      <c r="P33" s="130"/>
    </row>
    <row r="34" spans="1:16" x14ac:dyDescent="0.2">
      <c r="A34" s="52" t="s">
        <v>19</v>
      </c>
      <c r="B34" s="93">
        <f>SUM(B30:B33)</f>
        <v>0</v>
      </c>
      <c r="C34" s="7">
        <f>SUM(C30:C33)</f>
        <v>0</v>
      </c>
      <c r="D34" s="7">
        <f>SUM(D30:D33)</f>
        <v>0</v>
      </c>
      <c r="E34" s="7">
        <f>SUM(E30:E33)</f>
        <v>0</v>
      </c>
      <c r="F34" s="52" t="s">
        <v>19</v>
      </c>
      <c r="G34" s="7">
        <f>SUM(G30:G33)</f>
        <v>0</v>
      </c>
      <c r="H34" s="7">
        <f>SUM(H30:H33)</f>
        <v>0</v>
      </c>
      <c r="I34" s="7">
        <f>SUM(I30:I33)</f>
        <v>0</v>
      </c>
      <c r="J34" s="128"/>
      <c r="P34" s="130"/>
    </row>
    <row r="35" spans="1:16" x14ac:dyDescent="0.2">
      <c r="J35" s="133"/>
      <c r="K35" s="134"/>
      <c r="L35" s="134"/>
      <c r="M35" s="134"/>
      <c r="N35" s="134"/>
      <c r="O35" s="134"/>
      <c r="P35" s="135"/>
    </row>
    <row r="37" spans="1:16" x14ac:dyDescent="0.2">
      <c r="F37" s="1941" t="s">
        <v>39</v>
      </c>
      <c r="G37" s="1941"/>
      <c r="H37" s="1941"/>
      <c r="I37" s="1941"/>
      <c r="J37" s="286"/>
    </row>
    <row r="38" spans="1:16" x14ac:dyDescent="0.2">
      <c r="F38" s="52" t="s">
        <v>29</v>
      </c>
      <c r="G38" s="91" t="s">
        <v>1</v>
      </c>
      <c r="H38" s="91" t="s">
        <v>33</v>
      </c>
      <c r="I38" s="91" t="s">
        <v>14</v>
      </c>
      <c r="K38" s="506"/>
      <c r="L38" s="506"/>
      <c r="M38" s="506"/>
    </row>
    <row r="39" spans="1:16" x14ac:dyDescent="0.2">
      <c r="F39" s="52" t="s">
        <v>28</v>
      </c>
      <c r="G39" s="50">
        <f>IF('K3 Resultat'!$I18=2,'1Kauppa AT lainat ja avustukset'!$B30,IF('K3 Resultat'!$I18=1,'1Kauppa AT lainat ja avustukset'!$B30,'1Kauppa AT lainat ja avustukset'!$B30-'1Kauppa AT lainat ja avustukset'!$E30))</f>
        <v>0</v>
      </c>
      <c r="H39" s="50">
        <f>IF('K3 Resultat'!$I18=2,'1Kauppa AT lainat ja avustukset'!$B30,IF('K3 Resultat'!$I18=1,'1Kauppa AT lainat ja avustukset'!$B30-$C30,'1Kauppa AT lainat ja avustukset'!$B30-2*'1Kauppa AT lainat ja avustukset'!$E30))</f>
        <v>0</v>
      </c>
      <c r="I39" s="50">
        <f>IF('K3 Resultat'!$I18=2,'1Kauppa AT lainat ja avustukset'!$B30-D30,IF('K3 Resultat'!$I18=1,'1Kauppa AT lainat ja avustukset'!$B30-2*$C30,'1Kauppa AT lainat ja avustukset'!$B30-3*'1Kauppa AT lainat ja avustukset'!$E30))</f>
        <v>0</v>
      </c>
      <c r="J39" s="286"/>
      <c r="K39" s="507"/>
      <c r="L39" s="507"/>
      <c r="M39" s="507"/>
    </row>
    <row r="40" spans="1:16" x14ac:dyDescent="0.2">
      <c r="F40" s="52" t="s">
        <v>30</v>
      </c>
      <c r="G40" s="50">
        <f>IF('K3 Resultat'!$I19=2,'1Kauppa AT lainat ja avustukset'!$B31,IF('K3 Resultat'!$I19=1,'1Kauppa AT lainat ja avustukset'!$B31,'1Kauppa AT lainat ja avustukset'!$B31-'1Kauppa AT lainat ja avustukset'!$E31))</f>
        <v>0</v>
      </c>
      <c r="H40" s="50">
        <f>IF('K3 Resultat'!$I19=2,'1Kauppa AT lainat ja avustukset'!$B31,IF('K3 Resultat'!$I19=1,'1Kauppa AT lainat ja avustukset'!$B31-$C31,'1Kauppa AT lainat ja avustukset'!$B31-2*'1Kauppa AT lainat ja avustukset'!$E31))</f>
        <v>0</v>
      </c>
      <c r="I40" s="50">
        <f>IF('K3 Resultat'!$I19=2,'1Kauppa AT lainat ja avustukset'!$B31-D31,IF('K3 Resultat'!$I19=1,'1Kauppa AT lainat ja avustukset'!$B31-2*$C31,'1Kauppa AT lainat ja avustukset'!$B31-3*'1Kauppa AT lainat ja avustukset'!$E31))</f>
        <v>0</v>
      </c>
      <c r="J40" s="286"/>
    </row>
    <row r="41" spans="1:16" x14ac:dyDescent="0.2">
      <c r="F41" s="52" t="s">
        <v>31</v>
      </c>
      <c r="G41" s="50">
        <f>IF('K3 Resultat'!$I20=2,'1Kauppa AT lainat ja avustukset'!$B32,IF('K3 Resultat'!$I20=1,'1Kauppa AT lainat ja avustukset'!$B32,'1Kauppa AT lainat ja avustukset'!$B32-'1Kauppa AT lainat ja avustukset'!$E32))</f>
        <v>0</v>
      </c>
      <c r="H41" s="50">
        <f>IF('K3 Resultat'!$I20=2,'1Kauppa AT lainat ja avustukset'!$B32,IF('K3 Resultat'!$I20=1,'1Kauppa AT lainat ja avustukset'!$B32-$C32,'1Kauppa AT lainat ja avustukset'!$B32-2*'1Kauppa AT lainat ja avustukset'!$E32))</f>
        <v>0</v>
      </c>
      <c r="I41" s="50">
        <f>IF('K3 Resultat'!$I20=2,'1Kauppa AT lainat ja avustukset'!$B32-D32,IF('K3 Resultat'!$I20=1,'1Kauppa AT lainat ja avustukset'!$B32-2*$C32,'1Kauppa AT lainat ja avustukset'!$B32-3*'1Kauppa AT lainat ja avustukset'!$E32))</f>
        <v>0</v>
      </c>
      <c r="J41" s="286"/>
    </row>
    <row r="42" spans="1:16" x14ac:dyDescent="0.2">
      <c r="G42" s="50"/>
      <c r="H42" s="4"/>
      <c r="I42" s="4"/>
      <c r="J42" s="286"/>
    </row>
    <row r="43" spans="1:16" x14ac:dyDescent="0.2">
      <c r="F43" s="52" t="s">
        <v>19</v>
      </c>
      <c r="G43" s="50">
        <f>SUM(G39:G42)</f>
        <v>0</v>
      </c>
      <c r="H43" s="50">
        <f>SUM(H39:H42)</f>
        <v>0</v>
      </c>
      <c r="I43" s="50">
        <f>SUM(I39:I42)</f>
        <v>0</v>
      </c>
      <c r="J43" s="286"/>
    </row>
    <row r="44" spans="1:16" ht="15.75" x14ac:dyDescent="0.25">
      <c r="B44" s="136" t="s">
        <v>72</v>
      </c>
      <c r="F44" s="124"/>
      <c r="G44" s="137" t="s">
        <v>73</v>
      </c>
      <c r="H44" s="126"/>
      <c r="I44" s="127"/>
      <c r="J44" s="286"/>
    </row>
    <row r="45" spans="1:16" x14ac:dyDescent="0.2">
      <c r="B45" s="2" t="s">
        <v>64</v>
      </c>
      <c r="C45" s="95" t="s">
        <v>40</v>
      </c>
      <c r="D45" s="122" t="s">
        <v>27</v>
      </c>
      <c r="E45" s="1" t="s">
        <v>54</v>
      </c>
      <c r="F45" s="138"/>
      <c r="G45" s="44" t="s">
        <v>73</v>
      </c>
      <c r="H45" s="50"/>
      <c r="I45" s="139"/>
      <c r="J45" s="286"/>
    </row>
    <row r="46" spans="1:16" x14ac:dyDescent="0.2">
      <c r="B46" s="115" t="s">
        <v>24</v>
      </c>
      <c r="C46" s="123">
        <f>'K3 Resultat'!D17</f>
        <v>0</v>
      </c>
      <c r="D46" s="50">
        <f>'K3 Resultat'!E17</f>
        <v>0</v>
      </c>
      <c r="E46">
        <f>C46*D46</f>
        <v>0</v>
      </c>
      <c r="F46" s="138"/>
      <c r="G46" s="50">
        <f>D46-E46</f>
        <v>0</v>
      </c>
      <c r="H46" s="50"/>
      <c r="I46" s="139"/>
    </row>
    <row r="47" spans="1:16" x14ac:dyDescent="0.2">
      <c r="B47" s="115" t="s">
        <v>25</v>
      </c>
      <c r="C47" s="123">
        <f>'K3 Resultat'!D18</f>
        <v>0</v>
      </c>
      <c r="D47" s="50">
        <f>'K3 Resultat'!E18</f>
        <v>0</v>
      </c>
      <c r="E47">
        <f>C47*D47</f>
        <v>0</v>
      </c>
      <c r="F47" s="138"/>
      <c r="G47" s="50">
        <f>D47-E47</f>
        <v>0</v>
      </c>
      <c r="H47" s="50"/>
      <c r="I47" s="139"/>
    </row>
    <row r="48" spans="1:16" x14ac:dyDescent="0.2">
      <c r="B48" s="115" t="s">
        <v>63</v>
      </c>
      <c r="C48" s="123">
        <f>'K3 Resultat'!D19</f>
        <v>0</v>
      </c>
      <c r="D48" s="50">
        <f>'K3 Resultat'!E19</f>
        <v>0</v>
      </c>
      <c r="E48" s="144">
        <f>C48*D48/1.24</f>
        <v>0</v>
      </c>
      <c r="F48" s="128"/>
      <c r="G48" s="145">
        <f>D48/1.24-E48</f>
        <v>0</v>
      </c>
      <c r="I48" s="130"/>
    </row>
    <row r="49" spans="2:11" x14ac:dyDescent="0.2">
      <c r="B49" s="2"/>
      <c r="C49" s="2"/>
      <c r="D49" s="2" t="s">
        <v>19</v>
      </c>
      <c r="E49" s="121">
        <f>SUM(E46:E48)</f>
        <v>0</v>
      </c>
      <c r="F49" s="128"/>
      <c r="I49" s="130"/>
    </row>
    <row r="50" spans="2:11" x14ac:dyDescent="0.2">
      <c r="B50" s="2" t="s">
        <v>52</v>
      </c>
      <c r="C50" s="14" t="s">
        <v>40</v>
      </c>
      <c r="D50" s="14" t="s">
        <v>141</v>
      </c>
      <c r="E50" s="14" t="s">
        <v>54</v>
      </c>
      <c r="F50" s="2" t="s">
        <v>52</v>
      </c>
      <c r="G50" s="14" t="s">
        <v>74</v>
      </c>
      <c r="I50" s="130"/>
    </row>
    <row r="51" spans="2:11" x14ac:dyDescent="0.2">
      <c r="B51" s="220">
        <v>1</v>
      </c>
      <c r="C51" s="245">
        <f>'K3 Resultat'!D21</f>
        <v>0</v>
      </c>
      <c r="D51" s="221">
        <f>'K3 Resultat'!E21</f>
        <v>0</v>
      </c>
      <c r="E51" s="244">
        <f>C51*D51/1.24</f>
        <v>0</v>
      </c>
      <c r="F51" s="220">
        <v>1</v>
      </c>
      <c r="G51" s="244">
        <f>D51/1.24-E51</f>
        <v>0</v>
      </c>
      <c r="I51" s="130"/>
    </row>
    <row r="52" spans="2:11" x14ac:dyDescent="0.2">
      <c r="B52" s="220">
        <v>2</v>
      </c>
      <c r="C52" s="245">
        <f>'K3 Resultat'!D22</f>
        <v>0</v>
      </c>
      <c r="D52" s="221">
        <f>'K3 Resultat'!E22</f>
        <v>0</v>
      </c>
      <c r="E52" s="244">
        <f>C52*D52/1.24</f>
        <v>0</v>
      </c>
      <c r="F52" s="220">
        <v>2</v>
      </c>
      <c r="G52" s="244">
        <f>D52/1.24-E52</f>
        <v>0</v>
      </c>
      <c r="I52" s="130"/>
    </row>
    <row r="53" spans="2:11" x14ac:dyDescent="0.2">
      <c r="B53" s="220">
        <v>3</v>
      </c>
      <c r="C53" s="245">
        <f>'K3 Resultat'!D23</f>
        <v>0</v>
      </c>
      <c r="D53" s="221">
        <f>'K3 Resultat'!E23</f>
        <v>0</v>
      </c>
      <c r="E53" s="244">
        <f>C53*D53/1.24</f>
        <v>0</v>
      </c>
      <c r="F53" s="220">
        <v>3</v>
      </c>
      <c r="G53" s="244">
        <f>D53/1.24-E53</f>
        <v>0</v>
      </c>
      <c r="I53" s="130"/>
    </row>
    <row r="54" spans="2:11" x14ac:dyDescent="0.2">
      <c r="B54" s="220"/>
      <c r="C54" s="245"/>
      <c r="D54" s="221"/>
      <c r="E54" s="244"/>
      <c r="F54" s="220"/>
      <c r="G54" s="244"/>
      <c r="I54" s="130"/>
    </row>
    <row r="55" spans="2:11" x14ac:dyDescent="0.2">
      <c r="B55" s="220"/>
      <c r="C55" s="248" t="s">
        <v>0</v>
      </c>
      <c r="D55" s="222" t="s">
        <v>0</v>
      </c>
      <c r="E55" s="247"/>
      <c r="F55" s="220"/>
      <c r="G55" s="247"/>
      <c r="I55" s="130"/>
    </row>
    <row r="56" spans="2:11" x14ac:dyDescent="0.2">
      <c r="B56" s="249" t="s">
        <v>62</v>
      </c>
      <c r="C56" s="250">
        <f>IF(D56=0,0,1.24*(E56/D56))</f>
        <v>0</v>
      </c>
      <c r="D56" s="251">
        <f>SUM(D51:D55)</f>
        <v>0</v>
      </c>
      <c r="E56" s="252">
        <f>SUM(E51:E55)</f>
        <v>0</v>
      </c>
      <c r="F56" s="220"/>
      <c r="G56" s="247"/>
      <c r="I56" s="130"/>
    </row>
    <row r="57" spans="2:11" x14ac:dyDescent="0.2">
      <c r="B57" s="219" t="s">
        <v>55</v>
      </c>
      <c r="C57" s="220"/>
      <c r="D57" s="222">
        <f>B63</f>
        <v>0</v>
      </c>
      <c r="E57" s="247">
        <v>0</v>
      </c>
      <c r="F57" s="219" t="s">
        <v>55</v>
      </c>
      <c r="G57" s="247">
        <f>-D57</f>
        <v>0</v>
      </c>
      <c r="I57" s="130"/>
    </row>
    <row r="58" spans="2:11" x14ac:dyDescent="0.2">
      <c r="B58" s="219" t="s">
        <v>65</v>
      </c>
      <c r="C58" s="253">
        <f>'K3 Resultat'!D26</f>
        <v>0</v>
      </c>
      <c r="D58" s="221">
        <f>'K3 Resultat'!E26</f>
        <v>0</v>
      </c>
      <c r="E58" s="220">
        <f>C58*D58</f>
        <v>0</v>
      </c>
      <c r="F58" s="219" t="s">
        <v>103</v>
      </c>
      <c r="G58" s="247">
        <f>D58-E58</f>
        <v>0</v>
      </c>
      <c r="I58" s="130"/>
    </row>
    <row r="59" spans="2:11" x14ac:dyDescent="0.2">
      <c r="B59" s="219" t="s">
        <v>56</v>
      </c>
      <c r="C59" s="254" t="s">
        <v>219</v>
      </c>
      <c r="D59" s="219"/>
      <c r="E59" s="255">
        <f>E49+IF(E56+E57+E58&lt;0,0,E56+E57+E58)</f>
        <v>0</v>
      </c>
      <c r="F59" s="249" t="s">
        <v>19</v>
      </c>
      <c r="G59" s="255">
        <f>SUM(G51:G58)</f>
        <v>0</v>
      </c>
      <c r="I59" s="130"/>
    </row>
    <row r="60" spans="2:11" x14ac:dyDescent="0.2">
      <c r="F60" s="133"/>
      <c r="G60" s="134"/>
      <c r="H60" s="134"/>
      <c r="I60" s="135"/>
    </row>
    <row r="61" spans="2:11" x14ac:dyDescent="0.2">
      <c r="B61" s="2" t="s">
        <v>58</v>
      </c>
    </row>
    <row r="62" spans="2:11" x14ac:dyDescent="0.2">
      <c r="B62" s="95" t="s">
        <v>27</v>
      </c>
      <c r="C62" s="95" t="s">
        <v>26</v>
      </c>
      <c r="D62" s="95" t="s">
        <v>57</v>
      </c>
      <c r="E62" s="122" t="s">
        <v>60</v>
      </c>
      <c r="F62" s="1" t="s">
        <v>59</v>
      </c>
      <c r="G62" s="122" t="s">
        <v>61</v>
      </c>
      <c r="K62" t="s">
        <v>126</v>
      </c>
    </row>
    <row r="63" spans="2:11" x14ac:dyDescent="0.2">
      <c r="B63" s="50">
        <f>'K3 Resultat'!K21</f>
        <v>0</v>
      </c>
      <c r="C63" s="116">
        <f>'K3 Resultat'!H21</f>
        <v>0</v>
      </c>
      <c r="D63" s="50">
        <f>'K3 Resultat'!I21</f>
        <v>0</v>
      </c>
      <c r="E63" s="119">
        <f>'K1 Kostnader'!E59</f>
        <v>0.3</v>
      </c>
      <c r="F63" s="50">
        <f>B63*E63</f>
        <v>0</v>
      </c>
      <c r="G63" s="90">
        <f>IF(B63=0,0,-PMT(C63,D63,B63-F63)+12*K63)</f>
        <v>0</v>
      </c>
      <c r="H63" s="1" t="s">
        <v>77</v>
      </c>
      <c r="K63">
        <v>10</v>
      </c>
    </row>
    <row r="64" spans="2:11" x14ac:dyDescent="0.2">
      <c r="B64" s="50">
        <f>B63</f>
        <v>0</v>
      </c>
      <c r="C64" s="116">
        <f>C63</f>
        <v>0</v>
      </c>
      <c r="D64" s="50">
        <f>D63</f>
        <v>0</v>
      </c>
      <c r="E64" s="116">
        <f>E63</f>
        <v>0.3</v>
      </c>
      <c r="F64" s="50">
        <f>F63</f>
        <v>0</v>
      </c>
      <c r="G64" s="118">
        <f>IF(D64=0,0,(C64*F64))</f>
        <v>0</v>
      </c>
      <c r="H64" s="286" t="s">
        <v>127</v>
      </c>
    </row>
    <row r="65" spans="1:46" x14ac:dyDescent="0.2">
      <c r="B65" s="1"/>
      <c r="C65" s="50"/>
      <c r="D65" s="116"/>
      <c r="F65" s="146"/>
      <c r="G65" s="50"/>
    </row>
    <row r="66" spans="1:46" x14ac:dyDescent="0.2">
      <c r="F66" s="122"/>
      <c r="G66" s="50">
        <f>G63+G64</f>
        <v>0</v>
      </c>
      <c r="H66" s="1" t="s">
        <v>104</v>
      </c>
    </row>
    <row r="67" spans="1:46" x14ac:dyDescent="0.2">
      <c r="B67" s="1"/>
      <c r="C67" s="1"/>
      <c r="E67" s="122"/>
      <c r="F67" s="120"/>
      <c r="G67" s="50"/>
      <c r="H67" s="1"/>
    </row>
    <row r="68" spans="1:46" x14ac:dyDescent="0.2">
      <c r="B68" s="6"/>
      <c r="C68" s="272"/>
      <c r="D68" s="272"/>
      <c r="E68" s="272"/>
      <c r="F68" s="52"/>
      <c r="G68" s="52"/>
      <c r="H68" s="52"/>
      <c r="I68" s="52"/>
      <c r="J68" s="52"/>
      <c r="K68" s="52"/>
      <c r="L68" s="52"/>
      <c r="M68" s="52"/>
      <c r="N68" s="52"/>
      <c r="O68" s="52"/>
      <c r="P68" s="52"/>
    </row>
    <row r="69" spans="1:46" x14ac:dyDescent="0.2">
      <c r="B69" s="161"/>
      <c r="C69" s="93"/>
      <c r="D69" s="93"/>
      <c r="E69" s="93"/>
      <c r="F69" s="52"/>
      <c r="G69" s="52"/>
      <c r="H69" s="52"/>
      <c r="I69" s="52"/>
      <c r="J69" s="52"/>
      <c r="K69" s="52"/>
      <c r="L69" s="52"/>
      <c r="M69" s="52"/>
      <c r="N69" s="52"/>
      <c r="O69" s="52"/>
      <c r="P69" s="52"/>
    </row>
    <row r="70" spans="1:46" x14ac:dyDescent="0.2">
      <c r="B70" s="161"/>
      <c r="C70" s="93"/>
      <c r="D70" s="93"/>
      <c r="E70" s="93"/>
      <c r="F70" s="228"/>
      <c r="G70" s="228"/>
      <c r="H70" s="228"/>
      <c r="I70" s="228"/>
      <c r="J70" s="228"/>
      <c r="K70" s="228"/>
      <c r="L70" s="228"/>
      <c r="M70" s="228"/>
      <c r="N70" s="228"/>
      <c r="O70" s="228"/>
      <c r="P70" s="228"/>
    </row>
    <row r="71" spans="1:46" x14ac:dyDescent="0.2">
      <c r="B71" s="161"/>
      <c r="C71" s="93"/>
      <c r="D71" s="93"/>
      <c r="E71" s="93"/>
      <c r="F71" s="205"/>
      <c r="G71" s="205"/>
      <c r="H71" s="205"/>
      <c r="I71" s="205"/>
      <c r="J71" s="205"/>
      <c r="K71" s="205"/>
      <c r="L71" s="205"/>
      <c r="M71" s="205"/>
      <c r="N71" s="205"/>
      <c r="O71" s="205"/>
      <c r="P71" s="93"/>
    </row>
    <row r="72" spans="1:46" x14ac:dyDescent="0.2">
      <c r="B72" s="161"/>
      <c r="C72" s="93"/>
      <c r="D72" s="93"/>
      <c r="E72" s="93"/>
      <c r="F72" s="205"/>
      <c r="G72" s="205"/>
      <c r="H72" s="205"/>
      <c r="I72" s="205"/>
      <c r="J72" s="205"/>
      <c r="K72" s="205"/>
      <c r="L72" s="205"/>
      <c r="M72" s="205"/>
      <c r="N72" s="205"/>
      <c r="O72" s="205"/>
      <c r="P72" s="93"/>
    </row>
    <row r="73" spans="1:46" x14ac:dyDescent="0.2">
      <c r="B73" s="161"/>
      <c r="C73" s="93"/>
      <c r="D73" s="93"/>
      <c r="E73" s="93"/>
      <c r="F73" s="205"/>
      <c r="G73" s="205"/>
      <c r="H73" s="205"/>
      <c r="I73" s="205"/>
      <c r="J73" s="205"/>
      <c r="K73" s="205"/>
      <c r="L73" s="205"/>
      <c r="M73" s="205"/>
      <c r="N73" s="205"/>
      <c r="O73" s="205"/>
      <c r="P73" s="93"/>
    </row>
    <row r="74" spans="1:46" x14ac:dyDescent="0.2">
      <c r="B74" s="66"/>
      <c r="C74" s="93"/>
      <c r="D74" s="93"/>
      <c r="E74" s="93"/>
      <c r="F74" s="205"/>
      <c r="G74" s="205"/>
      <c r="H74" s="205"/>
      <c r="I74" s="205"/>
      <c r="J74" s="205"/>
      <c r="K74" s="205"/>
      <c r="L74" s="205"/>
      <c r="M74" s="205"/>
      <c r="N74" s="205"/>
      <c r="O74" s="205"/>
      <c r="P74" s="93"/>
    </row>
    <row r="75" spans="1:46" x14ac:dyDescent="0.2">
      <c r="A75" s="545" t="s">
        <v>29</v>
      </c>
      <c r="B75" s="545"/>
      <c r="C75" s="545"/>
      <c r="D75" s="546"/>
      <c r="E75" s="546"/>
      <c r="F75" s="546"/>
      <c r="G75" s="546"/>
      <c r="H75" s="546"/>
      <c r="I75" s="546"/>
      <c r="J75" s="546"/>
      <c r="K75" s="546"/>
      <c r="L75" s="546"/>
      <c r="M75" s="546"/>
      <c r="N75" s="546"/>
      <c r="O75" s="546"/>
      <c r="P75" s="547"/>
      <c r="Q75" s="548"/>
      <c r="R75" s="548"/>
      <c r="S75" s="548"/>
      <c r="T75" s="548"/>
      <c r="U75" s="548"/>
      <c r="V75" s="548"/>
      <c r="W75" s="548"/>
      <c r="X75" s="548"/>
      <c r="Y75" s="548"/>
      <c r="Z75" s="548"/>
      <c r="AA75" s="548"/>
      <c r="AB75" s="548"/>
      <c r="AC75" s="548"/>
      <c r="AD75" s="548"/>
      <c r="AE75" s="548"/>
      <c r="AF75" s="548"/>
      <c r="AG75" s="548"/>
      <c r="AH75" s="548"/>
      <c r="AI75" s="548"/>
      <c r="AJ75" s="548"/>
      <c r="AK75" s="548"/>
      <c r="AL75" s="548"/>
    </row>
    <row r="76" spans="1:46" ht="13.5" thickBot="1" x14ac:dyDescent="0.25">
      <c r="A76" s="549" t="s">
        <v>179</v>
      </c>
      <c r="B76" s="550">
        <v>6</v>
      </c>
      <c r="C76" s="551">
        <v>7</v>
      </c>
      <c r="D76" s="551">
        <v>8</v>
      </c>
      <c r="E76" s="551">
        <v>9</v>
      </c>
      <c r="F76" s="551">
        <v>10</v>
      </c>
      <c r="G76" s="551">
        <v>11</v>
      </c>
      <c r="H76" s="551">
        <v>12</v>
      </c>
      <c r="I76" s="551">
        <v>13</v>
      </c>
      <c r="J76" s="551">
        <v>14</v>
      </c>
      <c r="K76" s="551">
        <v>15</v>
      </c>
      <c r="L76" s="551">
        <v>16</v>
      </c>
      <c r="M76" s="551">
        <v>17</v>
      </c>
      <c r="N76" s="551">
        <v>18</v>
      </c>
      <c r="O76" s="551">
        <v>19</v>
      </c>
      <c r="P76" s="551">
        <v>20</v>
      </c>
      <c r="Q76" s="551">
        <v>21</v>
      </c>
      <c r="R76" s="551">
        <v>22</v>
      </c>
      <c r="S76" s="551">
        <v>23</v>
      </c>
      <c r="T76" s="551">
        <v>24</v>
      </c>
      <c r="U76" s="551">
        <v>25</v>
      </c>
      <c r="V76" s="551">
        <v>26</v>
      </c>
      <c r="W76" s="551">
        <v>27</v>
      </c>
      <c r="X76" s="551">
        <v>28</v>
      </c>
      <c r="Y76" s="551">
        <v>29</v>
      </c>
      <c r="Z76" s="551">
        <v>30</v>
      </c>
      <c r="AA76" s="551">
        <v>31</v>
      </c>
      <c r="AB76" s="551">
        <v>32</v>
      </c>
      <c r="AC76" s="551">
        <v>33</v>
      </c>
      <c r="AD76" s="551">
        <v>34</v>
      </c>
      <c r="AE76" s="551">
        <v>35</v>
      </c>
      <c r="AF76" s="551">
        <v>36</v>
      </c>
      <c r="AG76" s="551">
        <v>37</v>
      </c>
      <c r="AH76" s="551">
        <v>38</v>
      </c>
      <c r="AI76" s="551">
        <v>39</v>
      </c>
      <c r="AJ76" s="551">
        <v>40</v>
      </c>
      <c r="AK76" s="551">
        <v>41</v>
      </c>
      <c r="AL76" s="551">
        <v>42</v>
      </c>
      <c r="AM76" s="205"/>
      <c r="AN76" s="204"/>
      <c r="AO76" s="205"/>
      <c r="AP76" s="204"/>
      <c r="AQ76" s="205"/>
      <c r="AR76" s="204"/>
      <c r="AS76" s="204"/>
      <c r="AT76" s="205"/>
    </row>
    <row r="77" spans="1:46" s="514" customFormat="1" ht="11.25" customHeight="1" x14ac:dyDescent="0.2">
      <c r="A77" s="552" t="s">
        <v>176</v>
      </c>
      <c r="B77" s="553">
        <f>'K3 Resultat'!K18</f>
        <v>0</v>
      </c>
      <c r="C77" s="577">
        <f>B77-B78</f>
        <v>0</v>
      </c>
      <c r="D77" s="577">
        <f t="shared" ref="D77:AF77" si="5">C77-C78</f>
        <v>0</v>
      </c>
      <c r="E77" s="577">
        <f t="shared" si="5"/>
        <v>0</v>
      </c>
      <c r="F77" s="577">
        <f t="shared" si="5"/>
        <v>0</v>
      </c>
      <c r="G77" s="577">
        <f t="shared" si="5"/>
        <v>0</v>
      </c>
      <c r="H77" s="577">
        <f t="shared" si="5"/>
        <v>0</v>
      </c>
      <c r="I77" s="577">
        <f t="shared" si="5"/>
        <v>0</v>
      </c>
      <c r="J77" s="577">
        <f t="shared" si="5"/>
        <v>0</v>
      </c>
      <c r="K77" s="577">
        <f t="shared" si="5"/>
        <v>0</v>
      </c>
      <c r="L77" s="577">
        <f t="shared" si="5"/>
        <v>0</v>
      </c>
      <c r="M77" s="577">
        <f t="shared" si="5"/>
        <v>0</v>
      </c>
      <c r="N77" s="577">
        <f t="shared" si="5"/>
        <v>0</v>
      </c>
      <c r="O77" s="577">
        <f t="shared" si="5"/>
        <v>0</v>
      </c>
      <c r="P77" s="577">
        <f t="shared" si="5"/>
        <v>0</v>
      </c>
      <c r="Q77" s="577">
        <f t="shared" si="5"/>
        <v>0</v>
      </c>
      <c r="R77" s="577">
        <f t="shared" si="5"/>
        <v>0</v>
      </c>
      <c r="S77" s="577">
        <f t="shared" si="5"/>
        <v>0</v>
      </c>
      <c r="T77" s="577">
        <f t="shared" si="5"/>
        <v>0</v>
      </c>
      <c r="U77" s="577">
        <f t="shared" si="5"/>
        <v>0</v>
      </c>
      <c r="V77" s="577">
        <f t="shared" si="5"/>
        <v>0</v>
      </c>
      <c r="W77" s="577">
        <f t="shared" si="5"/>
        <v>0</v>
      </c>
      <c r="X77" s="577">
        <f t="shared" si="5"/>
        <v>0</v>
      </c>
      <c r="Y77" s="577">
        <f t="shared" si="5"/>
        <v>0</v>
      </c>
      <c r="Z77" s="577">
        <f t="shared" si="5"/>
        <v>0</v>
      </c>
      <c r="AA77" s="577">
        <f t="shared" si="5"/>
        <v>0</v>
      </c>
      <c r="AB77" s="577">
        <f t="shared" si="5"/>
        <v>0</v>
      </c>
      <c r="AC77" s="577">
        <f t="shared" si="5"/>
        <v>0</v>
      </c>
      <c r="AD77" s="577">
        <f t="shared" si="5"/>
        <v>0</v>
      </c>
      <c r="AE77" s="577">
        <f t="shared" si="5"/>
        <v>0</v>
      </c>
      <c r="AF77" s="577">
        <f t="shared" si="5"/>
        <v>0</v>
      </c>
      <c r="AG77" s="577">
        <f t="shared" ref="AG77" si="6">AF77-AF78</f>
        <v>0</v>
      </c>
      <c r="AH77" s="577">
        <f t="shared" ref="AH77" si="7">AG77-AG78</f>
        <v>0</v>
      </c>
      <c r="AI77" s="577">
        <f t="shared" ref="AI77" si="8">AH77-AH78</f>
        <v>0</v>
      </c>
      <c r="AJ77" s="577">
        <f t="shared" ref="AJ77" si="9">AI77-AI78</f>
        <v>0</v>
      </c>
      <c r="AK77" s="577">
        <f t="shared" ref="AK77" si="10">AJ77-AJ78</f>
        <v>0</v>
      </c>
      <c r="AL77" s="578">
        <f t="shared" ref="AL77" si="11">AK77-AK78</f>
        <v>0</v>
      </c>
    </row>
    <row r="78" spans="1:46" x14ac:dyDescent="0.2">
      <c r="A78" s="554" t="s">
        <v>177</v>
      </c>
      <c r="B78" s="66">
        <f>IF(B77=0,0,IF('K3 Resultat'!$I18=2,0,IF('K3 Resultat'!$I18=1,0,'K3 Resultat'!$K18/(2*'K3 Resultat'!$J18))))</f>
        <v>0</v>
      </c>
      <c r="C78" s="204"/>
      <c r="D78" s="205"/>
      <c r="E78" s="205"/>
      <c r="F78" s="205"/>
      <c r="G78" s="205"/>
      <c r="H78" s="66">
        <f>IF(H77=0,0,IF('K3 Resultat'!$I18=2,0,IF('K3 Resultat'!$I18=1,0,'K3 Resultat'!$K18/(2*'K3 Resultat'!$J18))))</f>
        <v>0</v>
      </c>
      <c r="I78" s="205"/>
      <c r="J78" s="205"/>
      <c r="K78" s="205"/>
      <c r="L78" s="205"/>
      <c r="M78" s="205"/>
      <c r="N78" s="66">
        <f>IF(N77=0,0,IF('K3 Resultat'!$I18=2,0,IF('K3 Resultat'!$I18=1,'K3 Resultat'!$K18/(2*'K3 Resultat'!$J18-2),'K3 Resultat'!$K18/(2*'K3 Resultat'!$J18))))</f>
        <v>0</v>
      </c>
      <c r="O78" s="205"/>
      <c r="P78" s="93"/>
      <c r="T78" s="66">
        <f>IF(T77=0,0,IF('K3 Resultat'!$I18=2,0,IF('K3 Resultat'!$I18=1,'K3 Resultat'!$K18/(2*'K3 Resultat'!$J18-2),'K3 Resultat'!$K18/(2*'K3 Resultat'!$J18))))</f>
        <v>0</v>
      </c>
      <c r="Z78" s="66">
        <f>IF(Z77=0,0,IF('K3 Resultat'!$I18=2,'K3 Resultat'!$K18/(2*'K3 Resultat'!$J18-4),IF('K3 Resultat'!$I18=1,'K3 Resultat'!$K18/(2*'K3 Resultat'!$J18-2),'K3 Resultat'!$K18/(2*'K3 Resultat'!$J18))))</f>
        <v>0</v>
      </c>
      <c r="AF78" s="66">
        <f>IF(AF77=0,0,IF('K3 Resultat'!$I18=2,'K3 Resultat'!$K18/(2*'K3 Resultat'!$J18-4),IF('K3 Resultat'!$I18=1,'K3 Resultat'!$K18/(2*'K3 Resultat'!$J18-2),'K3 Resultat'!$K18/(2*'K3 Resultat'!$J18))))</f>
        <v>0</v>
      </c>
      <c r="AL78" s="579">
        <f>IF(AL77=0,0,IF('K3 Resultat'!$I18=2,'K3 Resultat'!$K18/(2*'K3 Resultat'!$J18-4),IF('K3 Resultat'!$I18=1,'K3 Resultat'!$K18/(2*'K3 Resultat'!$J18-2),'K3 Resultat'!$K18/(2*'K3 Resultat'!$J18))))</f>
        <v>0</v>
      </c>
    </row>
    <row r="79" spans="1:46" s="589" customFormat="1" x14ac:dyDescent="0.2">
      <c r="A79" s="587" t="s">
        <v>221</v>
      </c>
      <c r="B79" s="588">
        <f>B77-B78</f>
        <v>0</v>
      </c>
      <c r="C79" s="588">
        <f t="shared" ref="C79:AL79" si="12">C77-C78</f>
        <v>0</v>
      </c>
      <c r="D79" s="588">
        <f t="shared" si="12"/>
        <v>0</v>
      </c>
      <c r="E79" s="588">
        <f t="shared" si="12"/>
        <v>0</v>
      </c>
      <c r="F79" s="588">
        <f t="shared" si="12"/>
        <v>0</v>
      </c>
      <c r="G79" s="588">
        <f t="shared" si="12"/>
        <v>0</v>
      </c>
      <c r="H79" s="588">
        <f t="shared" si="12"/>
        <v>0</v>
      </c>
      <c r="I79" s="588">
        <f t="shared" si="12"/>
        <v>0</v>
      </c>
      <c r="J79" s="588">
        <f t="shared" si="12"/>
        <v>0</v>
      </c>
      <c r="K79" s="588">
        <f t="shared" si="12"/>
        <v>0</v>
      </c>
      <c r="L79" s="588">
        <f t="shared" si="12"/>
        <v>0</v>
      </c>
      <c r="M79" s="588">
        <f t="shared" si="12"/>
        <v>0</v>
      </c>
      <c r="N79" s="588">
        <f t="shared" si="12"/>
        <v>0</v>
      </c>
      <c r="O79" s="588">
        <f t="shared" si="12"/>
        <v>0</v>
      </c>
      <c r="P79" s="588">
        <f t="shared" si="12"/>
        <v>0</v>
      </c>
      <c r="Q79" s="588">
        <f t="shared" si="12"/>
        <v>0</v>
      </c>
      <c r="R79" s="588">
        <f t="shared" si="12"/>
        <v>0</v>
      </c>
      <c r="S79" s="588">
        <f t="shared" si="12"/>
        <v>0</v>
      </c>
      <c r="T79" s="588">
        <f t="shared" si="12"/>
        <v>0</v>
      </c>
      <c r="U79" s="588">
        <f t="shared" si="12"/>
        <v>0</v>
      </c>
      <c r="V79" s="588">
        <f t="shared" si="12"/>
        <v>0</v>
      </c>
      <c r="W79" s="588">
        <f t="shared" si="12"/>
        <v>0</v>
      </c>
      <c r="X79" s="588">
        <f t="shared" si="12"/>
        <v>0</v>
      </c>
      <c r="Y79" s="588">
        <f t="shared" si="12"/>
        <v>0</v>
      </c>
      <c r="Z79" s="588">
        <f t="shared" si="12"/>
        <v>0</v>
      </c>
      <c r="AA79" s="588">
        <f t="shared" si="12"/>
        <v>0</v>
      </c>
      <c r="AB79" s="588">
        <f t="shared" si="12"/>
        <v>0</v>
      </c>
      <c r="AC79" s="588">
        <f t="shared" si="12"/>
        <v>0</v>
      </c>
      <c r="AD79" s="588">
        <f t="shared" si="12"/>
        <v>0</v>
      </c>
      <c r="AE79" s="588">
        <f t="shared" si="12"/>
        <v>0</v>
      </c>
      <c r="AF79" s="588">
        <f t="shared" si="12"/>
        <v>0</v>
      </c>
      <c r="AG79" s="588">
        <f t="shared" si="12"/>
        <v>0</v>
      </c>
      <c r="AH79" s="588">
        <f t="shared" si="12"/>
        <v>0</v>
      </c>
      <c r="AI79" s="588">
        <f t="shared" si="12"/>
        <v>0</v>
      </c>
      <c r="AJ79" s="588">
        <f t="shared" si="12"/>
        <v>0</v>
      </c>
      <c r="AK79" s="588">
        <f t="shared" si="12"/>
        <v>0</v>
      </c>
      <c r="AL79" s="588">
        <f t="shared" si="12"/>
        <v>0</v>
      </c>
    </row>
    <row r="80" spans="1:46" x14ac:dyDescent="0.2">
      <c r="A80" s="554" t="s">
        <v>26</v>
      </c>
      <c r="B80" s="508">
        <f>'K3 Resultat'!H18</f>
        <v>0</v>
      </c>
      <c r="C80" s="509">
        <f>B80</f>
        <v>0</v>
      </c>
      <c r="D80" s="509">
        <f t="shared" ref="D80:AF80" si="13">C80</f>
        <v>0</v>
      </c>
      <c r="E80" s="509">
        <f t="shared" si="13"/>
        <v>0</v>
      </c>
      <c r="F80" s="509">
        <f t="shared" si="13"/>
        <v>0</v>
      </c>
      <c r="G80" s="509">
        <f t="shared" si="13"/>
        <v>0</v>
      </c>
      <c r="H80" s="509">
        <f t="shared" si="13"/>
        <v>0</v>
      </c>
      <c r="I80" s="509">
        <f t="shared" si="13"/>
        <v>0</v>
      </c>
      <c r="J80" s="509">
        <f t="shared" si="13"/>
        <v>0</v>
      </c>
      <c r="K80" s="509">
        <f t="shared" si="13"/>
        <v>0</v>
      </c>
      <c r="L80" s="509">
        <f t="shared" si="13"/>
        <v>0</v>
      </c>
      <c r="M80" s="509">
        <f t="shared" si="13"/>
        <v>0</v>
      </c>
      <c r="N80" s="509">
        <f t="shared" si="13"/>
        <v>0</v>
      </c>
      <c r="O80" s="509">
        <f t="shared" si="13"/>
        <v>0</v>
      </c>
      <c r="P80" s="509">
        <f t="shared" si="13"/>
        <v>0</v>
      </c>
      <c r="Q80" s="509">
        <f t="shared" si="13"/>
        <v>0</v>
      </c>
      <c r="R80" s="509">
        <f t="shared" si="13"/>
        <v>0</v>
      </c>
      <c r="S80" s="509">
        <f t="shared" si="13"/>
        <v>0</v>
      </c>
      <c r="T80" s="509">
        <f t="shared" si="13"/>
        <v>0</v>
      </c>
      <c r="U80" s="509">
        <f t="shared" si="13"/>
        <v>0</v>
      </c>
      <c r="V80" s="509">
        <f t="shared" si="13"/>
        <v>0</v>
      </c>
      <c r="W80" s="509">
        <f t="shared" si="13"/>
        <v>0</v>
      </c>
      <c r="X80" s="509">
        <f t="shared" si="13"/>
        <v>0</v>
      </c>
      <c r="Y80" s="509">
        <f t="shared" si="13"/>
        <v>0</v>
      </c>
      <c r="Z80" s="509">
        <f t="shared" si="13"/>
        <v>0</v>
      </c>
      <c r="AA80" s="509">
        <f t="shared" si="13"/>
        <v>0</v>
      </c>
      <c r="AB80" s="509">
        <f t="shared" si="13"/>
        <v>0</v>
      </c>
      <c r="AC80" s="509">
        <f t="shared" si="13"/>
        <v>0</v>
      </c>
      <c r="AD80" s="509">
        <f t="shared" si="13"/>
        <v>0</v>
      </c>
      <c r="AE80" s="509">
        <f t="shared" si="13"/>
        <v>0</v>
      </c>
      <c r="AF80" s="509">
        <f t="shared" si="13"/>
        <v>0</v>
      </c>
      <c r="AG80" s="509">
        <f t="shared" ref="AG80" si="14">AF80</f>
        <v>0</v>
      </c>
      <c r="AH80" s="509">
        <f t="shared" ref="AH80" si="15">AG80</f>
        <v>0</v>
      </c>
      <c r="AI80" s="509">
        <f t="shared" ref="AI80" si="16">AH80</f>
        <v>0</v>
      </c>
      <c r="AJ80" s="509">
        <f t="shared" ref="AJ80" si="17">AI80</f>
        <v>0</v>
      </c>
      <c r="AK80" s="509">
        <f t="shared" ref="AK80" si="18">AJ80</f>
        <v>0</v>
      </c>
      <c r="AL80" s="580">
        <f t="shared" ref="AL80" si="19">AK80</f>
        <v>0</v>
      </c>
    </row>
    <row r="81" spans="1:38" x14ac:dyDescent="0.2">
      <c r="A81" s="554" t="s">
        <v>178</v>
      </c>
      <c r="B81" s="510">
        <f>(B77)*B80/2</f>
        <v>0</v>
      </c>
      <c r="C81" s="510">
        <f>(C77)*C80/12</f>
        <v>0</v>
      </c>
      <c r="D81" s="510">
        <f t="shared" ref="D81:AL81" si="20">(D77)*D80/12</f>
        <v>0</v>
      </c>
      <c r="E81" s="510">
        <f t="shared" si="20"/>
        <v>0</v>
      </c>
      <c r="F81" s="510">
        <f t="shared" si="20"/>
        <v>0</v>
      </c>
      <c r="G81" s="510">
        <f t="shared" si="20"/>
        <v>0</v>
      </c>
      <c r="H81" s="510">
        <f t="shared" si="20"/>
        <v>0</v>
      </c>
      <c r="I81" s="510">
        <f t="shared" si="20"/>
        <v>0</v>
      </c>
      <c r="J81" s="510">
        <f t="shared" si="20"/>
        <v>0</v>
      </c>
      <c r="K81" s="510">
        <f t="shared" si="20"/>
        <v>0</v>
      </c>
      <c r="L81" s="510">
        <f t="shared" si="20"/>
        <v>0</v>
      </c>
      <c r="M81" s="510">
        <f t="shared" si="20"/>
        <v>0</v>
      </c>
      <c r="N81" s="510">
        <f t="shared" si="20"/>
        <v>0</v>
      </c>
      <c r="O81" s="510">
        <f t="shared" si="20"/>
        <v>0</v>
      </c>
      <c r="P81" s="510">
        <f t="shared" si="20"/>
        <v>0</v>
      </c>
      <c r="Q81" s="510">
        <f t="shared" si="20"/>
        <v>0</v>
      </c>
      <c r="R81" s="510">
        <f t="shared" si="20"/>
        <v>0</v>
      </c>
      <c r="S81" s="510">
        <f t="shared" si="20"/>
        <v>0</v>
      </c>
      <c r="T81" s="510">
        <f t="shared" si="20"/>
        <v>0</v>
      </c>
      <c r="U81" s="510">
        <f t="shared" si="20"/>
        <v>0</v>
      </c>
      <c r="V81" s="510">
        <f t="shared" si="20"/>
        <v>0</v>
      </c>
      <c r="W81" s="510">
        <f t="shared" si="20"/>
        <v>0</v>
      </c>
      <c r="X81" s="510">
        <f t="shared" si="20"/>
        <v>0</v>
      </c>
      <c r="Y81" s="510">
        <f t="shared" si="20"/>
        <v>0</v>
      </c>
      <c r="Z81" s="510">
        <f t="shared" si="20"/>
        <v>0</v>
      </c>
      <c r="AA81" s="510">
        <f t="shared" si="20"/>
        <v>0</v>
      </c>
      <c r="AB81" s="510">
        <f t="shared" si="20"/>
        <v>0</v>
      </c>
      <c r="AC81" s="510">
        <f t="shared" si="20"/>
        <v>0</v>
      </c>
      <c r="AD81" s="510">
        <f t="shared" si="20"/>
        <v>0</v>
      </c>
      <c r="AE81" s="510">
        <f t="shared" si="20"/>
        <v>0</v>
      </c>
      <c r="AF81" s="510">
        <f t="shared" si="20"/>
        <v>0</v>
      </c>
      <c r="AG81" s="510">
        <f t="shared" si="20"/>
        <v>0</v>
      </c>
      <c r="AH81" s="510">
        <f t="shared" si="20"/>
        <v>0</v>
      </c>
      <c r="AI81" s="510">
        <f t="shared" si="20"/>
        <v>0</v>
      </c>
      <c r="AJ81" s="510">
        <f t="shared" si="20"/>
        <v>0</v>
      </c>
      <c r="AK81" s="510">
        <f t="shared" si="20"/>
        <v>0</v>
      </c>
      <c r="AL81" s="581">
        <f t="shared" si="20"/>
        <v>0</v>
      </c>
    </row>
    <row r="82" spans="1:38" x14ac:dyDescent="0.2">
      <c r="A82" s="555" t="s">
        <v>180</v>
      </c>
      <c r="B82" s="519">
        <f>B81</f>
        <v>0</v>
      </c>
      <c r="C82" s="204"/>
      <c r="D82" s="205"/>
      <c r="E82" s="205"/>
      <c r="F82" s="205"/>
      <c r="G82" s="205"/>
      <c r="H82" s="205"/>
      <c r="I82" s="205"/>
      <c r="J82" s="205"/>
      <c r="K82" s="205"/>
      <c r="L82" s="205"/>
      <c r="M82" s="205"/>
      <c r="N82" s="520">
        <f>SUM(C81:N81)</f>
        <v>0</v>
      </c>
      <c r="O82" s="205"/>
      <c r="P82" s="93"/>
      <c r="Z82" s="520">
        <f>SUM(O81:Z81)</f>
        <v>0</v>
      </c>
      <c r="AL82" s="152"/>
    </row>
    <row r="83" spans="1:38" x14ac:dyDescent="0.2">
      <c r="A83" s="556" t="s">
        <v>181</v>
      </c>
      <c r="B83" s="66"/>
      <c r="C83" s="521">
        <f>B82+C81</f>
        <v>0</v>
      </c>
      <c r="D83" s="205"/>
      <c r="E83" s="205"/>
      <c r="F83" s="205"/>
      <c r="G83" s="205"/>
      <c r="H83" s="205"/>
      <c r="I83" s="205"/>
      <c r="J83" s="205"/>
      <c r="K83" s="205"/>
      <c r="L83" s="205"/>
      <c r="M83" s="205"/>
      <c r="O83" s="522">
        <f>SUM(D81:O81)</f>
        <v>0</v>
      </c>
      <c r="P83" s="93"/>
      <c r="AA83" s="522">
        <f>SUM(P81:AA81)</f>
        <v>0</v>
      </c>
      <c r="AB83" s="93"/>
      <c r="AL83" s="152"/>
    </row>
    <row r="84" spans="1:38" x14ac:dyDescent="0.2">
      <c r="A84" s="557" t="s">
        <v>192</v>
      </c>
      <c r="B84" s="52"/>
      <c r="C84" s="52"/>
      <c r="D84" s="523">
        <f>SUM(B81:D81)</f>
        <v>0</v>
      </c>
      <c r="E84" s="511"/>
      <c r="F84" s="511"/>
      <c r="G84" s="511"/>
      <c r="H84" s="511"/>
      <c r="I84" s="511"/>
      <c r="J84" s="511"/>
      <c r="K84" s="511"/>
      <c r="L84" s="511"/>
      <c r="M84" s="511"/>
      <c r="N84" s="511"/>
      <c r="O84" s="205"/>
      <c r="P84" s="524">
        <f>SUM(E81:P81)</f>
        <v>0</v>
      </c>
      <c r="AA84" s="205"/>
      <c r="AB84" s="524">
        <f>SUM(Q81:AB81)</f>
        <v>0</v>
      </c>
      <c r="AL84" s="152"/>
    </row>
    <row r="85" spans="1:38" x14ac:dyDescent="0.2">
      <c r="A85" s="558" t="s">
        <v>191</v>
      </c>
      <c r="B85" s="66"/>
      <c r="C85" s="204"/>
      <c r="D85" s="511"/>
      <c r="E85" s="526">
        <f>SUM(B81:E81)</f>
        <v>0</v>
      </c>
      <c r="F85" s="511"/>
      <c r="G85" s="511"/>
      <c r="H85" s="511"/>
      <c r="I85" s="511"/>
      <c r="J85" s="511"/>
      <c r="K85" s="511"/>
      <c r="L85" s="511"/>
      <c r="M85" s="511"/>
      <c r="N85" s="511"/>
      <c r="O85" s="205"/>
      <c r="P85" s="93"/>
      <c r="Q85" s="525">
        <f>SUM(F81:Q81)</f>
        <v>0</v>
      </c>
      <c r="AA85" s="205"/>
      <c r="AB85" s="93"/>
      <c r="AC85" s="525">
        <f>SUM(R81:AC81)</f>
        <v>0</v>
      </c>
      <c r="AL85" s="152"/>
    </row>
    <row r="86" spans="1:38" x14ac:dyDescent="0.2">
      <c r="A86" s="559" t="s">
        <v>182</v>
      </c>
      <c r="B86" s="66"/>
      <c r="C86" s="204"/>
      <c r="D86" s="511"/>
      <c r="E86" s="511"/>
      <c r="F86" s="527">
        <f>SUM(B81:F81)</f>
        <v>0</v>
      </c>
      <c r="G86" s="511"/>
      <c r="H86" s="511"/>
      <c r="I86" s="511"/>
      <c r="J86" s="511"/>
      <c r="K86" s="511"/>
      <c r="L86" s="511"/>
      <c r="M86" s="511"/>
      <c r="N86" s="511"/>
      <c r="O86" s="205"/>
      <c r="P86" s="93"/>
      <c r="R86" s="528">
        <f>SUM(G81:R81)</f>
        <v>0</v>
      </c>
      <c r="AA86" s="205"/>
      <c r="AB86" s="93"/>
      <c r="AD86" s="528">
        <f>SUM(S81:AD81)</f>
        <v>0</v>
      </c>
      <c r="AL86" s="152"/>
    </row>
    <row r="87" spans="1:38" x14ac:dyDescent="0.2">
      <c r="A87" s="560" t="s">
        <v>183</v>
      </c>
      <c r="B87" s="52"/>
      <c r="C87" s="52"/>
      <c r="D87" s="511"/>
      <c r="E87" s="511"/>
      <c r="F87" s="511"/>
      <c r="G87" s="530">
        <f>SUM(B81:G81)</f>
        <v>0</v>
      </c>
      <c r="H87" s="511"/>
      <c r="I87" s="511"/>
      <c r="J87" s="511"/>
      <c r="K87" s="511"/>
      <c r="L87" s="511"/>
      <c r="M87" s="511"/>
      <c r="N87" s="511"/>
      <c r="O87" s="205"/>
      <c r="P87" s="93"/>
      <c r="S87" s="529">
        <f>SUM(H81:S81)</f>
        <v>0</v>
      </c>
      <c r="AA87" s="205"/>
      <c r="AB87" s="93"/>
      <c r="AE87" s="529">
        <f>SUM(T81:AE81)</f>
        <v>0</v>
      </c>
      <c r="AL87" s="152"/>
    </row>
    <row r="88" spans="1:38" x14ac:dyDescent="0.2">
      <c r="A88" s="560" t="s">
        <v>184</v>
      </c>
      <c r="B88" s="66"/>
      <c r="C88" s="204"/>
      <c r="D88" s="511"/>
      <c r="E88" s="511"/>
      <c r="F88" s="511"/>
      <c r="G88" s="511"/>
      <c r="H88" s="531">
        <f>SUM(B81:H81)</f>
        <v>0</v>
      </c>
      <c r="I88" s="511"/>
      <c r="J88" s="511"/>
      <c r="K88" s="511"/>
      <c r="L88" s="511"/>
      <c r="M88" s="511"/>
      <c r="N88" s="511"/>
      <c r="O88" s="205"/>
      <c r="P88" s="93"/>
      <c r="T88" s="532">
        <f>SUM(I81:T81)</f>
        <v>0</v>
      </c>
      <c r="AA88" s="205"/>
      <c r="AB88" s="93"/>
      <c r="AF88" s="532">
        <f>SUM(U81:AF81)</f>
        <v>0</v>
      </c>
      <c r="AL88" s="152"/>
    </row>
    <row r="89" spans="1:38" x14ac:dyDescent="0.2">
      <c r="A89" s="561" t="s">
        <v>185</v>
      </c>
      <c r="B89" s="52"/>
      <c r="C89" s="52"/>
      <c r="D89" s="511"/>
      <c r="E89" s="511"/>
      <c r="F89" s="511"/>
      <c r="G89" s="511"/>
      <c r="H89" s="511"/>
      <c r="I89" s="537">
        <f>SUM(B81:I81)</f>
        <v>0</v>
      </c>
      <c r="J89" s="511"/>
      <c r="K89" s="511"/>
      <c r="L89" s="511"/>
      <c r="M89" s="511"/>
      <c r="N89" s="511"/>
      <c r="O89" s="205"/>
      <c r="P89" s="93"/>
      <c r="U89" s="533">
        <f>SUM(J81:U81)</f>
        <v>0</v>
      </c>
      <c r="AA89" s="205"/>
      <c r="AB89" s="93"/>
      <c r="AG89" s="533">
        <f>SUM(V81:AG81)</f>
        <v>0</v>
      </c>
      <c r="AL89" s="152"/>
    </row>
    <row r="90" spans="1:38" x14ac:dyDescent="0.2">
      <c r="A90" s="562" t="s">
        <v>186</v>
      </c>
      <c r="B90" s="66"/>
      <c r="C90" s="204"/>
      <c r="D90" s="511"/>
      <c r="E90" s="511"/>
      <c r="F90" s="511"/>
      <c r="G90" s="511"/>
      <c r="H90" s="511"/>
      <c r="I90" s="511"/>
      <c r="J90" s="538">
        <f>SUM(B81:J81)</f>
        <v>0</v>
      </c>
      <c r="K90" s="511"/>
      <c r="L90" s="511"/>
      <c r="M90" s="511"/>
      <c r="N90" s="511"/>
      <c r="O90" s="205"/>
      <c r="P90" s="93"/>
      <c r="V90" s="534">
        <f>SUM(K81:V81)</f>
        <v>0</v>
      </c>
      <c r="AA90" s="205"/>
      <c r="AB90" s="93"/>
      <c r="AH90" s="534">
        <f>SUM(W81:AH81)</f>
        <v>0</v>
      </c>
      <c r="AL90" s="152"/>
    </row>
    <row r="91" spans="1:38" x14ac:dyDescent="0.2">
      <c r="A91" s="563" t="s">
        <v>187</v>
      </c>
      <c r="B91" s="52"/>
      <c r="C91" s="52"/>
      <c r="D91" s="511"/>
      <c r="E91" s="511"/>
      <c r="F91" s="511"/>
      <c r="G91" s="511"/>
      <c r="H91" s="511"/>
      <c r="I91" s="511"/>
      <c r="J91" s="511"/>
      <c r="K91" s="539">
        <f>SUM(B81:K81)</f>
        <v>0</v>
      </c>
      <c r="L91" s="511"/>
      <c r="M91" s="511"/>
      <c r="N91" s="511"/>
      <c r="O91" s="205"/>
      <c r="P91" s="93"/>
      <c r="W91" s="535">
        <f>SUM(L81:W81)</f>
        <v>0</v>
      </c>
      <c r="AA91" s="205"/>
      <c r="AB91" s="93"/>
      <c r="AI91" s="535">
        <f>SUM(X81:AI81)</f>
        <v>0</v>
      </c>
      <c r="AL91" s="152"/>
    </row>
    <row r="92" spans="1:38" x14ac:dyDescent="0.2">
      <c r="A92" s="564" t="s">
        <v>188</v>
      </c>
      <c r="B92" s="66"/>
      <c r="C92" s="204"/>
      <c r="D92" s="511"/>
      <c r="E92" s="511"/>
      <c r="F92" s="511"/>
      <c r="G92" s="511"/>
      <c r="H92" s="511"/>
      <c r="I92" s="511"/>
      <c r="J92" s="511"/>
      <c r="K92" s="511"/>
      <c r="L92" s="540">
        <f>SUM(B81:L81)</f>
        <v>0</v>
      </c>
      <c r="M92" s="511"/>
      <c r="N92" s="511"/>
      <c r="O92" s="205"/>
      <c r="P92" s="93"/>
      <c r="X92" s="536">
        <f>SUM(M81:X81)</f>
        <v>0</v>
      </c>
      <c r="AA92" s="205"/>
      <c r="AB92" s="93"/>
      <c r="AJ92" s="536">
        <f>SUM(Y81:AJ81)</f>
        <v>0</v>
      </c>
      <c r="AL92" s="152"/>
    </row>
    <row r="93" spans="1:38" x14ac:dyDescent="0.2">
      <c r="A93" s="565" t="s">
        <v>189</v>
      </c>
      <c r="B93" s="52"/>
      <c r="C93" s="52"/>
      <c r="D93" s="511"/>
      <c r="E93" s="511"/>
      <c r="F93" s="511"/>
      <c r="G93" s="511"/>
      <c r="H93" s="511"/>
      <c r="I93" s="511"/>
      <c r="J93" s="511"/>
      <c r="K93" s="511"/>
      <c r="L93" s="511"/>
      <c r="M93" s="542">
        <f>SUM(B81:M81)</f>
        <v>0</v>
      </c>
      <c r="N93" s="511"/>
      <c r="O93" s="205"/>
      <c r="P93" s="93"/>
      <c r="Y93" s="541">
        <f>SUM(N81:Y81)</f>
        <v>0</v>
      </c>
      <c r="AA93" s="205"/>
      <c r="AB93" s="93"/>
      <c r="AK93" s="541">
        <f>SUM(Z81:AK81)</f>
        <v>0</v>
      </c>
      <c r="AL93" s="152"/>
    </row>
    <row r="94" spans="1:38" ht="13.5" thickBot="1" x14ac:dyDescent="0.25">
      <c r="A94" s="566" t="s">
        <v>190</v>
      </c>
      <c r="B94" s="567"/>
      <c r="C94" s="207"/>
      <c r="D94" s="568"/>
      <c r="E94" s="568"/>
      <c r="F94" s="568"/>
      <c r="G94" s="568"/>
      <c r="H94" s="568"/>
      <c r="I94" s="568"/>
      <c r="J94" s="568"/>
      <c r="K94" s="568"/>
      <c r="L94" s="568"/>
      <c r="M94" s="568"/>
      <c r="N94" s="569">
        <f>SUM(B81:N81)</f>
        <v>0</v>
      </c>
      <c r="O94" s="303"/>
      <c r="P94" s="570"/>
      <c r="Q94" s="160"/>
      <c r="R94" s="160"/>
      <c r="S94" s="160"/>
      <c r="T94" s="160"/>
      <c r="U94" s="160"/>
      <c r="V94" s="160"/>
      <c r="W94" s="160"/>
      <c r="X94" s="160"/>
      <c r="Y94" s="160"/>
      <c r="Z94" s="571">
        <f>SUM(O81:Z81)</f>
        <v>0</v>
      </c>
      <c r="AA94" s="303"/>
      <c r="AB94" s="570"/>
      <c r="AC94" s="160"/>
      <c r="AD94" s="160"/>
      <c r="AE94" s="160"/>
      <c r="AF94" s="160"/>
      <c r="AG94" s="160"/>
      <c r="AH94" s="160"/>
      <c r="AI94" s="160"/>
      <c r="AJ94" s="160"/>
      <c r="AK94" s="160"/>
      <c r="AL94" s="572">
        <f>SUM(AA81:AL81)</f>
        <v>0</v>
      </c>
    </row>
    <row r="95" spans="1:38" s="514" customFormat="1" ht="11.25" customHeight="1" x14ac:dyDescent="0.2">
      <c r="A95" s="552" t="s">
        <v>195</v>
      </c>
      <c r="B95" s="553">
        <f>'K3 Resultat'!K19</f>
        <v>0</v>
      </c>
      <c r="C95" s="577">
        <f>B95-B96</f>
        <v>0</v>
      </c>
      <c r="D95" s="577">
        <f t="shared" ref="D95" si="21">C95-C96</f>
        <v>0</v>
      </c>
      <c r="E95" s="577">
        <f t="shared" ref="E95" si="22">D95-D96</f>
        <v>0</v>
      </c>
      <c r="F95" s="577">
        <f t="shared" ref="F95" si="23">E95-E96</f>
        <v>0</v>
      </c>
      <c r="G95" s="577">
        <f t="shared" ref="G95" si="24">F95-F96</f>
        <v>0</v>
      </c>
      <c r="H95" s="577">
        <f t="shared" ref="H95" si="25">G95-G96</f>
        <v>0</v>
      </c>
      <c r="I95" s="577">
        <f t="shared" ref="I95" si="26">H95-H96</f>
        <v>0</v>
      </c>
      <c r="J95" s="577">
        <f t="shared" ref="J95" si="27">I95-I96</f>
        <v>0</v>
      </c>
      <c r="K95" s="577">
        <f t="shared" ref="K95" si="28">J95-J96</f>
        <v>0</v>
      </c>
      <c r="L95" s="577">
        <f t="shared" ref="L95" si="29">K95-K96</f>
        <v>0</v>
      </c>
      <c r="M95" s="577">
        <f t="shared" ref="M95" si="30">L95-L96</f>
        <v>0</v>
      </c>
      <c r="N95" s="577">
        <f t="shared" ref="N95" si="31">M95-M96</f>
        <v>0</v>
      </c>
      <c r="O95" s="577">
        <f t="shared" ref="O95" si="32">N95-N96</f>
        <v>0</v>
      </c>
      <c r="P95" s="577">
        <f t="shared" ref="P95" si="33">O95-O96</f>
        <v>0</v>
      </c>
      <c r="Q95" s="577">
        <f t="shared" ref="Q95" si="34">P95-P96</f>
        <v>0</v>
      </c>
      <c r="R95" s="577">
        <f t="shared" ref="R95" si="35">Q95-Q96</f>
        <v>0</v>
      </c>
      <c r="S95" s="577">
        <f t="shared" ref="S95" si="36">R95-R96</f>
        <v>0</v>
      </c>
      <c r="T95" s="577">
        <f t="shared" ref="T95" si="37">S95-S96</f>
        <v>0</v>
      </c>
      <c r="U95" s="577">
        <f t="shared" ref="U95" si="38">T95-T96</f>
        <v>0</v>
      </c>
      <c r="V95" s="577">
        <f t="shared" ref="V95" si="39">U95-U96</f>
        <v>0</v>
      </c>
      <c r="W95" s="577">
        <f t="shared" ref="W95" si="40">V95-V96</f>
        <v>0</v>
      </c>
      <c r="X95" s="577">
        <f t="shared" ref="X95" si="41">W95-W96</f>
        <v>0</v>
      </c>
      <c r="Y95" s="577">
        <f t="shared" ref="Y95" si="42">X95-X96</f>
        <v>0</v>
      </c>
      <c r="Z95" s="577">
        <f t="shared" ref="Z95" si="43">Y95-Y96</f>
        <v>0</v>
      </c>
      <c r="AA95" s="577">
        <f t="shared" ref="AA95" si="44">Z95-Z96</f>
        <v>0</v>
      </c>
      <c r="AB95" s="577">
        <f t="shared" ref="AB95" si="45">AA95-AA96</f>
        <v>0</v>
      </c>
      <c r="AC95" s="577">
        <f t="shared" ref="AC95" si="46">AB95-AB96</f>
        <v>0</v>
      </c>
      <c r="AD95" s="577">
        <f t="shared" ref="AD95" si="47">AC95-AC96</f>
        <v>0</v>
      </c>
      <c r="AE95" s="577">
        <f t="shared" ref="AE95" si="48">AD95-AD96</f>
        <v>0</v>
      </c>
      <c r="AF95" s="577">
        <f t="shared" ref="AF95" si="49">AE95-AE96</f>
        <v>0</v>
      </c>
      <c r="AG95" s="577">
        <f t="shared" ref="AG95" si="50">AF95-AF96</f>
        <v>0</v>
      </c>
      <c r="AH95" s="577">
        <f t="shared" ref="AH95" si="51">AG95-AG96</f>
        <v>0</v>
      </c>
      <c r="AI95" s="577">
        <f t="shared" ref="AI95" si="52">AH95-AH96</f>
        <v>0</v>
      </c>
      <c r="AJ95" s="577">
        <f t="shared" ref="AJ95" si="53">AI95-AI96</f>
        <v>0</v>
      </c>
      <c r="AK95" s="577">
        <f t="shared" ref="AK95" si="54">AJ95-AJ96</f>
        <v>0</v>
      </c>
      <c r="AL95" s="578">
        <f t="shared" ref="AL95" si="55">AK95-AK96</f>
        <v>0</v>
      </c>
    </row>
    <row r="96" spans="1:38" x14ac:dyDescent="0.2">
      <c r="A96" s="554" t="s">
        <v>177</v>
      </c>
      <c r="B96" s="66">
        <f>IF(B95=0,0,IF('K3 Resultat'!$I19=2,0,IF('K3 Resultat'!$I19=1,0,'K3 Resultat'!$K19/(2*'K3 Resultat'!$J19))))</f>
        <v>0</v>
      </c>
      <c r="C96" s="204"/>
      <c r="D96" s="205"/>
      <c r="E96" s="205"/>
      <c r="F96" s="205"/>
      <c r="G96" s="205"/>
      <c r="H96" s="66">
        <f>IF(H95=0,0,IF('K3 Resultat'!$I19=2,0,IF('K3 Resultat'!$I19=1,0,'K3 Resultat'!$K19/(2*'K3 Resultat'!$J19))))</f>
        <v>0</v>
      </c>
      <c r="I96" s="205"/>
      <c r="J96" s="205"/>
      <c r="K96" s="205"/>
      <c r="L96" s="205"/>
      <c r="M96" s="205"/>
      <c r="N96" s="66">
        <f>IF(N95=0,0,IF('K3 Resultat'!$I19=2,0,IF('K3 Resultat'!$I19=1,'K3 Resultat'!$K19/(2*'K3 Resultat'!$J19-2),'K3 Resultat'!$K19/(2*'K3 Resultat'!$J19))))</f>
        <v>0</v>
      </c>
      <c r="O96" s="205"/>
      <c r="P96" s="93"/>
      <c r="T96" s="66">
        <f>IF(T95=0,0,IF('K3 Resultat'!$I19=2,0,IF('K3 Resultat'!$I19=1,'K3 Resultat'!$K19/(2*'K3 Resultat'!$J19-2),'K3 Resultat'!$K19/(2*'K3 Resultat'!$J19))))</f>
        <v>0</v>
      </c>
      <c r="Z96" s="66">
        <f>IF(Z95=0,0,IF('K3 Resultat'!$I19=2,'K3 Resultat'!$K19/(2*'K3 Resultat'!$J19-4),IF('K3 Resultat'!$I19=1,'K3 Resultat'!$K19/(2*'K3 Resultat'!$J19-2),'K3 Resultat'!$K19/(2*'K3 Resultat'!$J19))))</f>
        <v>0</v>
      </c>
      <c r="AF96" s="66">
        <f>IF(AF95=0,0,IF('K3 Resultat'!$I19=2,'K3 Resultat'!$K19/(2*'K3 Resultat'!$J19-4),IF('K3 Resultat'!$I19=1,'K3 Resultat'!$K19/(2*'K3 Resultat'!$J19-2),'K3 Resultat'!$K19/(2*'K3 Resultat'!$J19))))</f>
        <v>0</v>
      </c>
      <c r="AL96" s="579">
        <f>IF(AL95=0,0,IF('K3 Resultat'!$I19=2,'K3 Resultat'!$K19/(2*'K3 Resultat'!$J19-4),IF('K3 Resultat'!$I19=1,'K3 Resultat'!$K19/(2*'K3 Resultat'!$J19-2),'K3 Resultat'!$K19/(2*'K3 Resultat'!$J19))))</f>
        <v>0</v>
      </c>
    </row>
    <row r="97" spans="1:38" s="589" customFormat="1" x14ac:dyDescent="0.2">
      <c r="A97" s="587" t="s">
        <v>221</v>
      </c>
      <c r="B97" s="588">
        <f>B95-B96</f>
        <v>0</v>
      </c>
      <c r="C97" s="588">
        <f t="shared" ref="C97" si="56">C95-C96</f>
        <v>0</v>
      </c>
      <c r="D97" s="588">
        <f t="shared" ref="D97" si="57">D95-D96</f>
        <v>0</v>
      </c>
      <c r="E97" s="588">
        <f t="shared" ref="E97" si="58">E95-E96</f>
        <v>0</v>
      </c>
      <c r="F97" s="588">
        <f t="shared" ref="F97" si="59">F95-F96</f>
        <v>0</v>
      </c>
      <c r="G97" s="588">
        <f t="shared" ref="G97" si="60">G95-G96</f>
        <v>0</v>
      </c>
      <c r="H97" s="588">
        <f t="shared" ref="H97" si="61">H95-H96</f>
        <v>0</v>
      </c>
      <c r="I97" s="588">
        <f t="shared" ref="I97" si="62">I95-I96</f>
        <v>0</v>
      </c>
      <c r="J97" s="588">
        <f t="shared" ref="J97" si="63">J95-J96</f>
        <v>0</v>
      </c>
      <c r="K97" s="588">
        <f t="shared" ref="K97" si="64">K95-K96</f>
        <v>0</v>
      </c>
      <c r="L97" s="588">
        <f t="shared" ref="L97" si="65">L95-L96</f>
        <v>0</v>
      </c>
      <c r="M97" s="588">
        <f t="shared" ref="M97" si="66">M95-M96</f>
        <v>0</v>
      </c>
      <c r="N97" s="588">
        <f t="shared" ref="N97" si="67">N95-N96</f>
        <v>0</v>
      </c>
      <c r="O97" s="588">
        <f t="shared" ref="O97" si="68">O95-O96</f>
        <v>0</v>
      </c>
      <c r="P97" s="588">
        <f t="shared" ref="P97" si="69">P95-P96</f>
        <v>0</v>
      </c>
      <c r="Q97" s="588">
        <f t="shared" ref="Q97" si="70">Q95-Q96</f>
        <v>0</v>
      </c>
      <c r="R97" s="588">
        <f t="shared" ref="R97" si="71">R95-R96</f>
        <v>0</v>
      </c>
      <c r="S97" s="588">
        <f t="shared" ref="S97" si="72">S95-S96</f>
        <v>0</v>
      </c>
      <c r="T97" s="588">
        <f t="shared" ref="T97" si="73">T95-T96</f>
        <v>0</v>
      </c>
      <c r="U97" s="588">
        <f t="shared" ref="U97" si="74">U95-U96</f>
        <v>0</v>
      </c>
      <c r="V97" s="588">
        <f t="shared" ref="V97" si="75">V95-V96</f>
        <v>0</v>
      </c>
      <c r="W97" s="588">
        <f t="shared" ref="W97" si="76">W95-W96</f>
        <v>0</v>
      </c>
      <c r="X97" s="588">
        <f t="shared" ref="X97" si="77">X95-X96</f>
        <v>0</v>
      </c>
      <c r="Y97" s="588">
        <f t="shared" ref="Y97" si="78">Y95-Y96</f>
        <v>0</v>
      </c>
      <c r="Z97" s="588">
        <f t="shared" ref="Z97" si="79">Z95-Z96</f>
        <v>0</v>
      </c>
      <c r="AA97" s="588">
        <f t="shared" ref="AA97" si="80">AA95-AA96</f>
        <v>0</v>
      </c>
      <c r="AB97" s="588">
        <f t="shared" ref="AB97" si="81">AB95-AB96</f>
        <v>0</v>
      </c>
      <c r="AC97" s="588">
        <f t="shared" ref="AC97" si="82">AC95-AC96</f>
        <v>0</v>
      </c>
      <c r="AD97" s="588">
        <f t="shared" ref="AD97" si="83">AD95-AD96</f>
        <v>0</v>
      </c>
      <c r="AE97" s="588">
        <f t="shared" ref="AE97" si="84">AE95-AE96</f>
        <v>0</v>
      </c>
      <c r="AF97" s="588">
        <f t="shared" ref="AF97" si="85">AF95-AF96</f>
        <v>0</v>
      </c>
      <c r="AG97" s="588">
        <f t="shared" ref="AG97" si="86">AG95-AG96</f>
        <v>0</v>
      </c>
      <c r="AH97" s="588">
        <f t="shared" ref="AH97" si="87">AH95-AH96</f>
        <v>0</v>
      </c>
      <c r="AI97" s="588">
        <f t="shared" ref="AI97" si="88">AI95-AI96</f>
        <v>0</v>
      </c>
      <c r="AJ97" s="588">
        <f t="shared" ref="AJ97" si="89">AJ95-AJ96</f>
        <v>0</v>
      </c>
      <c r="AK97" s="588">
        <f t="shared" ref="AK97" si="90">AK95-AK96</f>
        <v>0</v>
      </c>
      <c r="AL97" s="588">
        <f t="shared" ref="AL97" si="91">AL95-AL96</f>
        <v>0</v>
      </c>
    </row>
    <row r="98" spans="1:38" x14ac:dyDescent="0.2">
      <c r="A98" s="554" t="s">
        <v>26</v>
      </c>
      <c r="B98" s="508">
        <f>'K3 Resultat'!H19</f>
        <v>0</v>
      </c>
      <c r="C98" s="509">
        <f>B98</f>
        <v>0</v>
      </c>
      <c r="D98" s="509">
        <f t="shared" ref="D98" si="92">C98</f>
        <v>0</v>
      </c>
      <c r="E98" s="509">
        <f t="shared" ref="E98" si="93">D98</f>
        <v>0</v>
      </c>
      <c r="F98" s="509">
        <f t="shared" ref="F98" si="94">E98</f>
        <v>0</v>
      </c>
      <c r="G98" s="509">
        <f t="shared" ref="G98" si="95">F98</f>
        <v>0</v>
      </c>
      <c r="H98" s="509">
        <f t="shared" ref="H98" si="96">G98</f>
        <v>0</v>
      </c>
      <c r="I98" s="509">
        <f t="shared" ref="I98" si="97">H98</f>
        <v>0</v>
      </c>
      <c r="J98" s="509">
        <f t="shared" ref="J98" si="98">I98</f>
        <v>0</v>
      </c>
      <c r="K98" s="509">
        <f t="shared" ref="K98" si="99">J98</f>
        <v>0</v>
      </c>
      <c r="L98" s="509">
        <f t="shared" ref="L98" si="100">K98</f>
        <v>0</v>
      </c>
      <c r="M98" s="509">
        <f t="shared" ref="M98" si="101">L98</f>
        <v>0</v>
      </c>
      <c r="N98" s="509">
        <f t="shared" ref="N98" si="102">M98</f>
        <v>0</v>
      </c>
      <c r="O98" s="509">
        <f t="shared" ref="O98" si="103">N98</f>
        <v>0</v>
      </c>
      <c r="P98" s="509">
        <f t="shared" ref="P98" si="104">O98</f>
        <v>0</v>
      </c>
      <c r="Q98" s="509">
        <f t="shared" ref="Q98" si="105">P98</f>
        <v>0</v>
      </c>
      <c r="R98" s="509">
        <f t="shared" ref="R98" si="106">Q98</f>
        <v>0</v>
      </c>
      <c r="S98" s="509">
        <f t="shared" ref="S98" si="107">R98</f>
        <v>0</v>
      </c>
      <c r="T98" s="509">
        <f t="shared" ref="T98" si="108">S98</f>
        <v>0</v>
      </c>
      <c r="U98" s="509">
        <f t="shared" ref="U98" si="109">T98</f>
        <v>0</v>
      </c>
      <c r="V98" s="509">
        <f t="shared" ref="V98" si="110">U98</f>
        <v>0</v>
      </c>
      <c r="W98" s="509">
        <f t="shared" ref="W98" si="111">V98</f>
        <v>0</v>
      </c>
      <c r="X98" s="509">
        <f t="shared" ref="X98" si="112">W98</f>
        <v>0</v>
      </c>
      <c r="Y98" s="509">
        <f t="shared" ref="Y98" si="113">X98</f>
        <v>0</v>
      </c>
      <c r="Z98" s="509">
        <f t="shared" ref="Z98" si="114">Y98</f>
        <v>0</v>
      </c>
      <c r="AA98" s="509">
        <f t="shared" ref="AA98" si="115">Z98</f>
        <v>0</v>
      </c>
      <c r="AB98" s="509">
        <f t="shared" ref="AB98" si="116">AA98</f>
        <v>0</v>
      </c>
      <c r="AC98" s="509">
        <f t="shared" ref="AC98" si="117">AB98</f>
        <v>0</v>
      </c>
      <c r="AD98" s="509">
        <f t="shared" ref="AD98" si="118">AC98</f>
        <v>0</v>
      </c>
      <c r="AE98" s="509">
        <f t="shared" ref="AE98" si="119">AD98</f>
        <v>0</v>
      </c>
      <c r="AF98" s="509">
        <f t="shared" ref="AF98" si="120">AE98</f>
        <v>0</v>
      </c>
      <c r="AG98" s="509">
        <f t="shared" ref="AG98" si="121">AF98</f>
        <v>0</v>
      </c>
      <c r="AH98" s="509">
        <f t="shared" ref="AH98" si="122">AG98</f>
        <v>0</v>
      </c>
      <c r="AI98" s="509">
        <f t="shared" ref="AI98" si="123">AH98</f>
        <v>0</v>
      </c>
      <c r="AJ98" s="509">
        <f t="shared" ref="AJ98" si="124">AI98</f>
        <v>0</v>
      </c>
      <c r="AK98" s="509">
        <f t="shared" ref="AK98" si="125">AJ98</f>
        <v>0</v>
      </c>
      <c r="AL98" s="580">
        <f t="shared" ref="AL98" si="126">AK98</f>
        <v>0</v>
      </c>
    </row>
    <row r="99" spans="1:38" x14ac:dyDescent="0.2">
      <c r="A99" s="554" t="s">
        <v>178</v>
      </c>
      <c r="B99" s="510">
        <f>(B95)*B98/2</f>
        <v>0</v>
      </c>
      <c r="C99" s="510">
        <f>(C95)*C98/12</f>
        <v>0</v>
      </c>
      <c r="D99" s="510">
        <f t="shared" ref="D99" si="127">(D95)*D98/12</f>
        <v>0</v>
      </c>
      <c r="E99" s="510">
        <f t="shared" ref="E99" si="128">(E95)*E98/12</f>
        <v>0</v>
      </c>
      <c r="F99" s="510">
        <f t="shared" ref="F99" si="129">(F95)*F98/12</f>
        <v>0</v>
      </c>
      <c r="G99" s="510">
        <f t="shared" ref="G99" si="130">(G95)*G98/12</f>
        <v>0</v>
      </c>
      <c r="H99" s="510">
        <f t="shared" ref="H99" si="131">(H95)*H98/12</f>
        <v>0</v>
      </c>
      <c r="I99" s="510">
        <f t="shared" ref="I99" si="132">(I95)*I98/12</f>
        <v>0</v>
      </c>
      <c r="J99" s="510">
        <f t="shared" ref="J99" si="133">(J95)*J98/12</f>
        <v>0</v>
      </c>
      <c r="K99" s="510">
        <f t="shared" ref="K99" si="134">(K95)*K98/12</f>
        <v>0</v>
      </c>
      <c r="L99" s="510">
        <f t="shared" ref="L99" si="135">(L95)*L98/12</f>
        <v>0</v>
      </c>
      <c r="M99" s="510">
        <f t="shared" ref="M99" si="136">(M95)*M98/12</f>
        <v>0</v>
      </c>
      <c r="N99" s="510">
        <f t="shared" ref="N99" si="137">(N95)*N98/12</f>
        <v>0</v>
      </c>
      <c r="O99" s="510">
        <f t="shared" ref="O99" si="138">(O95)*O98/12</f>
        <v>0</v>
      </c>
      <c r="P99" s="510">
        <f t="shared" ref="P99" si="139">(P95)*P98/12</f>
        <v>0</v>
      </c>
      <c r="Q99" s="510">
        <f t="shared" ref="Q99" si="140">(Q95)*Q98/12</f>
        <v>0</v>
      </c>
      <c r="R99" s="510">
        <f t="shared" ref="R99" si="141">(R95)*R98/12</f>
        <v>0</v>
      </c>
      <c r="S99" s="510">
        <f t="shared" ref="S99" si="142">(S95)*S98/12</f>
        <v>0</v>
      </c>
      <c r="T99" s="510">
        <f t="shared" ref="T99" si="143">(T95)*T98/12</f>
        <v>0</v>
      </c>
      <c r="U99" s="510">
        <f t="shared" ref="U99" si="144">(U95)*U98/12</f>
        <v>0</v>
      </c>
      <c r="V99" s="510">
        <f t="shared" ref="V99" si="145">(V95)*V98/12</f>
        <v>0</v>
      </c>
      <c r="W99" s="510">
        <f t="shared" ref="W99" si="146">(W95)*W98/12</f>
        <v>0</v>
      </c>
      <c r="X99" s="510">
        <f t="shared" ref="X99" si="147">(X95)*X98/12</f>
        <v>0</v>
      </c>
      <c r="Y99" s="510">
        <f t="shared" ref="Y99" si="148">(Y95)*Y98/12</f>
        <v>0</v>
      </c>
      <c r="Z99" s="510">
        <f t="shared" ref="Z99" si="149">(Z95)*Z98/12</f>
        <v>0</v>
      </c>
      <c r="AA99" s="510">
        <f t="shared" ref="AA99" si="150">(AA95)*AA98/12</f>
        <v>0</v>
      </c>
      <c r="AB99" s="510">
        <f t="shared" ref="AB99" si="151">(AB95)*AB98/12</f>
        <v>0</v>
      </c>
      <c r="AC99" s="510">
        <f t="shared" ref="AC99" si="152">(AC95)*AC98/12</f>
        <v>0</v>
      </c>
      <c r="AD99" s="510">
        <f t="shared" ref="AD99" si="153">(AD95)*AD98/12</f>
        <v>0</v>
      </c>
      <c r="AE99" s="510">
        <f t="shared" ref="AE99" si="154">(AE95)*AE98/12</f>
        <v>0</v>
      </c>
      <c r="AF99" s="510">
        <f t="shared" ref="AF99" si="155">(AF95)*AF98/12</f>
        <v>0</v>
      </c>
      <c r="AG99" s="510">
        <f t="shared" ref="AG99" si="156">(AG95)*AG98/12</f>
        <v>0</v>
      </c>
      <c r="AH99" s="510">
        <f t="shared" ref="AH99" si="157">(AH95)*AH98/12</f>
        <v>0</v>
      </c>
      <c r="AI99" s="510">
        <f t="shared" ref="AI99" si="158">(AI95)*AI98/12</f>
        <v>0</v>
      </c>
      <c r="AJ99" s="510">
        <f t="shared" ref="AJ99" si="159">(AJ95)*AJ98/12</f>
        <v>0</v>
      </c>
      <c r="AK99" s="510">
        <f t="shared" ref="AK99" si="160">(AK95)*AK98/12</f>
        <v>0</v>
      </c>
      <c r="AL99" s="581">
        <f t="shared" ref="AL99" si="161">(AL95)*AL98/12</f>
        <v>0</v>
      </c>
    </row>
    <row r="100" spans="1:38" x14ac:dyDescent="0.2">
      <c r="A100" s="555" t="s">
        <v>180</v>
      </c>
      <c r="B100" s="519">
        <f>B99</f>
        <v>0</v>
      </c>
      <c r="C100" s="204"/>
      <c r="D100" s="205"/>
      <c r="E100" s="205"/>
      <c r="F100" s="205"/>
      <c r="G100" s="205"/>
      <c r="H100" s="205"/>
      <c r="I100" s="205"/>
      <c r="J100" s="205"/>
      <c r="K100" s="205"/>
      <c r="L100" s="205"/>
      <c r="M100" s="205"/>
      <c r="N100" s="520">
        <f>SUM(C99:N99)</f>
        <v>0</v>
      </c>
      <c r="O100" s="205"/>
      <c r="P100" s="93"/>
      <c r="Z100" s="520">
        <f>SUM(O99:Z99)</f>
        <v>0</v>
      </c>
      <c r="AL100" s="152"/>
    </row>
    <row r="101" spans="1:38" x14ac:dyDescent="0.2">
      <c r="A101" s="556" t="s">
        <v>181</v>
      </c>
      <c r="B101" s="66"/>
      <c r="C101" s="521">
        <f>B100+C99</f>
        <v>0</v>
      </c>
      <c r="D101" s="205"/>
      <c r="E101" s="205"/>
      <c r="F101" s="205"/>
      <c r="G101" s="205"/>
      <c r="H101" s="205"/>
      <c r="I101" s="205"/>
      <c r="J101" s="205"/>
      <c r="K101" s="205"/>
      <c r="L101" s="205"/>
      <c r="M101" s="205"/>
      <c r="O101" s="522">
        <f>SUM(D99:O99)</f>
        <v>0</v>
      </c>
      <c r="P101" s="93"/>
      <c r="AA101" s="522">
        <f>SUM(P99:AA99)</f>
        <v>0</v>
      </c>
      <c r="AB101" s="93"/>
      <c r="AL101" s="152"/>
    </row>
    <row r="102" spans="1:38" x14ac:dyDescent="0.2">
      <c r="A102" s="557" t="s">
        <v>192</v>
      </c>
      <c r="B102" s="52"/>
      <c r="C102" s="52"/>
      <c r="D102" s="523">
        <f>SUM(B99:D99)</f>
        <v>0</v>
      </c>
      <c r="E102" s="511"/>
      <c r="F102" s="511"/>
      <c r="G102" s="511"/>
      <c r="H102" s="511"/>
      <c r="I102" s="511"/>
      <c r="J102" s="511"/>
      <c r="K102" s="511"/>
      <c r="L102" s="511"/>
      <c r="M102" s="511"/>
      <c r="N102" s="511"/>
      <c r="O102" s="205"/>
      <c r="P102" s="524">
        <f>SUM(E99:P99)</f>
        <v>0</v>
      </c>
      <c r="AA102" s="205"/>
      <c r="AB102" s="524">
        <f>SUM(Q99:AB99)</f>
        <v>0</v>
      </c>
      <c r="AL102" s="152"/>
    </row>
    <row r="103" spans="1:38" x14ac:dyDescent="0.2">
      <c r="A103" s="558" t="s">
        <v>191</v>
      </c>
      <c r="B103" s="66"/>
      <c r="C103" s="204"/>
      <c r="D103" s="511"/>
      <c r="E103" s="526">
        <f>SUM(B99:E99)</f>
        <v>0</v>
      </c>
      <c r="F103" s="511"/>
      <c r="G103" s="511"/>
      <c r="H103" s="511"/>
      <c r="I103" s="511"/>
      <c r="J103" s="511"/>
      <c r="K103" s="511"/>
      <c r="L103" s="511"/>
      <c r="M103" s="511"/>
      <c r="N103" s="511"/>
      <c r="O103" s="205"/>
      <c r="P103" s="93"/>
      <c r="Q103" s="525">
        <f>SUM(F99:Q99)</f>
        <v>0</v>
      </c>
      <c r="AA103" s="205"/>
      <c r="AB103" s="93"/>
      <c r="AC103" s="525">
        <f>SUM(R99:AC99)</f>
        <v>0</v>
      </c>
      <c r="AL103" s="152"/>
    </row>
    <row r="104" spans="1:38" x14ac:dyDescent="0.2">
      <c r="A104" s="559" t="s">
        <v>182</v>
      </c>
      <c r="B104" s="66"/>
      <c r="C104" s="204"/>
      <c r="D104" s="511"/>
      <c r="E104" s="511"/>
      <c r="F104" s="527">
        <f>SUM(B99:F99)</f>
        <v>0</v>
      </c>
      <c r="G104" s="511"/>
      <c r="H104" s="511"/>
      <c r="I104" s="511"/>
      <c r="J104" s="511"/>
      <c r="K104" s="511"/>
      <c r="L104" s="511"/>
      <c r="M104" s="511"/>
      <c r="N104" s="511"/>
      <c r="O104" s="205"/>
      <c r="P104" s="93"/>
      <c r="R104" s="528">
        <f>SUM(G99:R99)</f>
        <v>0</v>
      </c>
      <c r="AA104" s="205"/>
      <c r="AB104" s="93"/>
      <c r="AD104" s="528">
        <f>SUM(S99:AD99)</f>
        <v>0</v>
      </c>
      <c r="AL104" s="152"/>
    </row>
    <row r="105" spans="1:38" x14ac:dyDescent="0.2">
      <c r="A105" s="560" t="s">
        <v>183</v>
      </c>
      <c r="B105" s="52"/>
      <c r="C105" s="52"/>
      <c r="D105" s="511"/>
      <c r="E105" s="511"/>
      <c r="F105" s="511"/>
      <c r="G105" s="530">
        <f>SUM(B99:G99)</f>
        <v>0</v>
      </c>
      <c r="H105" s="511"/>
      <c r="I105" s="511"/>
      <c r="J105" s="511"/>
      <c r="K105" s="511"/>
      <c r="L105" s="511"/>
      <c r="M105" s="511"/>
      <c r="N105" s="511"/>
      <c r="O105" s="205"/>
      <c r="P105" s="93"/>
      <c r="S105" s="529">
        <f>SUM(H99:S99)</f>
        <v>0</v>
      </c>
      <c r="AA105" s="205"/>
      <c r="AB105" s="93"/>
      <c r="AE105" s="529">
        <f>SUM(T99:AE99)</f>
        <v>0</v>
      </c>
      <c r="AL105" s="152"/>
    </row>
    <row r="106" spans="1:38" x14ac:dyDescent="0.2">
      <c r="A106" s="560" t="s">
        <v>184</v>
      </c>
      <c r="B106" s="66"/>
      <c r="C106" s="204"/>
      <c r="D106" s="511"/>
      <c r="E106" s="511"/>
      <c r="F106" s="511"/>
      <c r="G106" s="511"/>
      <c r="H106" s="531">
        <f>SUM(B99:H99)</f>
        <v>0</v>
      </c>
      <c r="I106" s="511"/>
      <c r="J106" s="511"/>
      <c r="K106" s="511"/>
      <c r="L106" s="511"/>
      <c r="M106" s="511"/>
      <c r="N106" s="511"/>
      <c r="O106" s="205"/>
      <c r="P106" s="93"/>
      <c r="T106" s="532">
        <f>SUM(I99:T99)</f>
        <v>0</v>
      </c>
      <c r="AA106" s="205"/>
      <c r="AB106" s="93"/>
      <c r="AF106" s="532">
        <f>SUM(U99:AF99)</f>
        <v>0</v>
      </c>
      <c r="AL106" s="152"/>
    </row>
    <row r="107" spans="1:38" x14ac:dyDescent="0.2">
      <c r="A107" s="561" t="s">
        <v>185</v>
      </c>
      <c r="B107" s="52"/>
      <c r="C107" s="52"/>
      <c r="D107" s="511"/>
      <c r="E107" s="511"/>
      <c r="F107" s="511"/>
      <c r="G107" s="511"/>
      <c r="H107" s="511"/>
      <c r="I107" s="537">
        <f>SUM(B99:I99)</f>
        <v>0</v>
      </c>
      <c r="J107" s="511"/>
      <c r="K107" s="511"/>
      <c r="L107" s="511"/>
      <c r="M107" s="511"/>
      <c r="N107" s="511"/>
      <c r="O107" s="205"/>
      <c r="P107" s="93"/>
      <c r="U107" s="533">
        <f>SUM(J99:U99)</f>
        <v>0</v>
      </c>
      <c r="AA107" s="205"/>
      <c r="AB107" s="93"/>
      <c r="AG107" s="533">
        <f>SUM(V99:AG99)</f>
        <v>0</v>
      </c>
      <c r="AL107" s="152"/>
    </row>
    <row r="108" spans="1:38" x14ac:dyDescent="0.2">
      <c r="A108" s="562" t="s">
        <v>186</v>
      </c>
      <c r="B108" s="66"/>
      <c r="C108" s="204"/>
      <c r="D108" s="511"/>
      <c r="E108" s="511"/>
      <c r="F108" s="511"/>
      <c r="G108" s="511"/>
      <c r="H108" s="511"/>
      <c r="I108" s="511"/>
      <c r="J108" s="538">
        <f>SUM(B99:J99)</f>
        <v>0</v>
      </c>
      <c r="K108" s="511"/>
      <c r="L108" s="511"/>
      <c r="M108" s="511"/>
      <c r="N108" s="511"/>
      <c r="O108" s="205"/>
      <c r="P108" s="93"/>
      <c r="V108" s="534">
        <f>SUM(K99:V99)</f>
        <v>0</v>
      </c>
      <c r="AA108" s="205"/>
      <c r="AB108" s="93"/>
      <c r="AH108" s="534">
        <f>SUM(W99:AH99)</f>
        <v>0</v>
      </c>
      <c r="AL108" s="152"/>
    </row>
    <row r="109" spans="1:38" x14ac:dyDescent="0.2">
      <c r="A109" s="563" t="s">
        <v>187</v>
      </c>
      <c r="B109" s="52"/>
      <c r="C109" s="52"/>
      <c r="D109" s="511"/>
      <c r="E109" s="511"/>
      <c r="F109" s="511"/>
      <c r="G109" s="511"/>
      <c r="H109" s="511"/>
      <c r="I109" s="511"/>
      <c r="J109" s="511"/>
      <c r="K109" s="539">
        <f>SUM(B99:K99)</f>
        <v>0</v>
      </c>
      <c r="L109" s="511"/>
      <c r="M109" s="511"/>
      <c r="N109" s="511"/>
      <c r="O109" s="205"/>
      <c r="P109" s="93"/>
      <c r="W109" s="535">
        <f>SUM(L99:W99)</f>
        <v>0</v>
      </c>
      <c r="AA109" s="205"/>
      <c r="AB109" s="93"/>
      <c r="AI109" s="535">
        <f>SUM(X99:AI99)</f>
        <v>0</v>
      </c>
      <c r="AL109" s="152"/>
    </row>
    <row r="110" spans="1:38" x14ac:dyDescent="0.2">
      <c r="A110" s="564" t="s">
        <v>188</v>
      </c>
      <c r="B110" s="66"/>
      <c r="C110" s="204"/>
      <c r="D110" s="511"/>
      <c r="E110" s="511"/>
      <c r="F110" s="511"/>
      <c r="G110" s="511"/>
      <c r="H110" s="511"/>
      <c r="I110" s="511"/>
      <c r="J110" s="511"/>
      <c r="K110" s="511"/>
      <c r="L110" s="540">
        <f>SUM(B99:L99)</f>
        <v>0</v>
      </c>
      <c r="M110" s="511"/>
      <c r="N110" s="511"/>
      <c r="O110" s="205"/>
      <c r="P110" s="93"/>
      <c r="X110" s="536">
        <f>SUM(M99:X99)</f>
        <v>0</v>
      </c>
      <c r="AA110" s="205"/>
      <c r="AB110" s="93"/>
      <c r="AJ110" s="536">
        <f>SUM(Y99:AJ99)</f>
        <v>0</v>
      </c>
      <c r="AL110" s="152"/>
    </row>
    <row r="111" spans="1:38" x14ac:dyDescent="0.2">
      <c r="A111" s="565" t="s">
        <v>189</v>
      </c>
      <c r="B111" s="52"/>
      <c r="C111" s="52"/>
      <c r="D111" s="511"/>
      <c r="E111" s="511"/>
      <c r="F111" s="511"/>
      <c r="G111" s="511"/>
      <c r="H111" s="511"/>
      <c r="I111" s="511"/>
      <c r="J111" s="511"/>
      <c r="K111" s="511"/>
      <c r="L111" s="511"/>
      <c r="M111" s="542">
        <f>SUM(B99:M99)</f>
        <v>0</v>
      </c>
      <c r="N111" s="511"/>
      <c r="O111" s="205"/>
      <c r="P111" s="93"/>
      <c r="Y111" s="541">
        <f>SUM(N99:Y99)</f>
        <v>0</v>
      </c>
      <c r="AA111" s="205"/>
      <c r="AB111" s="93"/>
      <c r="AK111" s="541">
        <f>SUM(Z99:AK99)</f>
        <v>0</v>
      </c>
      <c r="AL111" s="152"/>
    </row>
    <row r="112" spans="1:38" ht="13.5" thickBot="1" x14ac:dyDescent="0.25">
      <c r="A112" s="566" t="s">
        <v>190</v>
      </c>
      <c r="B112" s="567"/>
      <c r="C112" s="207"/>
      <c r="D112" s="568"/>
      <c r="E112" s="568"/>
      <c r="F112" s="568"/>
      <c r="G112" s="568"/>
      <c r="H112" s="568"/>
      <c r="I112" s="568"/>
      <c r="J112" s="568"/>
      <c r="K112" s="568"/>
      <c r="L112" s="568"/>
      <c r="M112" s="568"/>
      <c r="N112" s="569">
        <f>SUM(B99:N99)</f>
        <v>0</v>
      </c>
      <c r="O112" s="303"/>
      <c r="P112" s="570"/>
      <c r="Q112" s="160"/>
      <c r="R112" s="160"/>
      <c r="S112" s="160"/>
      <c r="T112" s="160"/>
      <c r="U112" s="160"/>
      <c r="V112" s="160"/>
      <c r="W112" s="160"/>
      <c r="X112" s="160"/>
      <c r="Y112" s="160"/>
      <c r="Z112" s="571">
        <f>SUM(O99:Z99)</f>
        <v>0</v>
      </c>
      <c r="AA112" s="303"/>
      <c r="AB112" s="570"/>
      <c r="AC112" s="160"/>
      <c r="AD112" s="160"/>
      <c r="AE112" s="160"/>
      <c r="AF112" s="160"/>
      <c r="AG112" s="160"/>
      <c r="AH112" s="160"/>
      <c r="AI112" s="160"/>
      <c r="AJ112" s="160"/>
      <c r="AK112" s="160"/>
      <c r="AL112" s="572">
        <f>SUM(AA99:AL99)</f>
        <v>0</v>
      </c>
    </row>
    <row r="113" spans="1:38" s="514" customFormat="1" ht="11.25" customHeight="1" x14ac:dyDescent="0.2">
      <c r="A113" s="552" t="s">
        <v>196</v>
      </c>
      <c r="B113" s="553">
        <f>'K3 Resultat'!K20</f>
        <v>0</v>
      </c>
      <c r="C113" s="577">
        <f>B113-B114</f>
        <v>0</v>
      </c>
      <c r="D113" s="577">
        <f t="shared" ref="D113" si="162">C113-C114</f>
        <v>0</v>
      </c>
      <c r="E113" s="577">
        <f t="shared" ref="E113" si="163">D113-D114</f>
        <v>0</v>
      </c>
      <c r="F113" s="577">
        <f t="shared" ref="F113" si="164">E113-E114</f>
        <v>0</v>
      </c>
      <c r="G113" s="577">
        <f t="shared" ref="G113" si="165">F113-F114</f>
        <v>0</v>
      </c>
      <c r="H113" s="577">
        <f t="shared" ref="H113" si="166">G113-G114</f>
        <v>0</v>
      </c>
      <c r="I113" s="577">
        <f t="shared" ref="I113" si="167">H113-H114</f>
        <v>0</v>
      </c>
      <c r="J113" s="577">
        <f t="shared" ref="J113" si="168">I113-I114</f>
        <v>0</v>
      </c>
      <c r="K113" s="577">
        <f t="shared" ref="K113" si="169">J113-J114</f>
        <v>0</v>
      </c>
      <c r="L113" s="577">
        <f t="shared" ref="L113" si="170">K113-K114</f>
        <v>0</v>
      </c>
      <c r="M113" s="577">
        <f t="shared" ref="M113" si="171">L113-L114</f>
        <v>0</v>
      </c>
      <c r="N113" s="577">
        <f t="shared" ref="N113" si="172">M113-M114</f>
        <v>0</v>
      </c>
      <c r="O113" s="577">
        <f t="shared" ref="O113" si="173">N113-N114</f>
        <v>0</v>
      </c>
      <c r="P113" s="577">
        <f t="shared" ref="P113" si="174">O113-O114</f>
        <v>0</v>
      </c>
      <c r="Q113" s="577">
        <f t="shared" ref="Q113" si="175">P113-P114</f>
        <v>0</v>
      </c>
      <c r="R113" s="577">
        <f t="shared" ref="R113" si="176">Q113-Q114</f>
        <v>0</v>
      </c>
      <c r="S113" s="577">
        <f t="shared" ref="S113" si="177">R113-R114</f>
        <v>0</v>
      </c>
      <c r="T113" s="577">
        <f t="shared" ref="T113" si="178">S113-S114</f>
        <v>0</v>
      </c>
      <c r="U113" s="577">
        <f t="shared" ref="U113" si="179">T113-T114</f>
        <v>0</v>
      </c>
      <c r="V113" s="577">
        <f t="shared" ref="V113" si="180">U113-U114</f>
        <v>0</v>
      </c>
      <c r="W113" s="577">
        <f t="shared" ref="W113" si="181">V113-V114</f>
        <v>0</v>
      </c>
      <c r="X113" s="577">
        <f t="shared" ref="X113" si="182">W113-W114</f>
        <v>0</v>
      </c>
      <c r="Y113" s="577">
        <f t="shared" ref="Y113" si="183">X113-X114</f>
        <v>0</v>
      </c>
      <c r="Z113" s="577">
        <f t="shared" ref="Z113" si="184">Y113-Y114</f>
        <v>0</v>
      </c>
      <c r="AA113" s="577">
        <f t="shared" ref="AA113" si="185">Z113-Z114</f>
        <v>0</v>
      </c>
      <c r="AB113" s="577">
        <f t="shared" ref="AB113" si="186">AA113-AA114</f>
        <v>0</v>
      </c>
      <c r="AC113" s="577">
        <f t="shared" ref="AC113" si="187">AB113-AB114</f>
        <v>0</v>
      </c>
      <c r="AD113" s="577">
        <f t="shared" ref="AD113" si="188">AC113-AC114</f>
        <v>0</v>
      </c>
      <c r="AE113" s="577">
        <f t="shared" ref="AE113" si="189">AD113-AD114</f>
        <v>0</v>
      </c>
      <c r="AF113" s="577">
        <f t="shared" ref="AF113" si="190">AE113-AE114</f>
        <v>0</v>
      </c>
      <c r="AG113" s="577">
        <f t="shared" ref="AG113" si="191">AF113-AF114</f>
        <v>0</v>
      </c>
      <c r="AH113" s="577">
        <f t="shared" ref="AH113" si="192">AG113-AG114</f>
        <v>0</v>
      </c>
      <c r="AI113" s="577">
        <f t="shared" ref="AI113" si="193">AH113-AH114</f>
        <v>0</v>
      </c>
      <c r="AJ113" s="577">
        <f t="shared" ref="AJ113" si="194">AI113-AI114</f>
        <v>0</v>
      </c>
      <c r="AK113" s="577">
        <f t="shared" ref="AK113" si="195">AJ113-AJ114</f>
        <v>0</v>
      </c>
      <c r="AL113" s="578">
        <f t="shared" ref="AL113" si="196">AK113-AK114</f>
        <v>0</v>
      </c>
    </row>
    <row r="114" spans="1:38" x14ac:dyDescent="0.2">
      <c r="A114" s="554" t="s">
        <v>177</v>
      </c>
      <c r="B114" s="66">
        <f>IF(B113=0,0,IF('K3 Resultat'!$I20=2,0,IF('K3 Resultat'!$I20=1,0,'K3 Resultat'!$K20/(2*'K3 Resultat'!$J20))))</f>
        <v>0</v>
      </c>
      <c r="C114" s="204"/>
      <c r="D114" s="205"/>
      <c r="E114" s="205"/>
      <c r="F114" s="205"/>
      <c r="G114" s="205"/>
      <c r="H114" s="66">
        <f>IF(H113=0,0,IF('K3 Resultat'!$I20=2,0,IF('K3 Resultat'!$I20=1,0,'K3 Resultat'!$K20/(2*'K3 Resultat'!$J20))))</f>
        <v>0</v>
      </c>
      <c r="I114" s="205"/>
      <c r="J114" s="205"/>
      <c r="K114" s="205"/>
      <c r="L114" s="205"/>
      <c r="M114" s="205"/>
      <c r="N114" s="66">
        <f>IF(N113=0,0,IF('K3 Resultat'!$I20=2,0,IF('K3 Resultat'!$I20=1,'K3 Resultat'!$K20/(2*'K3 Resultat'!$J20-2),'K3 Resultat'!$K20/(2*'K3 Resultat'!$J20))))</f>
        <v>0</v>
      </c>
      <c r="O114" s="205"/>
      <c r="P114" s="93"/>
      <c r="T114" s="66">
        <f>IF(T113=0,0,IF('K3 Resultat'!$I20=2,0,IF('K3 Resultat'!$I20=1,'K3 Resultat'!$K20/(2*'K3 Resultat'!$J20-2),'K3 Resultat'!$K20/(2*'K3 Resultat'!$J20))))</f>
        <v>0</v>
      </c>
      <c r="Z114" s="66">
        <f>IF(Z113=0,0,IF('K3 Resultat'!$I20=2,'K3 Resultat'!$K20/(2*'K3 Resultat'!$J20-4),IF('K3 Resultat'!$I20=1,'K3 Resultat'!$K20/(2*'K3 Resultat'!$J20-2),'K3 Resultat'!$K20/(2*'K3 Resultat'!$J20))))</f>
        <v>0</v>
      </c>
      <c r="AF114" s="66">
        <f>IF(AF113=0,0,IF('K3 Resultat'!$I20=2,'K3 Resultat'!$K20/(2*'K3 Resultat'!$J20-4),IF('K3 Resultat'!$I20=1,'K3 Resultat'!$K20/(2*'K3 Resultat'!$J20-2),'K3 Resultat'!$K20/(2*'K3 Resultat'!$J20))))</f>
        <v>0</v>
      </c>
      <c r="AL114" s="579">
        <f>IF(AL113=0,0,IF('K3 Resultat'!$I20=2,'K3 Resultat'!$K20/(2*'K3 Resultat'!$J20-4),IF('K3 Resultat'!$I20=1,'K3 Resultat'!$K20/(2*'K3 Resultat'!$J20-2),'K3 Resultat'!$K20/(2*'K3 Resultat'!$J20))))</f>
        <v>0</v>
      </c>
    </row>
    <row r="115" spans="1:38" s="589" customFormat="1" x14ac:dyDescent="0.2">
      <c r="A115" s="587" t="s">
        <v>221</v>
      </c>
      <c r="B115" s="588">
        <f>B113-B114</f>
        <v>0</v>
      </c>
      <c r="C115" s="588">
        <f t="shared" ref="C115" si="197">C113-C114</f>
        <v>0</v>
      </c>
      <c r="D115" s="588">
        <f t="shared" ref="D115" si="198">D113-D114</f>
        <v>0</v>
      </c>
      <c r="E115" s="588">
        <f t="shared" ref="E115" si="199">E113-E114</f>
        <v>0</v>
      </c>
      <c r="F115" s="588">
        <f t="shared" ref="F115" si="200">F113-F114</f>
        <v>0</v>
      </c>
      <c r="G115" s="588">
        <f t="shared" ref="G115" si="201">G113-G114</f>
        <v>0</v>
      </c>
      <c r="H115" s="588">
        <f t="shared" ref="H115" si="202">H113-H114</f>
        <v>0</v>
      </c>
      <c r="I115" s="588">
        <f t="shared" ref="I115" si="203">I113-I114</f>
        <v>0</v>
      </c>
      <c r="J115" s="588">
        <f t="shared" ref="J115" si="204">J113-J114</f>
        <v>0</v>
      </c>
      <c r="K115" s="588">
        <f t="shared" ref="K115" si="205">K113-K114</f>
        <v>0</v>
      </c>
      <c r="L115" s="588">
        <f t="shared" ref="L115" si="206">L113-L114</f>
        <v>0</v>
      </c>
      <c r="M115" s="588">
        <f t="shared" ref="M115" si="207">M113-M114</f>
        <v>0</v>
      </c>
      <c r="N115" s="588">
        <f t="shared" ref="N115" si="208">N113-N114</f>
        <v>0</v>
      </c>
      <c r="O115" s="588">
        <f t="shared" ref="O115" si="209">O113-O114</f>
        <v>0</v>
      </c>
      <c r="P115" s="588">
        <f t="shared" ref="P115" si="210">P113-P114</f>
        <v>0</v>
      </c>
      <c r="Q115" s="588">
        <f t="shared" ref="Q115" si="211">Q113-Q114</f>
        <v>0</v>
      </c>
      <c r="R115" s="588">
        <f t="shared" ref="R115" si="212">R113-R114</f>
        <v>0</v>
      </c>
      <c r="S115" s="588">
        <f t="shared" ref="S115" si="213">S113-S114</f>
        <v>0</v>
      </c>
      <c r="T115" s="588">
        <f t="shared" ref="T115" si="214">T113-T114</f>
        <v>0</v>
      </c>
      <c r="U115" s="588">
        <f t="shared" ref="U115" si="215">U113-U114</f>
        <v>0</v>
      </c>
      <c r="V115" s="588">
        <f t="shared" ref="V115" si="216">V113-V114</f>
        <v>0</v>
      </c>
      <c r="W115" s="588">
        <f t="shared" ref="W115" si="217">W113-W114</f>
        <v>0</v>
      </c>
      <c r="X115" s="588">
        <f t="shared" ref="X115" si="218">X113-X114</f>
        <v>0</v>
      </c>
      <c r="Y115" s="588">
        <f t="shared" ref="Y115" si="219">Y113-Y114</f>
        <v>0</v>
      </c>
      <c r="Z115" s="588">
        <f t="shared" ref="Z115" si="220">Z113-Z114</f>
        <v>0</v>
      </c>
      <c r="AA115" s="588">
        <f t="shared" ref="AA115" si="221">AA113-AA114</f>
        <v>0</v>
      </c>
      <c r="AB115" s="588">
        <f t="shared" ref="AB115" si="222">AB113-AB114</f>
        <v>0</v>
      </c>
      <c r="AC115" s="588">
        <f t="shared" ref="AC115" si="223">AC113-AC114</f>
        <v>0</v>
      </c>
      <c r="AD115" s="588">
        <f t="shared" ref="AD115" si="224">AD113-AD114</f>
        <v>0</v>
      </c>
      <c r="AE115" s="588">
        <f t="shared" ref="AE115" si="225">AE113-AE114</f>
        <v>0</v>
      </c>
      <c r="AF115" s="588">
        <f t="shared" ref="AF115" si="226">AF113-AF114</f>
        <v>0</v>
      </c>
      <c r="AG115" s="588">
        <f t="shared" ref="AG115" si="227">AG113-AG114</f>
        <v>0</v>
      </c>
      <c r="AH115" s="588">
        <f t="shared" ref="AH115" si="228">AH113-AH114</f>
        <v>0</v>
      </c>
      <c r="AI115" s="588">
        <f t="shared" ref="AI115" si="229">AI113-AI114</f>
        <v>0</v>
      </c>
      <c r="AJ115" s="588">
        <f t="shared" ref="AJ115" si="230">AJ113-AJ114</f>
        <v>0</v>
      </c>
      <c r="AK115" s="588">
        <f t="shared" ref="AK115" si="231">AK113-AK114</f>
        <v>0</v>
      </c>
      <c r="AL115" s="588">
        <f t="shared" ref="AL115" si="232">AL113-AL114</f>
        <v>0</v>
      </c>
    </row>
    <row r="116" spans="1:38" x14ac:dyDescent="0.2">
      <c r="A116" s="554" t="s">
        <v>26</v>
      </c>
      <c r="B116" s="508">
        <f>'K3 Resultat'!H20</f>
        <v>0</v>
      </c>
      <c r="C116" s="509">
        <f>B116</f>
        <v>0</v>
      </c>
      <c r="D116" s="509">
        <f t="shared" ref="D116" si="233">C116</f>
        <v>0</v>
      </c>
      <c r="E116" s="509">
        <f t="shared" ref="E116" si="234">D116</f>
        <v>0</v>
      </c>
      <c r="F116" s="509">
        <f t="shared" ref="F116" si="235">E116</f>
        <v>0</v>
      </c>
      <c r="G116" s="509">
        <f t="shared" ref="G116" si="236">F116</f>
        <v>0</v>
      </c>
      <c r="H116" s="509">
        <f t="shared" ref="H116" si="237">G116</f>
        <v>0</v>
      </c>
      <c r="I116" s="509">
        <f t="shared" ref="I116" si="238">H116</f>
        <v>0</v>
      </c>
      <c r="J116" s="509">
        <f t="shared" ref="J116" si="239">I116</f>
        <v>0</v>
      </c>
      <c r="K116" s="509">
        <f t="shared" ref="K116" si="240">J116</f>
        <v>0</v>
      </c>
      <c r="L116" s="509">
        <f t="shared" ref="L116" si="241">K116</f>
        <v>0</v>
      </c>
      <c r="M116" s="509">
        <f t="shared" ref="M116" si="242">L116</f>
        <v>0</v>
      </c>
      <c r="N116" s="509">
        <f t="shared" ref="N116" si="243">M116</f>
        <v>0</v>
      </c>
      <c r="O116" s="509">
        <f t="shared" ref="O116" si="244">N116</f>
        <v>0</v>
      </c>
      <c r="P116" s="509">
        <f t="shared" ref="P116" si="245">O116</f>
        <v>0</v>
      </c>
      <c r="Q116" s="509">
        <f t="shared" ref="Q116" si="246">P116</f>
        <v>0</v>
      </c>
      <c r="R116" s="509">
        <f t="shared" ref="R116" si="247">Q116</f>
        <v>0</v>
      </c>
      <c r="S116" s="509">
        <f t="shared" ref="S116" si="248">R116</f>
        <v>0</v>
      </c>
      <c r="T116" s="509">
        <f t="shared" ref="T116" si="249">S116</f>
        <v>0</v>
      </c>
      <c r="U116" s="509">
        <f t="shared" ref="U116" si="250">T116</f>
        <v>0</v>
      </c>
      <c r="V116" s="509">
        <f t="shared" ref="V116" si="251">U116</f>
        <v>0</v>
      </c>
      <c r="W116" s="509">
        <f t="shared" ref="W116" si="252">V116</f>
        <v>0</v>
      </c>
      <c r="X116" s="509">
        <f t="shared" ref="X116" si="253">W116</f>
        <v>0</v>
      </c>
      <c r="Y116" s="509">
        <f t="shared" ref="Y116:Z116" si="254">X116</f>
        <v>0</v>
      </c>
      <c r="Z116" s="509">
        <f t="shared" si="254"/>
        <v>0</v>
      </c>
      <c r="AA116" s="509">
        <f t="shared" ref="AA116" si="255">Z116</f>
        <v>0</v>
      </c>
      <c r="AB116" s="509">
        <f t="shared" ref="AB116" si="256">AA116</f>
        <v>0</v>
      </c>
      <c r="AC116" s="509">
        <f t="shared" ref="AC116" si="257">AB116</f>
        <v>0</v>
      </c>
      <c r="AD116" s="509">
        <f t="shared" ref="AD116" si="258">AC116</f>
        <v>0</v>
      </c>
      <c r="AE116" s="509">
        <f t="shared" ref="AE116" si="259">AD116</f>
        <v>0</v>
      </c>
      <c r="AF116" s="509">
        <f t="shared" ref="AF116" si="260">AE116</f>
        <v>0</v>
      </c>
      <c r="AG116" s="509">
        <f t="shared" ref="AG116" si="261">AF116</f>
        <v>0</v>
      </c>
      <c r="AH116" s="509">
        <f t="shared" ref="AH116" si="262">AG116</f>
        <v>0</v>
      </c>
      <c r="AI116" s="509">
        <f t="shared" ref="AI116" si="263">AH116</f>
        <v>0</v>
      </c>
      <c r="AJ116" s="509">
        <f t="shared" ref="AJ116" si="264">AI116</f>
        <v>0</v>
      </c>
      <c r="AK116" s="509">
        <f t="shared" ref="AK116" si="265">AJ116</f>
        <v>0</v>
      </c>
      <c r="AL116" s="580">
        <f t="shared" ref="AL116" si="266">AK116</f>
        <v>0</v>
      </c>
    </row>
    <row r="117" spans="1:38" x14ac:dyDescent="0.2">
      <c r="A117" s="554" t="s">
        <v>178</v>
      </c>
      <c r="B117" s="510">
        <f>(B113)*B116/2</f>
        <v>0</v>
      </c>
      <c r="C117" s="510">
        <f>(C113)*C116/12</f>
        <v>0</v>
      </c>
      <c r="D117" s="510">
        <f t="shared" ref="D117" si="267">(D113)*D116/12</f>
        <v>0</v>
      </c>
      <c r="E117" s="510">
        <f t="shared" ref="E117" si="268">(E113)*E116/12</f>
        <v>0</v>
      </c>
      <c r="F117" s="510">
        <f t="shared" ref="F117" si="269">(F113)*F116/12</f>
        <v>0</v>
      </c>
      <c r="G117" s="510">
        <f t="shared" ref="G117" si="270">(G113)*G116/12</f>
        <v>0</v>
      </c>
      <c r="H117" s="510">
        <f t="shared" ref="H117" si="271">(H113)*H116/12</f>
        <v>0</v>
      </c>
      <c r="I117" s="510">
        <f t="shared" ref="I117" si="272">(I113)*I116/12</f>
        <v>0</v>
      </c>
      <c r="J117" s="510">
        <f t="shared" ref="J117" si="273">(J113)*J116/12</f>
        <v>0</v>
      </c>
      <c r="K117" s="510">
        <f t="shared" ref="K117" si="274">(K113)*K116/12</f>
        <v>0</v>
      </c>
      <c r="L117" s="510">
        <f t="shared" ref="L117" si="275">(L113)*L116/12</f>
        <v>0</v>
      </c>
      <c r="M117" s="510">
        <f t="shared" ref="M117" si="276">(M113)*M116/12</f>
        <v>0</v>
      </c>
      <c r="N117" s="510">
        <f t="shared" ref="N117" si="277">(N113)*N116/12</f>
        <v>0</v>
      </c>
      <c r="O117" s="510">
        <f t="shared" ref="O117" si="278">(O113)*O116/12</f>
        <v>0</v>
      </c>
      <c r="P117" s="510">
        <f t="shared" ref="P117" si="279">(P113)*P116/12</f>
        <v>0</v>
      </c>
      <c r="Q117" s="510">
        <f t="shared" ref="Q117" si="280">(Q113)*Q116/12</f>
        <v>0</v>
      </c>
      <c r="R117" s="510">
        <f t="shared" ref="R117" si="281">(R113)*R116/12</f>
        <v>0</v>
      </c>
      <c r="S117" s="510">
        <f t="shared" ref="S117" si="282">(S113)*S116/12</f>
        <v>0</v>
      </c>
      <c r="T117" s="510">
        <f t="shared" ref="T117" si="283">(T113)*T116/12</f>
        <v>0</v>
      </c>
      <c r="U117" s="510">
        <f t="shared" ref="U117" si="284">(U113)*U116/12</f>
        <v>0</v>
      </c>
      <c r="V117" s="510">
        <f t="shared" ref="V117" si="285">(V113)*V116/12</f>
        <v>0</v>
      </c>
      <c r="W117" s="510">
        <f t="shared" ref="W117" si="286">(W113)*W116/12</f>
        <v>0</v>
      </c>
      <c r="X117" s="510">
        <f t="shared" ref="X117" si="287">(X113)*X116/12</f>
        <v>0</v>
      </c>
      <c r="Y117" s="510">
        <f t="shared" ref="Y117" si="288">(Y113)*Y116/12</f>
        <v>0</v>
      </c>
      <c r="Z117" s="510">
        <f t="shared" ref="Z117" si="289">(Z113)*Z116/12</f>
        <v>0</v>
      </c>
      <c r="AA117" s="510">
        <f t="shared" ref="AA117" si="290">(AA113)*AA116/12</f>
        <v>0</v>
      </c>
      <c r="AB117" s="510">
        <f t="shared" ref="AB117" si="291">(AB113)*AB116/12</f>
        <v>0</v>
      </c>
      <c r="AC117" s="510">
        <f t="shared" ref="AC117" si="292">(AC113)*AC116/12</f>
        <v>0</v>
      </c>
      <c r="AD117" s="510">
        <f t="shared" ref="AD117" si="293">(AD113)*AD116/12</f>
        <v>0</v>
      </c>
      <c r="AE117" s="510">
        <f t="shared" ref="AE117" si="294">(AE113)*AE116/12</f>
        <v>0</v>
      </c>
      <c r="AF117" s="510">
        <f t="shared" ref="AF117" si="295">(AF113)*AF116/12</f>
        <v>0</v>
      </c>
      <c r="AG117" s="510">
        <f t="shared" ref="AG117" si="296">(AG113)*AG116/12</f>
        <v>0</v>
      </c>
      <c r="AH117" s="510">
        <f t="shared" ref="AH117" si="297">(AH113)*AH116/12</f>
        <v>0</v>
      </c>
      <c r="AI117" s="510">
        <f t="shared" ref="AI117" si="298">(AI113)*AI116/12</f>
        <v>0</v>
      </c>
      <c r="AJ117" s="510">
        <f t="shared" ref="AJ117" si="299">(AJ113)*AJ116/12</f>
        <v>0</v>
      </c>
      <c r="AK117" s="510">
        <f t="shared" ref="AK117" si="300">(AK113)*AK116/12</f>
        <v>0</v>
      </c>
      <c r="AL117" s="581">
        <f t="shared" ref="AL117" si="301">(AL113)*AL116/12</f>
        <v>0</v>
      </c>
    </row>
    <row r="118" spans="1:38" x14ac:dyDescent="0.2">
      <c r="A118" s="555" t="s">
        <v>180</v>
      </c>
      <c r="B118" s="519">
        <f>B117</f>
        <v>0</v>
      </c>
      <c r="C118" s="204"/>
      <c r="D118" s="205"/>
      <c r="E118" s="205"/>
      <c r="F118" s="205"/>
      <c r="G118" s="205"/>
      <c r="H118" s="205"/>
      <c r="I118" s="205"/>
      <c r="J118" s="205"/>
      <c r="K118" s="205"/>
      <c r="L118" s="205"/>
      <c r="M118" s="205"/>
      <c r="N118" s="520">
        <f>SUM(C117:N117)</f>
        <v>0</v>
      </c>
      <c r="O118" s="205"/>
      <c r="P118" s="93"/>
      <c r="Z118" s="520">
        <f>SUM(O117:Z117)</f>
        <v>0</v>
      </c>
      <c r="AL118" s="152"/>
    </row>
    <row r="119" spans="1:38" x14ac:dyDescent="0.2">
      <c r="A119" s="556" t="s">
        <v>181</v>
      </c>
      <c r="B119" s="66"/>
      <c r="C119" s="521">
        <f>B118+C117</f>
        <v>0</v>
      </c>
      <c r="D119" s="205"/>
      <c r="E119" s="205"/>
      <c r="F119" s="205"/>
      <c r="G119" s="205"/>
      <c r="H119" s="205"/>
      <c r="I119" s="205"/>
      <c r="J119" s="205"/>
      <c r="K119" s="205"/>
      <c r="L119" s="205"/>
      <c r="M119" s="205"/>
      <c r="O119" s="522">
        <f>SUM(D117:O117)</f>
        <v>0</v>
      </c>
      <c r="P119" s="93"/>
      <c r="AA119" s="522">
        <f>SUM(P117:AA117)</f>
        <v>0</v>
      </c>
      <c r="AB119" s="93"/>
      <c r="AL119" s="152"/>
    </row>
    <row r="120" spans="1:38" x14ac:dyDescent="0.2">
      <c r="A120" s="557" t="s">
        <v>192</v>
      </c>
      <c r="B120" s="52"/>
      <c r="C120" s="52"/>
      <c r="D120" s="523">
        <f>SUM(B117:D117)</f>
        <v>0</v>
      </c>
      <c r="E120" s="511"/>
      <c r="F120" s="511"/>
      <c r="G120" s="511"/>
      <c r="H120" s="511"/>
      <c r="I120" s="511"/>
      <c r="J120" s="511"/>
      <c r="K120" s="511"/>
      <c r="L120" s="511"/>
      <c r="M120" s="511"/>
      <c r="N120" s="511"/>
      <c r="O120" s="205"/>
      <c r="P120" s="524">
        <f>SUM(E117:P117)</f>
        <v>0</v>
      </c>
      <c r="AA120" s="205"/>
      <c r="AB120" s="524">
        <f>SUM(Q117:AB117)</f>
        <v>0</v>
      </c>
      <c r="AL120" s="152"/>
    </row>
    <row r="121" spans="1:38" x14ac:dyDescent="0.2">
      <c r="A121" s="558" t="s">
        <v>191</v>
      </c>
      <c r="B121" s="66"/>
      <c r="C121" s="204"/>
      <c r="D121" s="511"/>
      <c r="E121" s="526">
        <f>SUM(B117:E117)</f>
        <v>0</v>
      </c>
      <c r="F121" s="511"/>
      <c r="G121" s="511"/>
      <c r="H121" s="511"/>
      <c r="I121" s="511"/>
      <c r="J121" s="511"/>
      <c r="K121" s="511"/>
      <c r="L121" s="511"/>
      <c r="M121" s="511"/>
      <c r="N121" s="511"/>
      <c r="O121" s="205"/>
      <c r="P121" s="93"/>
      <c r="Q121" s="525">
        <f>SUM(F117:Q117)</f>
        <v>0</v>
      </c>
      <c r="AA121" s="205"/>
      <c r="AB121" s="93"/>
      <c r="AC121" s="525">
        <f>SUM(R117:AC117)</f>
        <v>0</v>
      </c>
      <c r="AL121" s="152"/>
    </row>
    <row r="122" spans="1:38" x14ac:dyDescent="0.2">
      <c r="A122" s="559" t="s">
        <v>182</v>
      </c>
      <c r="B122" s="66"/>
      <c r="C122" s="204"/>
      <c r="D122" s="511"/>
      <c r="E122" s="511"/>
      <c r="F122" s="527">
        <f>SUM(B117:F117)</f>
        <v>0</v>
      </c>
      <c r="G122" s="511"/>
      <c r="H122" s="511"/>
      <c r="I122" s="511"/>
      <c r="J122" s="511"/>
      <c r="K122" s="511"/>
      <c r="L122" s="511"/>
      <c r="M122" s="511"/>
      <c r="N122" s="511"/>
      <c r="O122" s="205"/>
      <c r="P122" s="93"/>
      <c r="R122" s="528">
        <f>SUM(G117:R117)</f>
        <v>0</v>
      </c>
      <c r="AA122" s="205"/>
      <c r="AB122" s="93"/>
      <c r="AD122" s="528">
        <f>SUM(S117:AD117)</f>
        <v>0</v>
      </c>
      <c r="AL122" s="152"/>
    </row>
    <row r="123" spans="1:38" x14ac:dyDescent="0.2">
      <c r="A123" s="560" t="s">
        <v>183</v>
      </c>
      <c r="B123" s="52"/>
      <c r="C123" s="52"/>
      <c r="D123" s="511"/>
      <c r="E123" s="511"/>
      <c r="F123" s="511"/>
      <c r="G123" s="530">
        <f>SUM(B117:G117)</f>
        <v>0</v>
      </c>
      <c r="H123" s="511"/>
      <c r="I123" s="511"/>
      <c r="J123" s="511"/>
      <c r="K123" s="511"/>
      <c r="L123" s="511"/>
      <c r="M123" s="511"/>
      <c r="N123" s="511"/>
      <c r="O123" s="205"/>
      <c r="P123" s="93"/>
      <c r="S123" s="529">
        <f>SUM(H117:S117)</f>
        <v>0</v>
      </c>
      <c r="AA123" s="205"/>
      <c r="AB123" s="93"/>
      <c r="AE123" s="529">
        <f>SUM(T117:AE117)</f>
        <v>0</v>
      </c>
      <c r="AL123" s="152"/>
    </row>
    <row r="124" spans="1:38" x14ac:dyDescent="0.2">
      <c r="A124" s="560" t="s">
        <v>184</v>
      </c>
      <c r="B124" s="66"/>
      <c r="C124" s="204"/>
      <c r="D124" s="511"/>
      <c r="E124" s="511"/>
      <c r="F124" s="511"/>
      <c r="G124" s="511"/>
      <c r="H124" s="531">
        <f>SUM(B117:H117)</f>
        <v>0</v>
      </c>
      <c r="I124" s="511"/>
      <c r="J124" s="511"/>
      <c r="K124" s="511"/>
      <c r="L124" s="511"/>
      <c r="M124" s="511"/>
      <c r="N124" s="511"/>
      <c r="O124" s="205"/>
      <c r="P124" s="93"/>
      <c r="T124" s="532">
        <f>SUM(I117:T117)</f>
        <v>0</v>
      </c>
      <c r="AA124" s="205"/>
      <c r="AB124" s="93"/>
      <c r="AF124" s="532">
        <f>SUM(U117:AF117)</f>
        <v>0</v>
      </c>
      <c r="AL124" s="152"/>
    </row>
    <row r="125" spans="1:38" x14ac:dyDescent="0.2">
      <c r="A125" s="561" t="s">
        <v>185</v>
      </c>
      <c r="B125" s="52"/>
      <c r="C125" s="52"/>
      <c r="D125" s="511"/>
      <c r="E125" s="511"/>
      <c r="F125" s="511"/>
      <c r="G125" s="511"/>
      <c r="H125" s="511"/>
      <c r="I125" s="537">
        <f>SUM(B117:I117)</f>
        <v>0</v>
      </c>
      <c r="J125" s="511"/>
      <c r="K125" s="511"/>
      <c r="L125" s="511"/>
      <c r="M125" s="511"/>
      <c r="N125" s="511"/>
      <c r="O125" s="205"/>
      <c r="P125" s="93"/>
      <c r="U125" s="533">
        <f>SUM(J117:U117)</f>
        <v>0</v>
      </c>
      <c r="AA125" s="205"/>
      <c r="AB125" s="93"/>
      <c r="AG125" s="533">
        <f>SUM(V117:AG117)</f>
        <v>0</v>
      </c>
      <c r="AL125" s="152"/>
    </row>
    <row r="126" spans="1:38" x14ac:dyDescent="0.2">
      <c r="A126" s="562" t="s">
        <v>186</v>
      </c>
      <c r="B126" s="66"/>
      <c r="C126" s="204"/>
      <c r="D126" s="511"/>
      <c r="E126" s="511"/>
      <c r="F126" s="511"/>
      <c r="G126" s="511"/>
      <c r="H126" s="511"/>
      <c r="I126" s="511"/>
      <c r="J126" s="538">
        <f>SUM(B117:J117)</f>
        <v>0</v>
      </c>
      <c r="K126" s="511"/>
      <c r="L126" s="511"/>
      <c r="M126" s="511"/>
      <c r="N126" s="511"/>
      <c r="O126" s="205"/>
      <c r="P126" s="93"/>
      <c r="V126" s="534">
        <f>SUM(K117:V117)</f>
        <v>0</v>
      </c>
      <c r="AA126" s="205"/>
      <c r="AB126" s="93"/>
      <c r="AH126" s="534">
        <f>SUM(W117:AH117)</f>
        <v>0</v>
      </c>
      <c r="AL126" s="152"/>
    </row>
    <row r="127" spans="1:38" x14ac:dyDescent="0.2">
      <c r="A127" s="563" t="s">
        <v>187</v>
      </c>
      <c r="B127" s="52"/>
      <c r="C127" s="52"/>
      <c r="D127" s="511"/>
      <c r="E127" s="511"/>
      <c r="F127" s="511"/>
      <c r="G127" s="511"/>
      <c r="H127" s="511"/>
      <c r="I127" s="511"/>
      <c r="J127" s="511"/>
      <c r="K127" s="539">
        <f>SUM(B117:K117)</f>
        <v>0</v>
      </c>
      <c r="L127" s="511"/>
      <c r="M127" s="511"/>
      <c r="N127" s="511"/>
      <c r="O127" s="205"/>
      <c r="P127" s="93"/>
      <c r="W127" s="535">
        <f>SUM(L117:W117)</f>
        <v>0</v>
      </c>
      <c r="AA127" s="205"/>
      <c r="AB127" s="93"/>
      <c r="AI127" s="535">
        <f>SUM(X117:AI117)</f>
        <v>0</v>
      </c>
      <c r="AL127" s="152"/>
    </row>
    <row r="128" spans="1:38" x14ac:dyDescent="0.2">
      <c r="A128" s="564" t="s">
        <v>188</v>
      </c>
      <c r="B128" s="66"/>
      <c r="C128" s="204"/>
      <c r="D128" s="511"/>
      <c r="E128" s="511"/>
      <c r="F128" s="511"/>
      <c r="G128" s="511"/>
      <c r="H128" s="511"/>
      <c r="I128" s="511"/>
      <c r="J128" s="511"/>
      <c r="K128" s="511"/>
      <c r="L128" s="540">
        <f>SUM(B117:L117)</f>
        <v>0</v>
      </c>
      <c r="M128" s="511"/>
      <c r="N128" s="511"/>
      <c r="O128" s="205"/>
      <c r="P128" s="93"/>
      <c r="X128" s="536">
        <f>SUM(M117:X117)</f>
        <v>0</v>
      </c>
      <c r="AA128" s="205"/>
      <c r="AB128" s="93"/>
      <c r="AJ128" s="536">
        <f>SUM(Y117:AJ117)</f>
        <v>0</v>
      </c>
      <c r="AL128" s="152"/>
    </row>
    <row r="129" spans="1:38" x14ac:dyDescent="0.2">
      <c r="A129" s="565" t="s">
        <v>189</v>
      </c>
      <c r="B129" s="52"/>
      <c r="C129" s="52"/>
      <c r="D129" s="511"/>
      <c r="E129" s="511"/>
      <c r="F129" s="511"/>
      <c r="G129" s="511"/>
      <c r="H129" s="511"/>
      <c r="I129" s="511"/>
      <c r="J129" s="511"/>
      <c r="K129" s="511"/>
      <c r="L129" s="511"/>
      <c r="M129" s="542">
        <f>SUM(B117:M117)</f>
        <v>0</v>
      </c>
      <c r="N129" s="511"/>
      <c r="O129" s="205"/>
      <c r="P129" s="93"/>
      <c r="Y129" s="541">
        <f>SUM(N117:Y117)</f>
        <v>0</v>
      </c>
      <c r="AA129" s="205"/>
      <c r="AB129" s="93"/>
      <c r="AK129" s="541">
        <f>SUM(Z117:AK117)</f>
        <v>0</v>
      </c>
      <c r="AL129" s="152"/>
    </row>
    <row r="130" spans="1:38" ht="13.5" thickBot="1" x14ac:dyDescent="0.25">
      <c r="A130" s="566" t="s">
        <v>190</v>
      </c>
      <c r="B130" s="567"/>
      <c r="C130" s="207"/>
      <c r="D130" s="568"/>
      <c r="E130" s="568"/>
      <c r="F130" s="568"/>
      <c r="G130" s="568"/>
      <c r="H130" s="568"/>
      <c r="I130" s="568"/>
      <c r="J130" s="568"/>
      <c r="K130" s="568"/>
      <c r="L130" s="568"/>
      <c r="M130" s="568"/>
      <c r="N130" s="569">
        <f>SUM(B117:N117)</f>
        <v>0</v>
      </c>
      <c r="O130" s="303"/>
      <c r="P130" s="570"/>
      <c r="Q130" s="160"/>
      <c r="R130" s="160"/>
      <c r="S130" s="160"/>
      <c r="T130" s="160"/>
      <c r="U130" s="160"/>
      <c r="V130" s="160"/>
      <c r="W130" s="160"/>
      <c r="X130" s="160"/>
      <c r="Y130" s="160"/>
      <c r="Z130" s="571">
        <f>SUM(O117:Z117)</f>
        <v>0</v>
      </c>
      <c r="AA130" s="303"/>
      <c r="AB130" s="570"/>
      <c r="AC130" s="160"/>
      <c r="AD130" s="160"/>
      <c r="AE130" s="160"/>
      <c r="AF130" s="160"/>
      <c r="AG130" s="160"/>
      <c r="AH130" s="160"/>
      <c r="AI130" s="160"/>
      <c r="AJ130" s="160"/>
      <c r="AK130" s="160"/>
      <c r="AL130" s="572">
        <f>SUM(AA117:AL117)</f>
        <v>0</v>
      </c>
    </row>
    <row r="131" spans="1:38" s="2" customFormat="1" ht="24" customHeight="1" x14ac:dyDescent="0.2">
      <c r="A131" s="598" t="s">
        <v>223</v>
      </c>
      <c r="B131" s="599">
        <f>B115+B97+B79</f>
        <v>0</v>
      </c>
      <c r="C131" s="599">
        <f t="shared" ref="C131:AL131" si="302">C115+C97+C79</f>
        <v>0</v>
      </c>
      <c r="D131" s="599">
        <f t="shared" si="302"/>
        <v>0</v>
      </c>
      <c r="E131" s="599">
        <f t="shared" si="302"/>
        <v>0</v>
      </c>
      <c r="F131" s="599">
        <f t="shared" si="302"/>
        <v>0</v>
      </c>
      <c r="G131" s="599">
        <f t="shared" si="302"/>
        <v>0</v>
      </c>
      <c r="H131" s="599">
        <f t="shared" si="302"/>
        <v>0</v>
      </c>
      <c r="I131" s="599">
        <f t="shared" si="302"/>
        <v>0</v>
      </c>
      <c r="J131" s="599">
        <f t="shared" si="302"/>
        <v>0</v>
      </c>
      <c r="K131" s="599">
        <f t="shared" si="302"/>
        <v>0</v>
      </c>
      <c r="L131" s="599">
        <f t="shared" si="302"/>
        <v>0</v>
      </c>
      <c r="M131" s="599">
        <f t="shared" si="302"/>
        <v>0</v>
      </c>
      <c r="N131" s="599">
        <f t="shared" si="302"/>
        <v>0</v>
      </c>
      <c r="O131" s="599">
        <f t="shared" si="302"/>
        <v>0</v>
      </c>
      <c r="P131" s="599">
        <f t="shared" si="302"/>
        <v>0</v>
      </c>
      <c r="Q131" s="599">
        <f t="shared" si="302"/>
        <v>0</v>
      </c>
      <c r="R131" s="599">
        <f t="shared" si="302"/>
        <v>0</v>
      </c>
      <c r="S131" s="599">
        <f t="shared" si="302"/>
        <v>0</v>
      </c>
      <c r="T131" s="599">
        <f t="shared" si="302"/>
        <v>0</v>
      </c>
      <c r="U131" s="599">
        <f t="shared" si="302"/>
        <v>0</v>
      </c>
      <c r="V131" s="599">
        <f t="shared" si="302"/>
        <v>0</v>
      </c>
      <c r="W131" s="599">
        <f t="shared" si="302"/>
        <v>0</v>
      </c>
      <c r="X131" s="599">
        <f t="shared" si="302"/>
        <v>0</v>
      </c>
      <c r="Y131" s="599">
        <f t="shared" si="302"/>
        <v>0</v>
      </c>
      <c r="Z131" s="599">
        <f t="shared" si="302"/>
        <v>0</v>
      </c>
      <c r="AA131" s="599">
        <f t="shared" si="302"/>
        <v>0</v>
      </c>
      <c r="AB131" s="599">
        <f t="shared" si="302"/>
        <v>0</v>
      </c>
      <c r="AC131" s="599">
        <f t="shared" si="302"/>
        <v>0</v>
      </c>
      <c r="AD131" s="599">
        <f t="shared" si="302"/>
        <v>0</v>
      </c>
      <c r="AE131" s="599">
        <f t="shared" si="302"/>
        <v>0</v>
      </c>
      <c r="AF131" s="599">
        <f t="shared" si="302"/>
        <v>0</v>
      </c>
      <c r="AG131" s="599">
        <f t="shared" si="302"/>
        <v>0</v>
      </c>
      <c r="AH131" s="599">
        <f t="shared" si="302"/>
        <v>0</v>
      </c>
      <c r="AI131" s="599">
        <f t="shared" si="302"/>
        <v>0</v>
      </c>
      <c r="AJ131" s="599">
        <f t="shared" si="302"/>
        <v>0</v>
      </c>
      <c r="AK131" s="599">
        <f t="shared" si="302"/>
        <v>0</v>
      </c>
      <c r="AL131" s="599">
        <f t="shared" si="302"/>
        <v>0</v>
      </c>
    </row>
    <row r="132" spans="1:38" ht="12" customHeight="1" x14ac:dyDescent="0.2">
      <c r="A132" s="590" t="s">
        <v>224</v>
      </c>
      <c r="B132" s="591">
        <f>B114+B96+B78</f>
        <v>0</v>
      </c>
      <c r="C132" s="591">
        <f t="shared" ref="C132:AL132" si="303">C114+C96+C78</f>
        <v>0</v>
      </c>
      <c r="D132" s="591">
        <f t="shared" si="303"/>
        <v>0</v>
      </c>
      <c r="E132" s="591">
        <f t="shared" si="303"/>
        <v>0</v>
      </c>
      <c r="F132" s="591">
        <f t="shared" si="303"/>
        <v>0</v>
      </c>
      <c r="G132" s="591">
        <f t="shared" si="303"/>
        <v>0</v>
      </c>
      <c r="H132" s="591">
        <f t="shared" si="303"/>
        <v>0</v>
      </c>
      <c r="I132" s="591">
        <f t="shared" si="303"/>
        <v>0</v>
      </c>
      <c r="J132" s="591">
        <f t="shared" si="303"/>
        <v>0</v>
      </c>
      <c r="K132" s="591">
        <f t="shared" si="303"/>
        <v>0</v>
      </c>
      <c r="L132" s="591">
        <f t="shared" si="303"/>
        <v>0</v>
      </c>
      <c r="M132" s="591">
        <f t="shared" si="303"/>
        <v>0</v>
      </c>
      <c r="N132" s="591">
        <f>N114+N96+N78</f>
        <v>0</v>
      </c>
      <c r="O132" s="591">
        <f t="shared" si="303"/>
        <v>0</v>
      </c>
      <c r="P132" s="591">
        <f t="shared" si="303"/>
        <v>0</v>
      </c>
      <c r="Q132" s="591">
        <f t="shared" si="303"/>
        <v>0</v>
      </c>
      <c r="R132" s="591">
        <f t="shared" si="303"/>
        <v>0</v>
      </c>
      <c r="S132" s="591">
        <f t="shared" si="303"/>
        <v>0</v>
      </c>
      <c r="T132" s="591">
        <f t="shared" si="303"/>
        <v>0</v>
      </c>
      <c r="U132" s="591">
        <f t="shared" si="303"/>
        <v>0</v>
      </c>
      <c r="V132" s="591">
        <f t="shared" si="303"/>
        <v>0</v>
      </c>
      <c r="W132" s="591">
        <f t="shared" si="303"/>
        <v>0</v>
      </c>
      <c r="X132" s="591">
        <f t="shared" si="303"/>
        <v>0</v>
      </c>
      <c r="Y132" s="591">
        <f t="shared" si="303"/>
        <v>0</v>
      </c>
      <c r="Z132" s="591">
        <f t="shared" si="303"/>
        <v>0</v>
      </c>
      <c r="AA132" s="591">
        <f t="shared" si="303"/>
        <v>0</v>
      </c>
      <c r="AB132" s="591">
        <f t="shared" si="303"/>
        <v>0</v>
      </c>
      <c r="AC132" s="591">
        <f t="shared" si="303"/>
        <v>0</v>
      </c>
      <c r="AD132" s="591">
        <f t="shared" si="303"/>
        <v>0</v>
      </c>
      <c r="AE132" s="591">
        <f t="shared" si="303"/>
        <v>0</v>
      </c>
      <c r="AF132" s="591">
        <f t="shared" si="303"/>
        <v>0</v>
      </c>
      <c r="AG132" s="591">
        <f t="shared" si="303"/>
        <v>0</v>
      </c>
      <c r="AH132" s="591">
        <f t="shared" si="303"/>
        <v>0</v>
      </c>
      <c r="AI132" s="591">
        <f t="shared" si="303"/>
        <v>0</v>
      </c>
      <c r="AJ132" s="591">
        <f t="shared" si="303"/>
        <v>0</v>
      </c>
      <c r="AK132" s="591">
        <f t="shared" si="303"/>
        <v>0</v>
      </c>
      <c r="AL132" s="591">
        <f t="shared" si="303"/>
        <v>0</v>
      </c>
    </row>
    <row r="133" spans="1:38" ht="12" customHeight="1" x14ac:dyDescent="0.2">
      <c r="A133" s="590" t="s">
        <v>226</v>
      </c>
      <c r="B133" s="591">
        <f>B117+B99+B81</f>
        <v>0</v>
      </c>
      <c r="C133" s="591">
        <f t="shared" ref="C133:AL133" si="304">C117+C99+C81</f>
        <v>0</v>
      </c>
      <c r="D133" s="591">
        <f t="shared" si="304"/>
        <v>0</v>
      </c>
      <c r="E133" s="591">
        <f t="shared" si="304"/>
        <v>0</v>
      </c>
      <c r="F133" s="591">
        <f t="shared" si="304"/>
        <v>0</v>
      </c>
      <c r="G133" s="591">
        <f t="shared" si="304"/>
        <v>0</v>
      </c>
      <c r="H133" s="591">
        <f t="shared" si="304"/>
        <v>0</v>
      </c>
      <c r="I133" s="591">
        <f t="shared" si="304"/>
        <v>0</v>
      </c>
      <c r="J133" s="591">
        <f t="shared" si="304"/>
        <v>0</v>
      </c>
      <c r="K133" s="591">
        <f t="shared" si="304"/>
        <v>0</v>
      </c>
      <c r="L133" s="591">
        <f t="shared" si="304"/>
        <v>0</v>
      </c>
      <c r="M133" s="591">
        <f t="shared" si="304"/>
        <v>0</v>
      </c>
      <c r="N133" s="591">
        <f t="shared" si="304"/>
        <v>0</v>
      </c>
      <c r="O133" s="591">
        <f t="shared" si="304"/>
        <v>0</v>
      </c>
      <c r="P133" s="591">
        <f t="shared" si="304"/>
        <v>0</v>
      </c>
      <c r="Q133" s="591">
        <f t="shared" si="304"/>
        <v>0</v>
      </c>
      <c r="R133" s="591">
        <f t="shared" si="304"/>
        <v>0</v>
      </c>
      <c r="S133" s="591">
        <f t="shared" si="304"/>
        <v>0</v>
      </c>
      <c r="T133" s="591">
        <f t="shared" si="304"/>
        <v>0</v>
      </c>
      <c r="U133" s="591">
        <f t="shared" si="304"/>
        <v>0</v>
      </c>
      <c r="V133" s="591">
        <f t="shared" si="304"/>
        <v>0</v>
      </c>
      <c r="W133" s="591">
        <f t="shared" si="304"/>
        <v>0</v>
      </c>
      <c r="X133" s="591">
        <f t="shared" si="304"/>
        <v>0</v>
      </c>
      <c r="Y133" s="591">
        <f t="shared" si="304"/>
        <v>0</v>
      </c>
      <c r="Z133" s="591">
        <f t="shared" si="304"/>
        <v>0</v>
      </c>
      <c r="AA133" s="591">
        <f t="shared" si="304"/>
        <v>0</v>
      </c>
      <c r="AB133" s="591">
        <f t="shared" si="304"/>
        <v>0</v>
      </c>
      <c r="AC133" s="591">
        <f t="shared" si="304"/>
        <v>0</v>
      </c>
      <c r="AD133" s="591">
        <f t="shared" si="304"/>
        <v>0</v>
      </c>
      <c r="AE133" s="591">
        <f t="shared" si="304"/>
        <v>0</v>
      </c>
      <c r="AF133" s="591">
        <f t="shared" si="304"/>
        <v>0</v>
      </c>
      <c r="AG133" s="591">
        <f t="shared" si="304"/>
        <v>0</v>
      </c>
      <c r="AH133" s="591">
        <f t="shared" si="304"/>
        <v>0</v>
      </c>
      <c r="AI133" s="591">
        <f t="shared" si="304"/>
        <v>0</v>
      </c>
      <c r="AJ133" s="591">
        <f t="shared" si="304"/>
        <v>0</v>
      </c>
      <c r="AK133" s="591">
        <f t="shared" si="304"/>
        <v>0</v>
      </c>
      <c r="AL133" s="591">
        <f t="shared" si="304"/>
        <v>0</v>
      </c>
    </row>
    <row r="134" spans="1:38" x14ac:dyDescent="0.2">
      <c r="A134" s="592" t="s">
        <v>225</v>
      </c>
      <c r="B134" s="594">
        <f>B118+B100+B82</f>
        <v>0</v>
      </c>
      <c r="C134" s="204"/>
      <c r="D134" s="205"/>
      <c r="E134" s="205"/>
      <c r="F134" s="205"/>
      <c r="G134" s="205"/>
      <c r="H134" s="205"/>
      <c r="I134" s="205"/>
      <c r="J134" s="205"/>
      <c r="K134" s="205"/>
      <c r="L134" s="205"/>
      <c r="M134" s="205"/>
      <c r="N134" s="593">
        <f>N118+N100+N82</f>
        <v>0</v>
      </c>
      <c r="O134" s="205"/>
      <c r="P134" s="93"/>
      <c r="Z134" s="520">
        <f>Z118+Z100+Z82</f>
        <v>0</v>
      </c>
      <c r="AL134" s="152"/>
    </row>
    <row r="135" spans="1:38" x14ac:dyDescent="0.2">
      <c r="A135" s="556" t="s">
        <v>181</v>
      </c>
      <c r="B135" s="66"/>
      <c r="C135" s="521">
        <f>C119+C101+C83</f>
        <v>0</v>
      </c>
      <c r="D135" s="205"/>
      <c r="E135" s="205"/>
      <c r="F135" s="205"/>
      <c r="G135" s="205"/>
      <c r="H135" s="205"/>
      <c r="I135" s="205"/>
      <c r="J135" s="205"/>
      <c r="K135" s="205"/>
      <c r="L135" s="205"/>
      <c r="M135" s="205"/>
      <c r="O135" s="522">
        <f>O119+O101+O83</f>
        <v>0</v>
      </c>
      <c r="P135" s="93"/>
      <c r="AA135" s="522">
        <f>AA119+AA101+AA83</f>
        <v>0</v>
      </c>
      <c r="AB135" s="93"/>
      <c r="AL135" s="152"/>
    </row>
    <row r="136" spans="1:38" x14ac:dyDescent="0.2">
      <c r="A136" s="557" t="s">
        <v>192</v>
      </c>
      <c r="B136" s="52"/>
      <c r="C136" s="52"/>
      <c r="D136" s="523">
        <f>D120+D102+D84</f>
        <v>0</v>
      </c>
      <c r="E136" s="511"/>
      <c r="F136" s="511"/>
      <c r="G136" s="511"/>
      <c r="H136" s="511"/>
      <c r="I136" s="511"/>
      <c r="J136" s="511"/>
      <c r="K136" s="511"/>
      <c r="L136" s="511"/>
      <c r="M136" s="511"/>
      <c r="N136" s="511"/>
      <c r="O136" s="205"/>
      <c r="P136" s="524">
        <f>P120+P102+P84</f>
        <v>0</v>
      </c>
      <c r="AA136" s="205"/>
      <c r="AB136" s="524">
        <f>AB120+AB102+AB84</f>
        <v>0</v>
      </c>
      <c r="AL136" s="152"/>
    </row>
    <row r="137" spans="1:38" x14ac:dyDescent="0.2">
      <c r="A137" s="558" t="s">
        <v>191</v>
      </c>
      <c r="B137" s="66"/>
      <c r="C137" s="204"/>
      <c r="D137" s="511"/>
      <c r="E137" s="526">
        <f>E121+E103+E85</f>
        <v>0</v>
      </c>
      <c r="F137" s="511"/>
      <c r="G137" s="511"/>
      <c r="H137" s="511"/>
      <c r="I137" s="511"/>
      <c r="J137" s="511"/>
      <c r="K137" s="511"/>
      <c r="L137" s="511"/>
      <c r="M137" s="511"/>
      <c r="N137" s="511"/>
      <c r="O137" s="205"/>
      <c r="P137" s="93"/>
      <c r="Q137" s="525">
        <f>Q121+Q103+Q85</f>
        <v>0</v>
      </c>
      <c r="AA137" s="205"/>
      <c r="AB137" s="93"/>
      <c r="AC137" s="525">
        <f>AC121+AC103+AC85</f>
        <v>0</v>
      </c>
      <c r="AL137" s="152"/>
    </row>
    <row r="138" spans="1:38" x14ac:dyDescent="0.2">
      <c r="A138" s="559" t="s">
        <v>182</v>
      </c>
      <c r="B138" s="66"/>
      <c r="C138" s="204"/>
      <c r="D138" s="511"/>
      <c r="E138" s="511"/>
      <c r="F138" s="527">
        <f>F122+F104+F86</f>
        <v>0</v>
      </c>
      <c r="G138" s="511"/>
      <c r="H138" s="511"/>
      <c r="I138" s="511"/>
      <c r="J138" s="511"/>
      <c r="K138" s="511"/>
      <c r="L138" s="511"/>
      <c r="M138" s="511"/>
      <c r="N138" s="511"/>
      <c r="O138" s="205"/>
      <c r="P138" s="93"/>
      <c r="R138" s="528">
        <f>R122+R104+R86</f>
        <v>0</v>
      </c>
      <c r="AA138" s="205"/>
      <c r="AB138" s="93"/>
      <c r="AD138" s="528">
        <f>AD122+AD104+AD86</f>
        <v>0</v>
      </c>
      <c r="AL138" s="152"/>
    </row>
    <row r="139" spans="1:38" x14ac:dyDescent="0.2">
      <c r="A139" s="560" t="s">
        <v>183</v>
      </c>
      <c r="B139" s="52"/>
      <c r="C139" s="52"/>
      <c r="D139" s="511"/>
      <c r="E139" s="511"/>
      <c r="F139" s="511"/>
      <c r="G139" s="530">
        <f>G123+G105+G87</f>
        <v>0</v>
      </c>
      <c r="H139" s="511"/>
      <c r="I139" s="511"/>
      <c r="J139" s="511"/>
      <c r="K139" s="511"/>
      <c r="L139" s="511"/>
      <c r="M139" s="511"/>
      <c r="N139" s="511"/>
      <c r="O139" s="205"/>
      <c r="P139" s="93"/>
      <c r="S139" s="529">
        <f>S123+S105+S87</f>
        <v>0</v>
      </c>
      <c r="AA139" s="205"/>
      <c r="AB139" s="93"/>
      <c r="AE139" s="529">
        <f>AE123+AE105+AE87</f>
        <v>0</v>
      </c>
      <c r="AL139" s="152"/>
    </row>
    <row r="140" spans="1:38" x14ac:dyDescent="0.2">
      <c r="A140" s="560" t="s">
        <v>184</v>
      </c>
      <c r="B140" s="66"/>
      <c r="C140" s="204"/>
      <c r="D140" s="511"/>
      <c r="E140" s="511"/>
      <c r="F140" s="511"/>
      <c r="G140" s="511"/>
      <c r="H140" s="531">
        <f>H124+H106+H88</f>
        <v>0</v>
      </c>
      <c r="I140" s="511"/>
      <c r="J140" s="511"/>
      <c r="K140" s="511"/>
      <c r="L140" s="511"/>
      <c r="M140" s="511"/>
      <c r="N140" s="511"/>
      <c r="O140" s="205"/>
      <c r="P140" s="93"/>
      <c r="T140" s="532">
        <f>T124+T106+T88</f>
        <v>0</v>
      </c>
      <c r="AA140" s="205"/>
      <c r="AB140" s="93"/>
      <c r="AF140" s="532">
        <f>AF124+AF106+AF88</f>
        <v>0</v>
      </c>
      <c r="AL140" s="152"/>
    </row>
    <row r="141" spans="1:38" x14ac:dyDescent="0.2">
      <c r="A141" s="561" t="s">
        <v>185</v>
      </c>
      <c r="B141" s="52"/>
      <c r="C141" s="52"/>
      <c r="D141" s="511"/>
      <c r="E141" s="511"/>
      <c r="F141" s="511"/>
      <c r="G141" s="511"/>
      <c r="H141" s="511"/>
      <c r="I141" s="537">
        <f>I125+I107+I89</f>
        <v>0</v>
      </c>
      <c r="J141" s="511"/>
      <c r="K141" s="511"/>
      <c r="L141" s="511"/>
      <c r="M141" s="511"/>
      <c r="N141" s="511"/>
      <c r="O141" s="205"/>
      <c r="P141" s="93"/>
      <c r="U141" s="533">
        <f>U125+U107+U89</f>
        <v>0</v>
      </c>
      <c r="AA141" s="205"/>
      <c r="AB141" s="93"/>
      <c r="AG141" s="533">
        <f>AG125+AG107+AG89</f>
        <v>0</v>
      </c>
      <c r="AL141" s="152"/>
    </row>
    <row r="142" spans="1:38" x14ac:dyDescent="0.2">
      <c r="A142" s="562" t="s">
        <v>186</v>
      </c>
      <c r="B142" s="66"/>
      <c r="C142" s="204"/>
      <c r="D142" s="511"/>
      <c r="E142" s="511"/>
      <c r="F142" s="511"/>
      <c r="G142" s="511"/>
      <c r="H142" s="511"/>
      <c r="I142" s="511"/>
      <c r="J142" s="538">
        <f>J126+J108+J90</f>
        <v>0</v>
      </c>
      <c r="K142" s="511"/>
      <c r="L142" s="511"/>
      <c r="M142" s="511"/>
      <c r="N142" s="511"/>
      <c r="O142" s="205"/>
      <c r="P142" s="93"/>
      <c r="V142" s="534">
        <f>V126+V108+V90</f>
        <v>0</v>
      </c>
      <c r="AA142" s="205"/>
      <c r="AB142" s="93"/>
      <c r="AH142" s="534">
        <f>AH126+AH108+AH90</f>
        <v>0</v>
      </c>
      <c r="AL142" s="152"/>
    </row>
    <row r="143" spans="1:38" x14ac:dyDescent="0.2">
      <c r="A143" s="563" t="s">
        <v>187</v>
      </c>
      <c r="B143" s="52"/>
      <c r="C143" s="52"/>
      <c r="D143" s="511"/>
      <c r="E143" s="511"/>
      <c r="F143" s="511"/>
      <c r="G143" s="511"/>
      <c r="H143" s="511"/>
      <c r="I143" s="511"/>
      <c r="J143" s="511"/>
      <c r="K143" s="539">
        <f>K127+K109+K91</f>
        <v>0</v>
      </c>
      <c r="L143" s="511"/>
      <c r="M143" s="511"/>
      <c r="N143" s="511"/>
      <c r="O143" s="205"/>
      <c r="P143" s="93"/>
      <c r="W143" s="535">
        <f>W127+W109+W91</f>
        <v>0</v>
      </c>
      <c r="AA143" s="205"/>
      <c r="AB143" s="93"/>
      <c r="AI143" s="535">
        <f>AI127+AI109+AI91</f>
        <v>0</v>
      </c>
      <c r="AL143" s="152"/>
    </row>
    <row r="144" spans="1:38" x14ac:dyDescent="0.2">
      <c r="A144" s="564" t="s">
        <v>188</v>
      </c>
      <c r="B144" s="66"/>
      <c r="C144" s="204"/>
      <c r="D144" s="511"/>
      <c r="E144" s="511"/>
      <c r="F144" s="511"/>
      <c r="G144" s="511"/>
      <c r="H144" s="511"/>
      <c r="I144" s="511"/>
      <c r="J144" s="511"/>
      <c r="K144" s="511"/>
      <c r="L144" s="540">
        <f>L128+L110+L92</f>
        <v>0</v>
      </c>
      <c r="M144" s="511"/>
      <c r="N144" s="511"/>
      <c r="O144" s="205"/>
      <c r="P144" s="93"/>
      <c r="X144" s="536">
        <f>X128+X110+X92</f>
        <v>0</v>
      </c>
      <c r="AA144" s="205"/>
      <c r="AB144" s="93"/>
      <c r="AJ144" s="536">
        <f>AJ128+AJ110+AJ92</f>
        <v>0</v>
      </c>
      <c r="AL144" s="152"/>
    </row>
    <row r="145" spans="1:38" x14ac:dyDescent="0.2">
      <c r="A145" s="565" t="s">
        <v>189</v>
      </c>
      <c r="B145" s="52"/>
      <c r="C145" s="52"/>
      <c r="D145" s="511"/>
      <c r="E145" s="511"/>
      <c r="F145" s="511"/>
      <c r="G145" s="511"/>
      <c r="H145" s="511"/>
      <c r="I145" s="511"/>
      <c r="J145" s="511"/>
      <c r="K145" s="511"/>
      <c r="L145" s="511"/>
      <c r="M145" s="542">
        <f>M129+M111+M93</f>
        <v>0</v>
      </c>
      <c r="N145" s="511"/>
      <c r="O145" s="205"/>
      <c r="P145" s="93"/>
      <c r="Y145" s="541">
        <f>Y129+Y111+Y93</f>
        <v>0</v>
      </c>
      <c r="AA145" s="205"/>
      <c r="AB145" s="93"/>
      <c r="AK145" s="541">
        <f>AK129+AK111+AK93</f>
        <v>0</v>
      </c>
      <c r="AL145" s="152"/>
    </row>
    <row r="146" spans="1:38" ht="13.5" thickBot="1" x14ac:dyDescent="0.25">
      <c r="A146" s="566" t="s">
        <v>190</v>
      </c>
      <c r="B146" s="567"/>
      <c r="C146" s="207"/>
      <c r="D146" s="568"/>
      <c r="E146" s="568"/>
      <c r="F146" s="568"/>
      <c r="G146" s="568"/>
      <c r="H146" s="568"/>
      <c r="I146" s="568"/>
      <c r="J146" s="568"/>
      <c r="K146" s="568"/>
      <c r="L146" s="568"/>
      <c r="M146" s="568"/>
      <c r="N146" s="569">
        <f>N130+N112+N94</f>
        <v>0</v>
      </c>
      <c r="O146" s="303"/>
      <c r="P146" s="570"/>
      <c r="Q146" s="160"/>
      <c r="R146" s="160"/>
      <c r="S146" s="160"/>
      <c r="T146" s="160"/>
      <c r="U146" s="160"/>
      <c r="V146" s="160"/>
      <c r="W146" s="160"/>
      <c r="X146" s="160"/>
      <c r="Y146" s="160"/>
      <c r="Z146" s="571">
        <f>Z130+Z112+Z94</f>
        <v>0</v>
      </c>
      <c r="AA146" s="303"/>
      <c r="AB146" s="570"/>
      <c r="AC146" s="160"/>
      <c r="AD146" s="160"/>
      <c r="AE146" s="160"/>
      <c r="AF146" s="160"/>
      <c r="AG146" s="160"/>
      <c r="AH146" s="160"/>
      <c r="AI146" s="160"/>
      <c r="AJ146" s="160"/>
      <c r="AK146" s="160"/>
      <c r="AL146" s="571">
        <f>AL130+AL112+AL94</f>
        <v>0</v>
      </c>
    </row>
    <row r="147" spans="1:38" x14ac:dyDescent="0.2">
      <c r="A147" s="619" t="s">
        <v>508</v>
      </c>
      <c r="B147" s="620"/>
      <c r="C147" s="621"/>
      <c r="D147" s="622"/>
      <c r="E147" s="622"/>
      <c r="F147" s="622"/>
      <c r="G147" s="622"/>
      <c r="H147" s="622"/>
      <c r="I147" s="622"/>
      <c r="J147" s="622"/>
      <c r="K147" s="622"/>
      <c r="L147" s="622"/>
      <c r="M147" s="622"/>
      <c r="N147" s="622"/>
      <c r="O147" s="622"/>
      <c r="P147" s="622"/>
      <c r="Q147" s="623"/>
      <c r="R147" s="623"/>
      <c r="S147" s="623"/>
      <c r="T147" s="623"/>
      <c r="U147" s="623"/>
      <c r="V147" s="623"/>
      <c r="W147" s="623"/>
      <c r="X147" s="623"/>
      <c r="Y147" s="623"/>
      <c r="Z147" s="623"/>
      <c r="AA147" s="623"/>
      <c r="AB147" s="623"/>
      <c r="AC147" s="623"/>
      <c r="AD147" s="623"/>
      <c r="AE147" s="623"/>
      <c r="AF147" s="623"/>
      <c r="AG147" s="623"/>
      <c r="AH147" s="623"/>
      <c r="AI147" s="623"/>
      <c r="AJ147" s="623"/>
      <c r="AK147" s="623"/>
      <c r="AL147" s="623"/>
    </row>
    <row r="148" spans="1:38" x14ac:dyDescent="0.2">
      <c r="A148" s="624" t="s">
        <v>509</v>
      </c>
      <c r="B148" s="576">
        <f>B$132+B134</f>
        <v>0</v>
      </c>
      <c r="C148" s="204"/>
      <c r="D148" s="205"/>
      <c r="E148" s="205"/>
      <c r="F148" s="205"/>
      <c r="G148" s="205"/>
      <c r="H148" s="205"/>
      <c r="I148" s="205"/>
      <c r="J148" s="205"/>
      <c r="K148" s="205"/>
      <c r="L148" s="205"/>
      <c r="M148" s="205"/>
      <c r="N148" s="576">
        <f>N$132+N134+H132</f>
        <v>0</v>
      </c>
      <c r="O148" s="205"/>
      <c r="P148" s="93"/>
      <c r="Z148" s="576">
        <f>Z$132+Z134</f>
        <v>0</v>
      </c>
      <c r="AL148" s="152"/>
    </row>
    <row r="149" spans="1:38" x14ac:dyDescent="0.2">
      <c r="A149" s="556" t="s">
        <v>181</v>
      </c>
      <c r="B149" s="625"/>
      <c r="C149" s="576">
        <f>C$132+C135+B$132</f>
        <v>0</v>
      </c>
      <c r="D149" s="205"/>
      <c r="E149" s="205"/>
      <c r="F149" s="205"/>
      <c r="G149" s="205"/>
      <c r="H149" s="205"/>
      <c r="I149" s="205"/>
      <c r="J149" s="205"/>
      <c r="K149" s="205"/>
      <c r="L149" s="205"/>
      <c r="M149" s="205"/>
      <c r="O149" s="576">
        <f>O$132+O135+N$132+H132</f>
        <v>0</v>
      </c>
      <c r="P149" s="205"/>
      <c r="Q149" s="205"/>
      <c r="R149" s="205"/>
      <c r="S149" s="205"/>
      <c r="T149" s="205"/>
      <c r="U149" s="205"/>
      <c r="V149" s="205"/>
      <c r="W149" s="205"/>
      <c r="X149" s="205"/>
      <c r="Y149" s="205"/>
      <c r="AA149" s="576">
        <f>AA$132+AA135+Z$132</f>
        <v>0</v>
      </c>
      <c r="AB149" s="205"/>
      <c r="AC149" s="205"/>
      <c r="AD149" s="205"/>
      <c r="AE149" s="205"/>
      <c r="AF149" s="205"/>
      <c r="AG149" s="205"/>
      <c r="AH149" s="205"/>
      <c r="AI149" s="205"/>
      <c r="AJ149" s="205"/>
      <c r="AK149" s="205"/>
      <c r="AL149" s="152"/>
    </row>
    <row r="150" spans="1:38" x14ac:dyDescent="0.2">
      <c r="A150" s="557" t="s">
        <v>192</v>
      </c>
      <c r="B150" s="52"/>
      <c r="C150" s="52"/>
      <c r="D150" s="576">
        <f>D$132+D136+C$132+B$132</f>
        <v>0</v>
      </c>
      <c r="E150" s="511"/>
      <c r="F150" s="511"/>
      <c r="G150" s="511"/>
      <c r="H150" s="511"/>
      <c r="I150" s="511"/>
      <c r="J150" s="511"/>
      <c r="K150" s="511"/>
      <c r="L150" s="511"/>
      <c r="M150" s="511"/>
      <c r="N150" s="511"/>
      <c r="O150" s="52"/>
      <c r="P150" s="576">
        <f>P$132+P136+O$132+N$132+H132</f>
        <v>0</v>
      </c>
      <c r="Q150" s="511"/>
      <c r="R150" s="511"/>
      <c r="S150" s="511"/>
      <c r="T150" s="511"/>
      <c r="U150" s="511"/>
      <c r="V150" s="511"/>
      <c r="W150" s="511"/>
      <c r="X150" s="511"/>
      <c r="Y150" s="511"/>
      <c r="Z150" s="511"/>
      <c r="AA150" s="52"/>
      <c r="AB150" s="576">
        <f>AB$132+AB136+AA$132+Z$132</f>
        <v>0</v>
      </c>
      <c r="AC150" s="511"/>
      <c r="AD150" s="511"/>
      <c r="AE150" s="511"/>
      <c r="AF150" s="511"/>
      <c r="AG150" s="511"/>
      <c r="AH150" s="511"/>
      <c r="AI150" s="511"/>
      <c r="AJ150" s="511"/>
      <c r="AK150" s="511"/>
      <c r="AL150" s="626"/>
    </row>
    <row r="151" spans="1:38" x14ac:dyDescent="0.2">
      <c r="A151" s="558" t="s">
        <v>191</v>
      </c>
      <c r="B151" s="625"/>
      <c r="C151" s="204"/>
      <c r="D151" s="511"/>
      <c r="E151" s="576">
        <f>E$132+E137+D$132+C$132+B132</f>
        <v>0</v>
      </c>
      <c r="F151" s="511"/>
      <c r="G151" s="511"/>
      <c r="H151" s="511"/>
      <c r="I151" s="511"/>
      <c r="J151" s="511"/>
      <c r="K151" s="511"/>
      <c r="L151" s="511"/>
      <c r="M151" s="511"/>
      <c r="N151" s="511"/>
      <c r="O151" s="204"/>
      <c r="P151" s="511"/>
      <c r="Q151" s="576">
        <f>Q$132+Q137+P$132+O$132+N132+H132</f>
        <v>0</v>
      </c>
      <c r="R151" s="511"/>
      <c r="S151" s="511"/>
      <c r="T151" s="511"/>
      <c r="U151" s="511"/>
      <c r="V151" s="511"/>
      <c r="W151" s="511"/>
      <c r="X151" s="511"/>
      <c r="Y151" s="511"/>
      <c r="Z151" s="511"/>
      <c r="AA151" s="204"/>
      <c r="AB151" s="511"/>
      <c r="AC151" s="576">
        <f>AC$132+AC137+AB$132+AA$132+Z132</f>
        <v>0</v>
      </c>
      <c r="AD151" s="511"/>
      <c r="AE151" s="511"/>
      <c r="AF151" s="511"/>
      <c r="AG151" s="511"/>
      <c r="AH151" s="511"/>
      <c r="AI151" s="511"/>
      <c r="AJ151" s="511"/>
      <c r="AK151" s="511"/>
      <c r="AL151" s="626"/>
    </row>
    <row r="152" spans="1:38" x14ac:dyDescent="0.2">
      <c r="A152" s="559" t="s">
        <v>182</v>
      </c>
      <c r="B152" s="625"/>
      <c r="C152" s="204"/>
      <c r="D152" s="511"/>
      <c r="E152" s="511"/>
      <c r="F152" s="576">
        <f>F$132+F138+E$132+D$132+B132+C132</f>
        <v>0</v>
      </c>
      <c r="G152" s="511"/>
      <c r="H152" s="511"/>
      <c r="I152" s="511"/>
      <c r="J152" s="511"/>
      <c r="K152" s="511"/>
      <c r="L152" s="511"/>
      <c r="M152" s="511"/>
      <c r="N152" s="511"/>
      <c r="O152" s="204"/>
      <c r="P152" s="511"/>
      <c r="Q152" s="511"/>
      <c r="R152" s="576">
        <f>R$132+R138+Q$132+P$132+N132+O132</f>
        <v>0</v>
      </c>
      <c r="S152" s="511"/>
      <c r="T152" s="511"/>
      <c r="U152" s="511"/>
      <c r="V152" s="511"/>
      <c r="W152" s="511"/>
      <c r="X152" s="511"/>
      <c r="Y152" s="511"/>
      <c r="Z152" s="511"/>
      <c r="AA152" s="204"/>
      <c r="AB152" s="511"/>
      <c r="AC152" s="511"/>
      <c r="AD152" s="576">
        <f>AD$132+AD138+AC$132+AB$132+Z132+AA132</f>
        <v>0</v>
      </c>
      <c r="AE152" s="511"/>
      <c r="AF152" s="511"/>
      <c r="AG152" s="511"/>
      <c r="AH152" s="511"/>
      <c r="AI152" s="511"/>
      <c r="AJ152" s="511"/>
      <c r="AK152" s="511"/>
      <c r="AL152" s="626"/>
    </row>
    <row r="153" spans="1:38" x14ac:dyDescent="0.2">
      <c r="A153" s="560" t="s">
        <v>183</v>
      </c>
      <c r="B153" s="52"/>
      <c r="C153" s="52"/>
      <c r="D153" s="511"/>
      <c r="E153" s="511"/>
      <c r="F153" s="511"/>
      <c r="G153" s="576">
        <f>G$132+G139+F$132+E$132+B132+C132+D132</f>
        <v>0</v>
      </c>
      <c r="H153" s="511"/>
      <c r="I153" s="511"/>
      <c r="J153" s="511"/>
      <c r="K153" s="511"/>
      <c r="L153" s="511"/>
      <c r="M153" s="511"/>
      <c r="N153" s="511"/>
      <c r="O153" s="52"/>
      <c r="P153" s="511"/>
      <c r="Q153" s="511"/>
      <c r="R153" s="511"/>
      <c r="S153" s="576">
        <f>S$132+S139+R$132+Q$132+N132+O132+P132+H132</f>
        <v>0</v>
      </c>
      <c r="T153" s="511"/>
      <c r="U153" s="511"/>
      <c r="V153" s="511"/>
      <c r="W153" s="511"/>
      <c r="X153" s="511"/>
      <c r="Y153" s="511"/>
      <c r="Z153" s="511"/>
      <c r="AA153" s="52"/>
      <c r="AB153" s="511"/>
      <c r="AC153" s="511"/>
      <c r="AD153" s="511"/>
      <c r="AE153" s="576">
        <f>AE$132+AE139+AD$132+AC$132+Z132+AA132+AB132</f>
        <v>0</v>
      </c>
      <c r="AF153" s="511"/>
      <c r="AG153" s="511"/>
      <c r="AH153" s="511"/>
      <c r="AI153" s="511"/>
      <c r="AJ153" s="511"/>
      <c r="AK153" s="511"/>
      <c r="AL153" s="626"/>
    </row>
    <row r="154" spans="1:38" x14ac:dyDescent="0.2">
      <c r="A154" s="560" t="s">
        <v>184</v>
      </c>
      <c r="B154" s="625"/>
      <c r="C154" s="204"/>
      <c r="D154" s="511"/>
      <c r="E154" s="511"/>
      <c r="F154" s="511"/>
      <c r="G154" s="511"/>
      <c r="H154" s="576">
        <f>H$132+H140+G$132+F$132+B132+C132+D132+E132</f>
        <v>0</v>
      </c>
      <c r="I154" s="511"/>
      <c r="J154" s="511"/>
      <c r="K154" s="511"/>
      <c r="L154" s="511"/>
      <c r="M154" s="511"/>
      <c r="N154" s="511"/>
      <c r="O154" s="204"/>
      <c r="P154" s="511"/>
      <c r="Q154" s="511"/>
      <c r="R154" s="511"/>
      <c r="S154" s="511"/>
      <c r="T154" s="576">
        <f>T$132+T140+S$132+R$132+N132+O132+P132+Q132</f>
        <v>0</v>
      </c>
      <c r="U154" s="511"/>
      <c r="V154" s="511"/>
      <c r="W154" s="511"/>
      <c r="X154" s="511"/>
      <c r="Y154" s="511"/>
      <c r="Z154" s="511"/>
      <c r="AA154" s="204"/>
      <c r="AB154" s="511"/>
      <c r="AC154" s="511"/>
      <c r="AD154" s="511"/>
      <c r="AE154" s="511"/>
      <c r="AF154" s="576">
        <f>AF$132+AF140+AE$132+AD$132+Z132+AA132+AB132+AC132</f>
        <v>0</v>
      </c>
      <c r="AG154" s="511"/>
      <c r="AH154" s="511"/>
      <c r="AI154" s="511"/>
      <c r="AJ154" s="511"/>
      <c r="AK154" s="511"/>
      <c r="AL154" s="626"/>
    </row>
    <row r="155" spans="1:38" x14ac:dyDescent="0.2">
      <c r="A155" s="561" t="s">
        <v>185</v>
      </c>
      <c r="B155" s="52"/>
      <c r="C155" s="52"/>
      <c r="D155" s="511"/>
      <c r="E155" s="511"/>
      <c r="F155" s="511"/>
      <c r="G155" s="511"/>
      <c r="H155" s="511"/>
      <c r="I155" s="576">
        <f>I$132+I141+H$132+G$132+F132+E132+D132+C132+B132</f>
        <v>0</v>
      </c>
      <c r="J155" s="511"/>
      <c r="K155" s="511"/>
      <c r="L155" s="511"/>
      <c r="M155" s="511"/>
      <c r="N155" s="511"/>
      <c r="O155" s="52"/>
      <c r="P155" s="511"/>
      <c r="Q155" s="511"/>
      <c r="R155" s="511"/>
      <c r="S155" s="511"/>
      <c r="T155" s="511"/>
      <c r="U155" s="576">
        <f>U$132+U141+T$132+S$132+R132+Q132+P132+O132+N132</f>
        <v>0</v>
      </c>
      <c r="V155" s="511"/>
      <c r="W155" s="511"/>
      <c r="X155" s="511"/>
      <c r="Y155" s="511"/>
      <c r="Z155" s="511"/>
      <c r="AA155" s="52"/>
      <c r="AB155" s="511"/>
      <c r="AC155" s="511"/>
      <c r="AD155" s="511"/>
      <c r="AE155" s="511"/>
      <c r="AF155" s="511"/>
      <c r="AG155" s="576">
        <f>AG$132+AG141+AF$132+AE$132+AD132+AC132+AB132+AA132+Z132</f>
        <v>0</v>
      </c>
      <c r="AH155" s="511"/>
      <c r="AI155" s="511"/>
      <c r="AJ155" s="511"/>
      <c r="AK155" s="511"/>
      <c r="AL155" s="626"/>
    </row>
    <row r="156" spans="1:38" x14ac:dyDescent="0.2">
      <c r="A156" s="562" t="s">
        <v>186</v>
      </c>
      <c r="B156" s="625"/>
      <c r="C156" s="204"/>
      <c r="D156" s="511"/>
      <c r="E156" s="511"/>
      <c r="F156" s="511"/>
      <c r="G156" s="511"/>
      <c r="H156" s="511"/>
      <c r="I156" s="511"/>
      <c r="J156" s="576">
        <f>J$132+J142+I$132+H$132++G132+F132+E132+D132+C132+B132</f>
        <v>0</v>
      </c>
      <c r="K156" s="511"/>
      <c r="L156" s="511"/>
      <c r="M156" s="511"/>
      <c r="N156" s="511"/>
      <c r="O156" s="204"/>
      <c r="P156" s="511"/>
      <c r="Q156" s="511"/>
      <c r="R156" s="511"/>
      <c r="S156" s="511"/>
      <c r="T156" s="511"/>
      <c r="U156" s="511"/>
      <c r="V156" s="576">
        <f>V$132+V142+U$132+T$132++S132+R132+Q132+P132+O132+N132</f>
        <v>0</v>
      </c>
      <c r="W156" s="511"/>
      <c r="X156" s="511"/>
      <c r="Y156" s="511"/>
      <c r="Z156" s="511"/>
      <c r="AA156" s="204"/>
      <c r="AB156" s="511"/>
      <c r="AC156" s="511"/>
      <c r="AD156" s="511"/>
      <c r="AE156" s="511"/>
      <c r="AF156" s="511"/>
      <c r="AG156" s="511"/>
      <c r="AH156" s="576">
        <f>AH$132+AH142+AG$132+AF$132++AE132+AD132+AC132+AB132+AA132+Z132</f>
        <v>0</v>
      </c>
      <c r="AI156" s="511"/>
      <c r="AJ156" s="511"/>
      <c r="AK156" s="511"/>
      <c r="AL156" s="626"/>
    </row>
    <row r="157" spans="1:38" x14ac:dyDescent="0.2">
      <c r="A157" s="563" t="s">
        <v>187</v>
      </c>
      <c r="B157" s="52"/>
      <c r="C157" s="52"/>
      <c r="D157" s="511"/>
      <c r="E157" s="511"/>
      <c r="F157" s="511"/>
      <c r="G157" s="511"/>
      <c r="H157" s="511"/>
      <c r="I157" s="511"/>
      <c r="J157" s="511"/>
      <c r="K157" s="576">
        <f>K$132+K143+J$132+I$132++B132+C132+D132+E132+F132+G132+H132</f>
        <v>0</v>
      </c>
      <c r="L157" s="511"/>
      <c r="M157" s="511"/>
      <c r="N157" s="511"/>
      <c r="O157" s="52"/>
      <c r="P157" s="511"/>
      <c r="Q157" s="511"/>
      <c r="R157" s="511"/>
      <c r="S157" s="511"/>
      <c r="T157" s="511"/>
      <c r="U157" s="511"/>
      <c r="V157" s="511"/>
      <c r="W157" s="576">
        <f>W$132+W143+V$132+U$132++N132+O132+P132+Q132+R132+S132+T132</f>
        <v>0</v>
      </c>
      <c r="X157" s="511"/>
      <c r="Y157" s="511"/>
      <c r="Z157" s="511"/>
      <c r="AA157" s="52"/>
      <c r="AB157" s="511"/>
      <c r="AC157" s="511"/>
      <c r="AD157" s="511"/>
      <c r="AE157" s="511"/>
      <c r="AF157" s="511"/>
      <c r="AG157" s="511"/>
      <c r="AH157" s="511"/>
      <c r="AI157" s="576">
        <f>AI$132+AI143+AH$132+AG$132++Z132+AA132+AB132+AC132+AD132+AE132+AF132</f>
        <v>0</v>
      </c>
      <c r="AJ157" s="511"/>
      <c r="AK157" s="511"/>
      <c r="AL157" s="626"/>
    </row>
    <row r="158" spans="1:38" x14ac:dyDescent="0.2">
      <c r="A158" s="564" t="s">
        <v>188</v>
      </c>
      <c r="B158" s="625"/>
      <c r="C158" s="204"/>
      <c r="D158" s="511"/>
      <c r="E158" s="511"/>
      <c r="F158" s="511"/>
      <c r="G158" s="511"/>
      <c r="H158" s="511"/>
      <c r="I158" s="511"/>
      <c r="J158" s="511"/>
      <c r="K158" s="511"/>
      <c r="L158" s="576">
        <f>L$132+L144+K$132+J$132+I132+H132+G132+F132+E132+D132+C132+B132</f>
        <v>0</v>
      </c>
      <c r="M158" s="511"/>
      <c r="N158" s="511"/>
      <c r="O158" s="204"/>
      <c r="P158" s="511"/>
      <c r="Q158" s="511"/>
      <c r="R158" s="511"/>
      <c r="S158" s="511"/>
      <c r="T158" s="511"/>
      <c r="U158" s="511"/>
      <c r="V158" s="511"/>
      <c r="W158" s="511"/>
      <c r="X158" s="576">
        <f>X$132+X144+W$132+V$132+U132+T132+S132+R132+Q132+P132+O132+N132</f>
        <v>0</v>
      </c>
      <c r="Y158" s="511"/>
      <c r="Z158" s="511"/>
      <c r="AA158" s="204"/>
      <c r="AB158" s="511"/>
      <c r="AC158" s="511"/>
      <c r="AD158" s="511"/>
      <c r="AE158" s="511"/>
      <c r="AF158" s="511"/>
      <c r="AG158" s="511"/>
      <c r="AH158" s="511"/>
      <c r="AI158" s="511"/>
      <c r="AJ158" s="576">
        <f>AJ$132+AJ144+AI$132+AH$132+AG132+AF132+AE132+AD132+AC132+AB132+AA132+Z132</f>
        <v>0</v>
      </c>
      <c r="AK158" s="511"/>
      <c r="AL158" s="626"/>
    </row>
    <row r="159" spans="1:38" x14ac:dyDescent="0.2">
      <c r="A159" s="565" t="s">
        <v>189</v>
      </c>
      <c r="B159" s="52"/>
      <c r="C159" s="52"/>
      <c r="D159" s="511"/>
      <c r="E159" s="511"/>
      <c r="F159" s="511"/>
      <c r="G159" s="511"/>
      <c r="H159" s="511"/>
      <c r="I159" s="511"/>
      <c r="J159" s="511"/>
      <c r="K159" s="511"/>
      <c r="L159" s="511"/>
      <c r="M159" s="576">
        <f>M$132+M145+L$132+K$132+J132+I132+H132+G132+F132+E132+D132+C132+B132</f>
        <v>0</v>
      </c>
      <c r="N159" s="511"/>
      <c r="O159" s="52"/>
      <c r="P159" s="511"/>
      <c r="Q159" s="511"/>
      <c r="R159" s="511"/>
      <c r="S159" s="511"/>
      <c r="T159" s="511"/>
      <c r="U159" s="511"/>
      <c r="V159" s="511"/>
      <c r="W159" s="511"/>
      <c r="X159" s="511"/>
      <c r="Y159" s="576">
        <f>Y$132+Y145+X$132+W$132+V132+U132+T132+S132+R132+Q132+P132+O132+N132</f>
        <v>0</v>
      </c>
      <c r="Z159" s="511"/>
      <c r="AA159" s="52"/>
      <c r="AB159" s="511"/>
      <c r="AC159" s="511"/>
      <c r="AD159" s="511"/>
      <c r="AE159" s="511"/>
      <c r="AF159" s="511"/>
      <c r="AG159" s="511"/>
      <c r="AH159" s="511"/>
      <c r="AI159" s="511"/>
      <c r="AJ159" s="511"/>
      <c r="AK159" s="576">
        <f>AK$132+AK145+AJ$132+AI$132+AH132+AG132+AF132+AE132+AD132+AC132+AB132+AA132+Z132</f>
        <v>0</v>
      </c>
      <c r="AL159" s="626"/>
    </row>
    <row r="160" spans="1:38" ht="13.5" thickBot="1" x14ac:dyDescent="0.25">
      <c r="A160" s="566" t="s">
        <v>190</v>
      </c>
      <c r="B160" s="627"/>
      <c r="C160" s="207"/>
      <c r="D160" s="568"/>
      <c r="E160" s="568"/>
      <c r="F160" s="568"/>
      <c r="G160" s="568"/>
      <c r="H160" s="568"/>
      <c r="I160" s="568"/>
      <c r="J160" s="568"/>
      <c r="K160" s="568"/>
      <c r="L160" s="568"/>
      <c r="M160" s="568"/>
      <c r="N160" s="628">
        <f>N$132+N146+M$132+L$132+K132+J132+I132+H132+G132+F132+E132+D132+C132+B132</f>
        <v>0</v>
      </c>
      <c r="O160" s="207"/>
      <c r="P160" s="568"/>
      <c r="Q160" s="568"/>
      <c r="R160" s="568"/>
      <c r="S160" s="568"/>
      <c r="T160" s="568"/>
      <c r="U160" s="568"/>
      <c r="V160" s="568"/>
      <c r="W160" s="568"/>
      <c r="X160" s="568"/>
      <c r="Y160" s="568"/>
      <c r="Z160" s="628">
        <f>Z$132+Z146+Y$132+X$132+W132+V132+U132+T132+S132+R132+Q132+P132+O132</f>
        <v>0</v>
      </c>
      <c r="AA160" s="207"/>
      <c r="AB160" s="568"/>
      <c r="AC160" s="568"/>
      <c r="AD160" s="568"/>
      <c r="AE160" s="568"/>
      <c r="AF160" s="568"/>
      <c r="AG160" s="568"/>
      <c r="AH160" s="568"/>
      <c r="AI160" s="568"/>
      <c r="AJ160" s="568"/>
      <c r="AK160" s="568"/>
      <c r="AL160" s="629">
        <f>AL$132+AL146+AK$132+AJ$132+AI132+AH132+AG132+AF132+AE132+AD132+AC132+AB132+AA132</f>
        <v>0</v>
      </c>
    </row>
    <row r="161" spans="1:38" s="514" customFormat="1" ht="11.25" customHeight="1" x14ac:dyDescent="0.2">
      <c r="A161" s="552" t="s">
        <v>510</v>
      </c>
      <c r="B161" s="553">
        <f>L22</f>
        <v>0</v>
      </c>
      <c r="C161" s="577">
        <f>B161-B162</f>
        <v>0</v>
      </c>
      <c r="D161" s="577">
        <f>C161-C162</f>
        <v>0</v>
      </c>
      <c r="E161" s="577">
        <f t="shared" ref="E161:AL161" si="305">D161-D162</f>
        <v>0</v>
      </c>
      <c r="F161" s="577">
        <f t="shared" si="305"/>
        <v>0</v>
      </c>
      <c r="G161" s="577">
        <f t="shared" si="305"/>
        <v>0</v>
      </c>
      <c r="H161" s="577">
        <f t="shared" si="305"/>
        <v>0</v>
      </c>
      <c r="I161" s="577">
        <f t="shared" si="305"/>
        <v>0</v>
      </c>
      <c r="J161" s="577">
        <f t="shared" si="305"/>
        <v>0</v>
      </c>
      <c r="K161" s="577">
        <f t="shared" si="305"/>
        <v>0</v>
      </c>
      <c r="L161" s="577">
        <f t="shared" si="305"/>
        <v>0</v>
      </c>
      <c r="M161" s="577">
        <f t="shared" si="305"/>
        <v>0</v>
      </c>
      <c r="N161" s="577">
        <f t="shared" si="305"/>
        <v>0</v>
      </c>
      <c r="O161" s="577">
        <f t="shared" si="305"/>
        <v>0</v>
      </c>
      <c r="P161" s="577">
        <f t="shared" si="305"/>
        <v>0</v>
      </c>
      <c r="Q161" s="577">
        <f t="shared" si="305"/>
        <v>0</v>
      </c>
      <c r="R161" s="577">
        <f t="shared" si="305"/>
        <v>0</v>
      </c>
      <c r="S161" s="577">
        <f t="shared" si="305"/>
        <v>0</v>
      </c>
      <c r="T161" s="577">
        <f t="shared" si="305"/>
        <v>0</v>
      </c>
      <c r="U161" s="577">
        <f t="shared" si="305"/>
        <v>0</v>
      </c>
      <c r="V161" s="577">
        <f t="shared" si="305"/>
        <v>0</v>
      </c>
      <c r="W161" s="577">
        <f t="shared" si="305"/>
        <v>0</v>
      </c>
      <c r="X161" s="577">
        <f t="shared" si="305"/>
        <v>0</v>
      </c>
      <c r="Y161" s="577">
        <f t="shared" si="305"/>
        <v>0</v>
      </c>
      <c r="Z161" s="577">
        <f t="shared" si="305"/>
        <v>0</v>
      </c>
      <c r="AA161" s="577">
        <f t="shared" si="305"/>
        <v>0</v>
      </c>
      <c r="AB161" s="577">
        <f t="shared" si="305"/>
        <v>0</v>
      </c>
      <c r="AC161" s="577">
        <f t="shared" si="305"/>
        <v>0</v>
      </c>
      <c r="AD161" s="577">
        <f t="shared" si="305"/>
        <v>0</v>
      </c>
      <c r="AE161" s="577">
        <f t="shared" si="305"/>
        <v>0</v>
      </c>
      <c r="AF161" s="577">
        <f t="shared" si="305"/>
        <v>0</v>
      </c>
      <c r="AG161" s="577">
        <f t="shared" si="305"/>
        <v>0</v>
      </c>
      <c r="AH161" s="577">
        <f t="shared" si="305"/>
        <v>0</v>
      </c>
      <c r="AI161" s="577">
        <f t="shared" si="305"/>
        <v>0</v>
      </c>
      <c r="AJ161" s="577">
        <f t="shared" si="305"/>
        <v>0</v>
      </c>
      <c r="AK161" s="577">
        <f t="shared" si="305"/>
        <v>0</v>
      </c>
      <c r="AL161" s="578">
        <f t="shared" si="305"/>
        <v>0</v>
      </c>
    </row>
    <row r="162" spans="1:38" s="514" customFormat="1" ht="11.25" customHeight="1" x14ac:dyDescent="0.2">
      <c r="A162" s="554" t="s">
        <v>177</v>
      </c>
      <c r="B162" s="512">
        <f>K29</f>
        <v>0</v>
      </c>
      <c r="C162" s="513">
        <f>L29/3</f>
        <v>0</v>
      </c>
      <c r="D162" s="635">
        <f>C162</f>
        <v>0</v>
      </c>
      <c r="E162" s="635">
        <f>D162</f>
        <v>0</v>
      </c>
      <c r="F162" s="513">
        <f>M29/3</f>
        <v>0</v>
      </c>
      <c r="G162" s="635">
        <f>F162</f>
        <v>0</v>
      </c>
      <c r="H162" s="635">
        <f>G162</f>
        <v>0</v>
      </c>
      <c r="I162" s="513">
        <f>N29/3</f>
        <v>0</v>
      </c>
      <c r="J162" s="635">
        <f>I162</f>
        <v>0</v>
      </c>
      <c r="K162" s="635">
        <f>J162</f>
        <v>0</v>
      </c>
      <c r="L162" s="513">
        <f>O29/3</f>
        <v>0</v>
      </c>
      <c r="M162" s="635">
        <f>L162</f>
        <v>0</v>
      </c>
      <c r="N162" s="635">
        <f>M162</f>
        <v>0</v>
      </c>
      <c r="O162" s="513">
        <f>P29/3</f>
        <v>0</v>
      </c>
      <c r="P162" s="635">
        <f>O162</f>
        <v>0</v>
      </c>
      <c r="Q162" s="635">
        <f>P162</f>
        <v>0</v>
      </c>
      <c r="R162" s="513">
        <f>Q29/3</f>
        <v>0</v>
      </c>
      <c r="S162" s="635">
        <f>R162</f>
        <v>0</v>
      </c>
      <c r="T162" s="635">
        <f>S162</f>
        <v>0</v>
      </c>
      <c r="U162" s="513">
        <f>R29/3</f>
        <v>0</v>
      </c>
      <c r="V162" s="635">
        <f>U162</f>
        <v>0</v>
      </c>
      <c r="W162" s="635">
        <f>V162</f>
        <v>0</v>
      </c>
      <c r="X162" s="513">
        <f>S29/3</f>
        <v>0</v>
      </c>
      <c r="Y162" s="635">
        <f>X162</f>
        <v>0</v>
      </c>
      <c r="Z162" s="635">
        <f>Y162</f>
        <v>0</v>
      </c>
      <c r="AA162" s="513">
        <f>T29/3</f>
        <v>0</v>
      </c>
      <c r="AB162" s="635">
        <f>AA162</f>
        <v>0</v>
      </c>
      <c r="AC162" s="635">
        <f>AB162</f>
        <v>0</v>
      </c>
      <c r="AD162" s="513">
        <f>U29/3</f>
        <v>0</v>
      </c>
      <c r="AE162" s="635">
        <f>AD162</f>
        <v>0</v>
      </c>
      <c r="AF162" s="635">
        <f>AE162</f>
        <v>0</v>
      </c>
      <c r="AG162" s="513">
        <f>V29/3</f>
        <v>0</v>
      </c>
      <c r="AH162" s="635">
        <f>AG162</f>
        <v>0</v>
      </c>
      <c r="AI162" s="635">
        <f>AH162</f>
        <v>0</v>
      </c>
      <c r="AJ162" s="513">
        <f>W29/3</f>
        <v>0</v>
      </c>
      <c r="AK162" s="635">
        <f>AJ162</f>
        <v>0</v>
      </c>
      <c r="AL162" s="636">
        <f>AK162</f>
        <v>0</v>
      </c>
    </row>
    <row r="163" spans="1:38" s="514" customFormat="1" ht="11.25" customHeight="1" x14ac:dyDescent="0.2">
      <c r="A163" s="554" t="s">
        <v>178</v>
      </c>
      <c r="B163" s="512">
        <f>K28</f>
        <v>0</v>
      </c>
      <c r="C163" s="573">
        <f>L27</f>
        <v>0</v>
      </c>
      <c r="D163" s="574">
        <f>C163</f>
        <v>0</v>
      </c>
      <c r="E163" s="574">
        <f>D163</f>
        <v>0</v>
      </c>
      <c r="F163" s="574">
        <f>M27</f>
        <v>0</v>
      </c>
      <c r="G163" s="574">
        <f>F163</f>
        <v>0</v>
      </c>
      <c r="H163" s="574">
        <f>G163</f>
        <v>0</v>
      </c>
      <c r="I163" s="574">
        <f>N27</f>
        <v>0</v>
      </c>
      <c r="J163" s="574">
        <f>I163</f>
        <v>0</v>
      </c>
      <c r="K163" s="574">
        <f>J163</f>
        <v>0</v>
      </c>
      <c r="L163" s="575">
        <f>O27</f>
        <v>0</v>
      </c>
      <c r="M163" s="574">
        <f>L163</f>
        <v>0</v>
      </c>
      <c r="N163" s="574">
        <f>M163</f>
        <v>0</v>
      </c>
      <c r="O163" s="513">
        <f>P27</f>
        <v>0</v>
      </c>
      <c r="P163" s="574">
        <f>O163</f>
        <v>0</v>
      </c>
      <c r="Q163" s="574">
        <f>P163</f>
        <v>0</v>
      </c>
      <c r="R163" s="513">
        <f>Q27</f>
        <v>0</v>
      </c>
      <c r="S163" s="574">
        <f>R163</f>
        <v>0</v>
      </c>
      <c r="T163" s="574">
        <f>S163</f>
        <v>0</v>
      </c>
      <c r="U163" s="513">
        <f>R27</f>
        <v>0</v>
      </c>
      <c r="V163" s="574">
        <f>U163</f>
        <v>0</v>
      </c>
      <c r="W163" s="574">
        <f>V163</f>
        <v>0</v>
      </c>
      <c r="X163" s="513">
        <f>S27</f>
        <v>0</v>
      </c>
      <c r="Y163" s="574">
        <f>X163</f>
        <v>0</v>
      </c>
      <c r="Z163" s="574">
        <f>Y163</f>
        <v>0</v>
      </c>
      <c r="AA163" s="513">
        <f>T27</f>
        <v>0</v>
      </c>
      <c r="AB163" s="574">
        <f>AA163</f>
        <v>0</v>
      </c>
      <c r="AC163" s="574">
        <f>AB163</f>
        <v>0</v>
      </c>
      <c r="AD163" s="513">
        <f>U27</f>
        <v>0</v>
      </c>
      <c r="AE163" s="574">
        <f>AD163</f>
        <v>0</v>
      </c>
      <c r="AF163" s="574">
        <f>AE163</f>
        <v>0</v>
      </c>
      <c r="AG163" s="513">
        <f>V27</f>
        <v>0</v>
      </c>
      <c r="AH163" s="574">
        <f>AG163</f>
        <v>0</v>
      </c>
      <c r="AI163" s="574">
        <f>AH163</f>
        <v>0</v>
      </c>
      <c r="AJ163" s="513">
        <f>W27</f>
        <v>0</v>
      </c>
      <c r="AK163" s="574">
        <f>AJ163</f>
        <v>0</v>
      </c>
      <c r="AL163" s="637">
        <f>AK163</f>
        <v>0</v>
      </c>
    </row>
    <row r="164" spans="1:38" x14ac:dyDescent="0.2">
      <c r="A164" s="555" t="s">
        <v>180</v>
      </c>
      <c r="B164" s="519">
        <f>K28</f>
        <v>0</v>
      </c>
      <c r="L164" s="205"/>
      <c r="M164" s="205"/>
      <c r="N164" s="520">
        <f>SUM(C163:N163)</f>
        <v>0</v>
      </c>
      <c r="O164" s="205"/>
      <c r="P164" s="93"/>
      <c r="Z164" s="520">
        <f>SUM(O163:Z163)</f>
        <v>0</v>
      </c>
      <c r="AL164" s="152" t="s">
        <v>0</v>
      </c>
    </row>
    <row r="165" spans="1:38" x14ac:dyDescent="0.2">
      <c r="A165" s="556" t="s">
        <v>181</v>
      </c>
      <c r="B165" s="66"/>
      <c r="C165" s="521">
        <f>$L$27*C$76</f>
        <v>0</v>
      </c>
      <c r="D165" s="205"/>
      <c r="E165" s="205"/>
      <c r="F165" s="205"/>
      <c r="G165" s="205"/>
      <c r="H165" s="205"/>
      <c r="I165" s="205"/>
      <c r="J165" s="205"/>
      <c r="K165" s="205"/>
      <c r="L165" s="205"/>
      <c r="M165" s="205"/>
      <c r="O165" s="522">
        <f>SUM(D163:O163)</f>
        <v>0</v>
      </c>
      <c r="P165" s="93"/>
      <c r="AA165" s="522">
        <f>SUM(P163:AA163)</f>
        <v>0</v>
      </c>
      <c r="AB165" s="93"/>
      <c r="AL165" s="152"/>
    </row>
    <row r="166" spans="1:38" x14ac:dyDescent="0.2">
      <c r="A166" s="557" t="s">
        <v>192</v>
      </c>
      <c r="B166" s="52"/>
      <c r="C166" s="52"/>
      <c r="D166" s="523">
        <f>$L$27*D$76</f>
        <v>0</v>
      </c>
      <c r="E166" s="511"/>
      <c r="F166" s="511"/>
      <c r="G166" s="511"/>
      <c r="H166" s="511"/>
      <c r="I166" s="511"/>
      <c r="J166" s="511"/>
      <c r="K166" s="511"/>
      <c r="L166" s="511"/>
      <c r="M166" s="511"/>
      <c r="N166" s="511"/>
      <c r="O166" s="205"/>
      <c r="P166" s="524">
        <f>SUM(E163:P163)</f>
        <v>0</v>
      </c>
      <c r="AA166" s="205"/>
      <c r="AB166" s="524">
        <f>SUM(Q163:AB163)</f>
        <v>0</v>
      </c>
      <c r="AL166" s="152"/>
    </row>
    <row r="167" spans="1:38" x14ac:dyDescent="0.2">
      <c r="A167" s="558" t="s">
        <v>191</v>
      </c>
      <c r="B167" s="66"/>
      <c r="C167" s="204"/>
      <c r="D167" s="511"/>
      <c r="E167" s="526">
        <f>$L$27*E$76</f>
        <v>0</v>
      </c>
      <c r="F167" s="511"/>
      <c r="G167" s="511"/>
      <c r="H167" s="511"/>
      <c r="I167" s="511"/>
      <c r="J167" s="511"/>
      <c r="K167" s="511"/>
      <c r="L167" s="511"/>
      <c r="M167" s="511"/>
      <c r="N167" s="511"/>
      <c r="O167" s="205"/>
      <c r="P167" s="93"/>
      <c r="Q167" s="525">
        <f>SUM(F163:Q163)</f>
        <v>0</v>
      </c>
      <c r="AA167" s="205"/>
      <c r="AB167" s="93"/>
      <c r="AC167" s="525">
        <f>SUM(R163:AC163)</f>
        <v>0</v>
      </c>
      <c r="AL167" s="152"/>
    </row>
    <row r="168" spans="1:38" x14ac:dyDescent="0.2">
      <c r="A168" s="559" t="s">
        <v>182</v>
      </c>
      <c r="B168" s="66"/>
      <c r="C168" s="204"/>
      <c r="D168" s="511"/>
      <c r="E168" s="511"/>
      <c r="F168" s="527">
        <f>F$76*$M$27</f>
        <v>0</v>
      </c>
      <c r="G168" s="511"/>
      <c r="H168" s="511"/>
      <c r="I168" s="511"/>
      <c r="J168" s="511"/>
      <c r="K168" s="511"/>
      <c r="L168" s="511"/>
      <c r="M168" s="511"/>
      <c r="N168" s="511"/>
      <c r="O168" s="205"/>
      <c r="P168" s="93"/>
      <c r="R168" s="528">
        <f>SUM(G163:R163)</f>
        <v>0</v>
      </c>
      <c r="AA168" s="205"/>
      <c r="AB168" s="93"/>
      <c r="AD168" s="528">
        <f>SUM(S163:AD163)</f>
        <v>0</v>
      </c>
      <c r="AL168" s="152"/>
    </row>
    <row r="169" spans="1:38" x14ac:dyDescent="0.2">
      <c r="A169" s="560" t="s">
        <v>183</v>
      </c>
      <c r="B169" s="52"/>
      <c r="C169" s="52"/>
      <c r="D169" s="511"/>
      <c r="E169" s="511"/>
      <c r="F169" s="511"/>
      <c r="G169" s="530">
        <f>G$76*$M$27</f>
        <v>0</v>
      </c>
      <c r="H169" s="511"/>
      <c r="I169" s="511"/>
      <c r="J169" s="511"/>
      <c r="K169" s="511"/>
      <c r="L169" s="511"/>
      <c r="M169" s="511"/>
      <c r="N169" s="511"/>
      <c r="O169" s="205"/>
      <c r="P169" s="93"/>
      <c r="S169" s="529">
        <f>SUM(H163:S163)</f>
        <v>0</v>
      </c>
      <c r="AA169" s="205"/>
      <c r="AB169" s="93"/>
      <c r="AE169" s="529">
        <f>SUM(T163:AE163)</f>
        <v>0</v>
      </c>
      <c r="AL169" s="152"/>
    </row>
    <row r="170" spans="1:38" x14ac:dyDescent="0.2">
      <c r="A170" s="560" t="s">
        <v>184</v>
      </c>
      <c r="B170" s="66"/>
      <c r="C170" s="204"/>
      <c r="D170" s="511"/>
      <c r="E170" s="511"/>
      <c r="F170" s="511"/>
      <c r="G170" s="511"/>
      <c r="H170" s="531">
        <f>H$76*$M$27</f>
        <v>0</v>
      </c>
      <c r="I170" s="511"/>
      <c r="J170" s="511"/>
      <c r="K170" s="511"/>
      <c r="L170" s="511"/>
      <c r="M170" s="511"/>
      <c r="N170" s="511"/>
      <c r="O170" s="205"/>
      <c r="P170" s="93"/>
      <c r="T170" s="532">
        <f>SUM(I163:T163)</f>
        <v>0</v>
      </c>
      <c r="AA170" s="205"/>
      <c r="AB170" s="93"/>
      <c r="AF170" s="532">
        <f>SUM(U163:AF163)</f>
        <v>0</v>
      </c>
      <c r="AL170" s="152"/>
    </row>
    <row r="171" spans="1:38" x14ac:dyDescent="0.2">
      <c r="A171" s="561" t="s">
        <v>185</v>
      </c>
      <c r="B171" s="52"/>
      <c r="C171" s="52"/>
      <c r="D171" s="511"/>
      <c r="E171" s="511"/>
      <c r="F171" s="511"/>
      <c r="G171" s="511"/>
      <c r="H171" s="511"/>
      <c r="I171" s="537">
        <f>I$76*$N$27</f>
        <v>0</v>
      </c>
      <c r="J171" s="511"/>
      <c r="K171" s="511"/>
      <c r="L171" s="511"/>
      <c r="M171" s="511"/>
      <c r="N171" s="511"/>
      <c r="O171" s="205"/>
      <c r="P171" s="93"/>
      <c r="U171" s="533">
        <f>SUM(J163:U163)</f>
        <v>0</v>
      </c>
      <c r="AA171" s="205"/>
      <c r="AB171" s="93"/>
      <c r="AG171" s="533">
        <f>SUM(V163:AG163)</f>
        <v>0</v>
      </c>
      <c r="AL171" s="152"/>
    </row>
    <row r="172" spans="1:38" x14ac:dyDescent="0.2">
      <c r="A172" s="562" t="s">
        <v>186</v>
      </c>
      <c r="B172" s="66"/>
      <c r="C172" s="204"/>
      <c r="D172" s="511"/>
      <c r="E172" s="511"/>
      <c r="F172" s="511"/>
      <c r="G172" s="511"/>
      <c r="H172" s="511"/>
      <c r="I172" s="511"/>
      <c r="J172" s="538">
        <f>J$76*$N$27</f>
        <v>0</v>
      </c>
      <c r="K172" s="511"/>
      <c r="L172" s="511"/>
      <c r="M172" s="511"/>
      <c r="N172" s="511"/>
      <c r="O172" s="205"/>
      <c r="P172" s="93"/>
      <c r="V172" s="534">
        <f>SUM(K163:V163)</f>
        <v>0</v>
      </c>
      <c r="AA172" s="205"/>
      <c r="AB172" s="93"/>
      <c r="AH172" s="534">
        <f>SUM(W163:AH163)</f>
        <v>0</v>
      </c>
      <c r="AL172" s="152"/>
    </row>
    <row r="173" spans="1:38" x14ac:dyDescent="0.2">
      <c r="A173" s="563" t="s">
        <v>187</v>
      </c>
      <c r="B173" s="52"/>
      <c r="C173" s="52"/>
      <c r="D173" s="511"/>
      <c r="E173" s="511"/>
      <c r="F173" s="511"/>
      <c r="G173" s="511"/>
      <c r="H173" s="511"/>
      <c r="I173" s="511"/>
      <c r="J173" s="511"/>
      <c r="K173" s="539">
        <f>K$76*$N$27</f>
        <v>0</v>
      </c>
      <c r="L173" s="511"/>
      <c r="M173" s="511"/>
      <c r="N173" s="511"/>
      <c r="O173" s="205"/>
      <c r="P173" s="93"/>
      <c r="W173" s="535">
        <f>SUM(L163:W163)</f>
        <v>0</v>
      </c>
      <c r="AA173" s="205"/>
      <c r="AB173" s="93"/>
      <c r="AI173" s="535">
        <f>SUM(X163:AI163)</f>
        <v>0</v>
      </c>
      <c r="AL173" s="152"/>
    </row>
    <row r="174" spans="1:38" x14ac:dyDescent="0.2">
      <c r="A174" s="564" t="s">
        <v>188</v>
      </c>
      <c r="B174" s="66"/>
      <c r="C174" s="204"/>
      <c r="D174" s="511"/>
      <c r="E174" s="511"/>
      <c r="F174" s="511"/>
      <c r="G174" s="511"/>
      <c r="H174" s="511"/>
      <c r="I174" s="511"/>
      <c r="J174" s="511"/>
      <c r="K174" s="511"/>
      <c r="L174" s="540">
        <f>L$76*$O$27</f>
        <v>0</v>
      </c>
      <c r="M174" s="511"/>
      <c r="N174" s="511"/>
      <c r="O174" s="205"/>
      <c r="P174" s="93"/>
      <c r="X174" s="536">
        <f>SUM(M163:X163)</f>
        <v>0</v>
      </c>
      <c r="AA174" s="205"/>
      <c r="AB174" s="93"/>
      <c r="AJ174" s="536">
        <f>SUM(Y163:AJ163)</f>
        <v>0</v>
      </c>
      <c r="AL174" s="152"/>
    </row>
    <row r="175" spans="1:38" x14ac:dyDescent="0.2">
      <c r="A175" s="565" t="s">
        <v>189</v>
      </c>
      <c r="B175" s="52"/>
      <c r="C175" s="52"/>
      <c r="D175" s="511"/>
      <c r="E175" s="511"/>
      <c r="F175" s="511"/>
      <c r="G175" s="511"/>
      <c r="H175" s="511"/>
      <c r="I175" s="511"/>
      <c r="J175" s="511"/>
      <c r="K175" s="511"/>
      <c r="L175" s="511"/>
      <c r="M175" s="542">
        <f>M$76*$O$27</f>
        <v>0</v>
      </c>
      <c r="N175" s="511"/>
      <c r="O175" s="205"/>
      <c r="P175" s="93"/>
      <c r="Y175" s="541">
        <f>SUM(N163:Y163)</f>
        <v>0</v>
      </c>
      <c r="AA175" s="205"/>
      <c r="AB175" s="93"/>
      <c r="AK175" s="541">
        <f>SUM(Z163:AK163)</f>
        <v>0</v>
      </c>
      <c r="AL175" s="152"/>
    </row>
    <row r="176" spans="1:38" x14ac:dyDescent="0.2">
      <c r="A176" s="638" t="s">
        <v>190</v>
      </c>
      <c r="B176" s="66"/>
      <c r="C176" s="204"/>
      <c r="D176" s="511"/>
      <c r="E176" s="511"/>
      <c r="F176" s="511"/>
      <c r="G176" s="511"/>
      <c r="H176" s="511"/>
      <c r="I176" s="511"/>
      <c r="J176" s="511"/>
      <c r="K176" s="511"/>
      <c r="L176" s="511"/>
      <c r="M176" s="511"/>
      <c r="N176" s="543">
        <f>N$76*$O$27</f>
        <v>0</v>
      </c>
      <c r="O176" s="205"/>
      <c r="P176" s="93"/>
      <c r="Z176" s="544">
        <f>SUM(O163:Z163)</f>
        <v>0</v>
      </c>
      <c r="AA176" s="205"/>
      <c r="AB176" s="93"/>
      <c r="AL176" s="639">
        <f>SUM(AA163:AL163)</f>
        <v>0</v>
      </c>
    </row>
    <row r="177" spans="1:41" ht="13.5" thickBot="1" x14ac:dyDescent="0.25">
      <c r="A177" s="471"/>
      <c r="B177" s="595"/>
      <c r="C177" s="596"/>
      <c r="D177" s="597"/>
      <c r="E177" s="597"/>
      <c r="F177" s="597"/>
      <c r="G177" s="597"/>
      <c r="H177" s="597"/>
      <c r="I177" s="597"/>
      <c r="J177" s="597"/>
      <c r="K177" s="597"/>
      <c r="L177" s="597"/>
      <c r="M177" s="597"/>
      <c r="N177" s="597"/>
      <c r="O177" s="597"/>
      <c r="P177" s="597"/>
      <c r="Q177" s="160"/>
      <c r="R177" s="160"/>
      <c r="S177" s="160"/>
      <c r="T177" s="160"/>
      <c r="U177" s="160"/>
      <c r="V177" s="160"/>
      <c r="W177" s="160"/>
      <c r="X177" s="160"/>
      <c r="Y177" s="160"/>
      <c r="Z177" s="160"/>
      <c r="AA177" s="160"/>
      <c r="AB177" s="160"/>
      <c r="AC177" s="160"/>
      <c r="AD177" s="160"/>
      <c r="AE177" s="160"/>
      <c r="AF177" s="160"/>
      <c r="AG177" s="160"/>
      <c r="AH177" s="160"/>
      <c r="AI177" s="160"/>
      <c r="AJ177" s="160"/>
      <c r="AK177" s="160"/>
      <c r="AL177" s="153"/>
    </row>
    <row r="178" spans="1:41" x14ac:dyDescent="0.2">
      <c r="A178" s="630" t="s">
        <v>227</v>
      </c>
      <c r="B178" s="620"/>
      <c r="C178" s="621"/>
      <c r="D178" s="622"/>
      <c r="E178" s="622"/>
      <c r="F178" s="622"/>
      <c r="G178" s="622"/>
      <c r="H178" s="622"/>
      <c r="I178" s="622"/>
      <c r="J178" s="622"/>
      <c r="K178" s="622"/>
      <c r="L178" s="622"/>
      <c r="M178" s="622"/>
      <c r="N178" s="622"/>
      <c r="O178" s="622"/>
      <c r="P178" s="622"/>
      <c r="Q178" s="623"/>
      <c r="R178" s="623"/>
      <c r="S178" s="623"/>
      <c r="T178" s="623"/>
      <c r="U178" s="623"/>
      <c r="V178" s="623"/>
      <c r="W178" s="623"/>
      <c r="X178" s="623"/>
      <c r="Y178" s="623"/>
      <c r="Z178" s="623"/>
      <c r="AA178" s="623"/>
      <c r="AB178" s="623"/>
      <c r="AC178" s="623"/>
      <c r="AD178" s="623"/>
      <c r="AE178" s="623"/>
      <c r="AF178" s="623"/>
      <c r="AG178" s="623"/>
      <c r="AH178" s="623"/>
      <c r="AI178" s="623"/>
      <c r="AJ178" s="623"/>
      <c r="AK178" s="623"/>
      <c r="AL178" s="631"/>
    </row>
    <row r="179" spans="1:41" x14ac:dyDescent="0.2">
      <c r="A179" s="632" t="s">
        <v>222</v>
      </c>
      <c r="B179" s="512">
        <f>B77+B95+B113</f>
        <v>0</v>
      </c>
      <c r="C179" s="512">
        <f t="shared" ref="C179:AL179" si="306">C77+C95+C113</f>
        <v>0</v>
      </c>
      <c r="D179" s="512">
        <f t="shared" si="306"/>
        <v>0</v>
      </c>
      <c r="E179" s="512">
        <f t="shared" si="306"/>
        <v>0</v>
      </c>
      <c r="F179" s="512">
        <f t="shared" si="306"/>
        <v>0</v>
      </c>
      <c r="G179" s="512">
        <f t="shared" si="306"/>
        <v>0</v>
      </c>
      <c r="H179" s="512">
        <f t="shared" si="306"/>
        <v>0</v>
      </c>
      <c r="I179" s="512">
        <f t="shared" si="306"/>
        <v>0</v>
      </c>
      <c r="J179" s="512">
        <f t="shared" si="306"/>
        <v>0</v>
      </c>
      <c r="K179" s="512">
        <f t="shared" si="306"/>
        <v>0</v>
      </c>
      <c r="L179" s="512">
        <f t="shared" si="306"/>
        <v>0</v>
      </c>
      <c r="M179" s="512">
        <f t="shared" si="306"/>
        <v>0</v>
      </c>
      <c r="N179" s="512">
        <f t="shared" si="306"/>
        <v>0</v>
      </c>
      <c r="O179" s="512">
        <f t="shared" si="306"/>
        <v>0</v>
      </c>
      <c r="P179" s="512">
        <f t="shared" si="306"/>
        <v>0</v>
      </c>
      <c r="Q179" s="512">
        <f t="shared" si="306"/>
        <v>0</v>
      </c>
      <c r="R179" s="512">
        <f t="shared" si="306"/>
        <v>0</v>
      </c>
      <c r="S179" s="512">
        <f t="shared" si="306"/>
        <v>0</v>
      </c>
      <c r="T179" s="512">
        <f t="shared" si="306"/>
        <v>0</v>
      </c>
      <c r="U179" s="512">
        <f t="shared" si="306"/>
        <v>0</v>
      </c>
      <c r="V179" s="512">
        <f t="shared" si="306"/>
        <v>0</v>
      </c>
      <c r="W179" s="512">
        <f t="shared" si="306"/>
        <v>0</v>
      </c>
      <c r="X179" s="512">
        <f t="shared" si="306"/>
        <v>0</v>
      </c>
      <c r="Y179" s="512">
        <f t="shared" si="306"/>
        <v>0</v>
      </c>
      <c r="Z179" s="512">
        <f t="shared" si="306"/>
        <v>0</v>
      </c>
      <c r="AA179" s="512">
        <f t="shared" si="306"/>
        <v>0</v>
      </c>
      <c r="AB179" s="512">
        <f t="shared" si="306"/>
        <v>0</v>
      </c>
      <c r="AC179" s="512">
        <f t="shared" si="306"/>
        <v>0</v>
      </c>
      <c r="AD179" s="512">
        <f t="shared" si="306"/>
        <v>0</v>
      </c>
      <c r="AE179" s="512">
        <f t="shared" si="306"/>
        <v>0</v>
      </c>
      <c r="AF179" s="512">
        <f t="shared" si="306"/>
        <v>0</v>
      </c>
      <c r="AG179" s="512">
        <f t="shared" si="306"/>
        <v>0</v>
      </c>
      <c r="AH179" s="512">
        <f t="shared" si="306"/>
        <v>0</v>
      </c>
      <c r="AI179" s="512">
        <f t="shared" si="306"/>
        <v>0</v>
      </c>
      <c r="AJ179" s="512">
        <f t="shared" si="306"/>
        <v>0</v>
      </c>
      <c r="AK179" s="512">
        <f t="shared" si="306"/>
        <v>0</v>
      </c>
      <c r="AL179" s="633">
        <f t="shared" si="306"/>
        <v>0</v>
      </c>
    </row>
    <row r="180" spans="1:41" x14ac:dyDescent="0.2">
      <c r="A180" s="554" t="s">
        <v>198</v>
      </c>
      <c r="B180" s="512">
        <f>B78+B96+B114+B162</f>
        <v>0</v>
      </c>
      <c r="C180" s="512">
        <f t="shared" ref="C180:AL180" si="307">C78+C96+C114+C162</f>
        <v>0</v>
      </c>
      <c r="D180" s="512">
        <f t="shared" si="307"/>
        <v>0</v>
      </c>
      <c r="E180" s="512">
        <f t="shared" si="307"/>
        <v>0</v>
      </c>
      <c r="F180" s="512">
        <f t="shared" si="307"/>
        <v>0</v>
      </c>
      <c r="G180" s="512">
        <f t="shared" si="307"/>
        <v>0</v>
      </c>
      <c r="H180" s="512">
        <f t="shared" si="307"/>
        <v>0</v>
      </c>
      <c r="I180" s="512">
        <f t="shared" si="307"/>
        <v>0</v>
      </c>
      <c r="J180" s="512">
        <f t="shared" si="307"/>
        <v>0</v>
      </c>
      <c r="K180" s="512">
        <f t="shared" si="307"/>
        <v>0</v>
      </c>
      <c r="L180" s="512">
        <f t="shared" si="307"/>
        <v>0</v>
      </c>
      <c r="M180" s="512">
        <f t="shared" si="307"/>
        <v>0</v>
      </c>
      <c r="N180" s="512">
        <f t="shared" si="307"/>
        <v>0</v>
      </c>
      <c r="O180" s="512">
        <f t="shared" si="307"/>
        <v>0</v>
      </c>
      <c r="P180" s="512">
        <f t="shared" si="307"/>
        <v>0</v>
      </c>
      <c r="Q180" s="512">
        <f t="shared" si="307"/>
        <v>0</v>
      </c>
      <c r="R180" s="512">
        <f t="shared" si="307"/>
        <v>0</v>
      </c>
      <c r="S180" s="512">
        <f t="shared" si="307"/>
        <v>0</v>
      </c>
      <c r="T180" s="512">
        <f t="shared" si="307"/>
        <v>0</v>
      </c>
      <c r="U180" s="512">
        <f t="shared" si="307"/>
        <v>0</v>
      </c>
      <c r="V180" s="512">
        <f t="shared" si="307"/>
        <v>0</v>
      </c>
      <c r="W180" s="512">
        <f t="shared" si="307"/>
        <v>0</v>
      </c>
      <c r="X180" s="512">
        <f t="shared" si="307"/>
        <v>0</v>
      </c>
      <c r="Y180" s="512">
        <f t="shared" si="307"/>
        <v>0</v>
      </c>
      <c r="Z180" s="512">
        <f t="shared" si="307"/>
        <v>0</v>
      </c>
      <c r="AA180" s="512">
        <f t="shared" si="307"/>
        <v>0</v>
      </c>
      <c r="AB180" s="512">
        <f t="shared" si="307"/>
        <v>0</v>
      </c>
      <c r="AC180" s="512">
        <f t="shared" si="307"/>
        <v>0</v>
      </c>
      <c r="AD180" s="512">
        <f t="shared" si="307"/>
        <v>0</v>
      </c>
      <c r="AE180" s="512">
        <f t="shared" si="307"/>
        <v>0</v>
      </c>
      <c r="AF180" s="512">
        <f t="shared" si="307"/>
        <v>0</v>
      </c>
      <c r="AG180" s="512">
        <f t="shared" si="307"/>
        <v>0</v>
      </c>
      <c r="AH180" s="512">
        <f t="shared" si="307"/>
        <v>0</v>
      </c>
      <c r="AI180" s="512">
        <f t="shared" si="307"/>
        <v>0</v>
      </c>
      <c r="AJ180" s="512">
        <f t="shared" si="307"/>
        <v>0</v>
      </c>
      <c r="AK180" s="512">
        <f t="shared" si="307"/>
        <v>0</v>
      </c>
      <c r="AL180" s="633">
        <f t="shared" si="307"/>
        <v>0</v>
      </c>
    </row>
    <row r="181" spans="1:41" x14ac:dyDescent="0.2">
      <c r="A181" s="634" t="s">
        <v>217</v>
      </c>
      <c r="B181" s="519">
        <f>B180</f>
        <v>0</v>
      </c>
      <c r="C181" s="204"/>
      <c r="D181" s="205"/>
      <c r="E181" s="205"/>
      <c r="F181" s="205"/>
      <c r="G181" s="205"/>
      <c r="H181" s="205"/>
      <c r="I181" s="205"/>
      <c r="J181" s="205"/>
      <c r="K181" s="205"/>
      <c r="L181" s="205"/>
      <c r="M181" s="205"/>
      <c r="N181" s="519">
        <f>SUM(C$180:N$180)</f>
        <v>0</v>
      </c>
      <c r="O181" s="205"/>
      <c r="P181" s="93"/>
      <c r="Z181" s="519">
        <f>SUM(O$180:Z$180)</f>
        <v>0</v>
      </c>
      <c r="AL181" s="152"/>
    </row>
    <row r="182" spans="1:41" x14ac:dyDescent="0.2">
      <c r="A182" s="556" t="s">
        <v>181</v>
      </c>
      <c r="B182" s="66"/>
      <c r="C182" s="521">
        <f>B180+C180</f>
        <v>0</v>
      </c>
      <c r="D182" s="205"/>
      <c r="E182" s="205"/>
      <c r="F182" s="205"/>
      <c r="G182" s="205"/>
      <c r="H182" s="205"/>
      <c r="I182" s="205"/>
      <c r="J182" s="205"/>
      <c r="K182" s="205"/>
      <c r="L182" s="205"/>
      <c r="M182" s="205"/>
      <c r="O182" s="522">
        <f>SUM(D$180:O$180)</f>
        <v>0</v>
      </c>
      <c r="P182" s="93"/>
      <c r="AA182" s="522">
        <f>SUM(P$180:AA$180)</f>
        <v>0</v>
      </c>
      <c r="AB182" s="93"/>
      <c r="AL182" s="152"/>
    </row>
    <row r="183" spans="1:41" x14ac:dyDescent="0.2">
      <c r="A183" s="557" t="s">
        <v>192</v>
      </c>
      <c r="B183" s="52"/>
      <c r="C183" s="52"/>
      <c r="D183" s="523">
        <f>B180+C180+D180</f>
        <v>0</v>
      </c>
      <c r="E183" s="511"/>
      <c r="F183" s="511"/>
      <c r="G183" s="511"/>
      <c r="H183" s="511"/>
      <c r="I183" s="511"/>
      <c r="J183" s="511"/>
      <c r="K183" s="511"/>
      <c r="L183" s="511"/>
      <c r="M183" s="511"/>
      <c r="N183" s="511"/>
      <c r="O183" s="205"/>
      <c r="P183" s="524">
        <f>SUM(E$180:P$180)</f>
        <v>0</v>
      </c>
      <c r="AA183" s="205"/>
      <c r="AB183" s="524">
        <f>SUM(Q$180:AB$180)</f>
        <v>0</v>
      </c>
      <c r="AL183" s="152"/>
    </row>
    <row r="184" spans="1:41" x14ac:dyDescent="0.2">
      <c r="A184" s="558" t="s">
        <v>191</v>
      </c>
      <c r="B184" s="66"/>
      <c r="C184" s="204"/>
      <c r="D184" s="511"/>
      <c r="E184" s="526">
        <f>SUM(B180:E180)</f>
        <v>0</v>
      </c>
      <c r="F184" s="511"/>
      <c r="G184" s="511"/>
      <c r="H184" s="511"/>
      <c r="I184" s="511"/>
      <c r="J184" s="511"/>
      <c r="K184" s="511"/>
      <c r="L184" s="511"/>
      <c r="M184" s="511"/>
      <c r="N184" s="511"/>
      <c r="O184" s="205"/>
      <c r="P184" s="93"/>
      <c r="Q184" s="525">
        <f>SUM(F$180:Q$180)</f>
        <v>0</v>
      </c>
      <c r="AA184" s="205"/>
      <c r="AB184" s="93"/>
      <c r="AC184" s="525">
        <f>SUM(R$180:AC$180)</f>
        <v>0</v>
      </c>
      <c r="AL184" s="152"/>
      <c r="AO184" t="s">
        <v>0</v>
      </c>
    </row>
    <row r="185" spans="1:41" x14ac:dyDescent="0.2">
      <c r="A185" s="559" t="s">
        <v>182</v>
      </c>
      <c r="B185" s="66"/>
      <c r="C185" s="204"/>
      <c r="D185" s="511"/>
      <c r="E185" s="511"/>
      <c r="F185" s="527">
        <f>SUM(B180:F180)</f>
        <v>0</v>
      </c>
      <c r="G185" s="511"/>
      <c r="H185" s="511"/>
      <c r="I185" s="511"/>
      <c r="J185" s="511"/>
      <c r="K185" s="511"/>
      <c r="L185" s="511"/>
      <c r="M185" s="511"/>
      <c r="N185" s="511"/>
      <c r="O185" s="205"/>
      <c r="P185" s="93"/>
      <c r="R185" s="528">
        <f>SUM(G$180:R$180)</f>
        <v>0</v>
      </c>
      <c r="AA185" s="205"/>
      <c r="AB185" s="93"/>
      <c r="AD185" s="528">
        <f>SUM(S$180:AD$180)</f>
        <v>0</v>
      </c>
      <c r="AL185" s="152"/>
    </row>
    <row r="186" spans="1:41" x14ac:dyDescent="0.2">
      <c r="A186" s="560" t="s">
        <v>183</v>
      </c>
      <c r="B186" s="52"/>
      <c r="C186" s="52"/>
      <c r="D186" s="511"/>
      <c r="E186" s="511"/>
      <c r="F186" s="511"/>
      <c r="G186" s="530">
        <f>SUM(B180:G180)</f>
        <v>0</v>
      </c>
      <c r="H186" s="511"/>
      <c r="I186" s="511"/>
      <c r="J186" s="511"/>
      <c r="K186" s="511"/>
      <c r="L186" s="511"/>
      <c r="M186" s="511"/>
      <c r="N186" s="511"/>
      <c r="O186" s="205"/>
      <c r="P186" s="93"/>
      <c r="S186" s="529">
        <f>SUM(H$180:S$180)</f>
        <v>0</v>
      </c>
      <c r="AA186" s="205"/>
      <c r="AB186" s="93"/>
      <c r="AE186" s="529">
        <f>SUM(T$180:AE$180)</f>
        <v>0</v>
      </c>
      <c r="AL186" s="152"/>
    </row>
    <row r="187" spans="1:41" x14ac:dyDescent="0.2">
      <c r="A187" s="560" t="s">
        <v>184</v>
      </c>
      <c r="B187" s="66"/>
      <c r="C187" s="204"/>
      <c r="D187" s="511"/>
      <c r="E187" s="511"/>
      <c r="F187" s="511"/>
      <c r="G187" s="511"/>
      <c r="H187" s="531">
        <f>SUM(B180:H180)</f>
        <v>0</v>
      </c>
      <c r="I187" s="511"/>
      <c r="J187" s="511"/>
      <c r="K187" s="511"/>
      <c r="L187" s="511"/>
      <c r="M187" s="511"/>
      <c r="N187" s="511"/>
      <c r="O187" s="205"/>
      <c r="P187" s="93"/>
      <c r="T187" s="532">
        <f>SUM(I$180:T$180)</f>
        <v>0</v>
      </c>
      <c r="AA187" s="205"/>
      <c r="AB187" s="93"/>
      <c r="AF187" s="532">
        <f>SUM(U$180:AF$180)</f>
        <v>0</v>
      </c>
      <c r="AL187" s="152"/>
    </row>
    <row r="188" spans="1:41" x14ac:dyDescent="0.2">
      <c r="A188" s="561" t="s">
        <v>185</v>
      </c>
      <c r="B188" s="52"/>
      <c r="C188" s="52"/>
      <c r="D188" s="511"/>
      <c r="E188" s="511"/>
      <c r="F188" s="511"/>
      <c r="G188" s="511"/>
      <c r="H188" s="511"/>
      <c r="I188" s="537">
        <f>SUM(B180:I180)</f>
        <v>0</v>
      </c>
      <c r="J188" s="511"/>
      <c r="K188" s="511"/>
      <c r="L188" s="511"/>
      <c r="M188" s="511"/>
      <c r="N188" s="511"/>
      <c r="O188" s="205"/>
      <c r="P188" s="93"/>
      <c r="U188" s="533">
        <f>SUM(J$180:U$180)</f>
        <v>0</v>
      </c>
      <c r="AA188" s="205"/>
      <c r="AB188" s="93"/>
      <c r="AG188" s="533">
        <f>SUM(V$180:AG$180)</f>
        <v>0</v>
      </c>
      <c r="AL188" s="152"/>
    </row>
    <row r="189" spans="1:41" x14ac:dyDescent="0.2">
      <c r="A189" s="562" t="s">
        <v>186</v>
      </c>
      <c r="B189" s="66"/>
      <c r="C189" s="204"/>
      <c r="D189" s="511"/>
      <c r="E189" s="511"/>
      <c r="F189" s="511"/>
      <c r="G189" s="511"/>
      <c r="H189" s="511"/>
      <c r="I189" s="511"/>
      <c r="J189" s="538">
        <f>SUM(B180:J180)</f>
        <v>0</v>
      </c>
      <c r="K189" s="511"/>
      <c r="L189" s="511"/>
      <c r="M189" s="511"/>
      <c r="N189" s="511"/>
      <c r="O189" s="205"/>
      <c r="P189" s="93"/>
      <c r="V189" s="534">
        <f>SUM(K$180:V$180)</f>
        <v>0</v>
      </c>
      <c r="AA189" s="205"/>
      <c r="AB189" s="93"/>
      <c r="AH189" s="534">
        <f>SUM(W$180:AH$180)</f>
        <v>0</v>
      </c>
      <c r="AL189" s="152"/>
    </row>
    <row r="190" spans="1:41" x14ac:dyDescent="0.2">
      <c r="A190" s="563" t="s">
        <v>187</v>
      </c>
      <c r="B190" s="52"/>
      <c r="C190" s="52"/>
      <c r="D190" s="511"/>
      <c r="E190" s="511"/>
      <c r="F190" s="511"/>
      <c r="G190" s="511"/>
      <c r="H190" s="511"/>
      <c r="I190" s="511"/>
      <c r="J190" s="511"/>
      <c r="K190" s="539">
        <f>SUM(B180:K180)</f>
        <v>0</v>
      </c>
      <c r="L190" s="511"/>
      <c r="M190" s="511"/>
      <c r="N190" s="511"/>
      <c r="O190" s="205"/>
      <c r="P190" s="93"/>
      <c r="W190" s="535">
        <f>SUM(L$180:W$180)</f>
        <v>0</v>
      </c>
      <c r="AA190" s="205"/>
      <c r="AB190" s="93"/>
      <c r="AI190" s="535">
        <f>SUM(X$180:AI$180)</f>
        <v>0</v>
      </c>
      <c r="AL190" s="152"/>
    </row>
    <row r="191" spans="1:41" x14ac:dyDescent="0.2">
      <c r="A191" s="564" t="s">
        <v>188</v>
      </c>
      <c r="B191" s="66"/>
      <c r="C191" s="204"/>
      <c r="D191" s="511"/>
      <c r="E191" s="511"/>
      <c r="F191" s="511"/>
      <c r="G191" s="511"/>
      <c r="H191" s="511"/>
      <c r="I191" s="511"/>
      <c r="J191" s="511"/>
      <c r="K191" s="511"/>
      <c r="L191" s="540">
        <f>SUM(B180:L180)</f>
        <v>0</v>
      </c>
      <c r="M191" s="511"/>
      <c r="N191" s="511"/>
      <c r="O191" s="205"/>
      <c r="P191" s="93"/>
      <c r="X191" s="536">
        <f>SUM(M$180:X$180)</f>
        <v>0</v>
      </c>
      <c r="AA191" s="205"/>
      <c r="AB191" s="93"/>
      <c r="AJ191" s="536">
        <f>SUM(Y$180:AJ$180)</f>
        <v>0</v>
      </c>
      <c r="AL191" s="152"/>
    </row>
    <row r="192" spans="1:41" x14ac:dyDescent="0.2">
      <c r="A192" s="565" t="s">
        <v>189</v>
      </c>
      <c r="B192" s="52"/>
      <c r="C192" s="52"/>
      <c r="D192" s="511"/>
      <c r="E192" s="511"/>
      <c r="F192" s="511"/>
      <c r="G192" s="511"/>
      <c r="H192" s="511"/>
      <c r="I192" s="511"/>
      <c r="J192" s="511"/>
      <c r="K192" s="511"/>
      <c r="L192" s="511"/>
      <c r="M192" s="542">
        <f>SUM(B180:M180)</f>
        <v>0</v>
      </c>
      <c r="N192" s="511"/>
      <c r="O192" s="205"/>
      <c r="P192" s="93"/>
      <c r="Y192" s="541">
        <f>SUM(N$180:Y$180)</f>
        <v>0</v>
      </c>
      <c r="AA192" s="205"/>
      <c r="AB192" s="93"/>
      <c r="AK192" s="541">
        <f>SUM(Z$180:AK$180)</f>
        <v>0</v>
      </c>
      <c r="AL192" s="152"/>
    </row>
    <row r="193" spans="1:41" ht="13.5" thickBot="1" x14ac:dyDescent="0.25">
      <c r="A193" s="566" t="s">
        <v>190</v>
      </c>
      <c r="B193" s="567"/>
      <c r="C193" s="207"/>
      <c r="D193" s="568"/>
      <c r="E193" s="568"/>
      <c r="F193" s="568"/>
      <c r="G193" s="568"/>
      <c r="H193" s="568"/>
      <c r="I193" s="568"/>
      <c r="J193" s="568"/>
      <c r="K193" s="568"/>
      <c r="L193" s="568"/>
      <c r="M193" s="568"/>
      <c r="N193" s="569">
        <f>SUM(B180:N180)</f>
        <v>0</v>
      </c>
      <c r="O193" s="303"/>
      <c r="P193" s="570"/>
      <c r="Q193" s="160"/>
      <c r="R193" s="160"/>
      <c r="S193" s="160"/>
      <c r="T193" s="160"/>
      <c r="U193" s="160"/>
      <c r="V193" s="160"/>
      <c r="W193" s="160"/>
      <c r="X193" s="160"/>
      <c r="Y193" s="160"/>
      <c r="Z193" s="571">
        <f>SUM(O$180:Z$180)</f>
        <v>0</v>
      </c>
      <c r="AA193" s="303"/>
      <c r="AB193" s="570"/>
      <c r="AC193" s="160"/>
      <c r="AD193" s="160"/>
      <c r="AE193" s="160"/>
      <c r="AF193" s="160"/>
      <c r="AG193" s="160"/>
      <c r="AH193" s="160"/>
      <c r="AI193" s="160"/>
      <c r="AJ193" s="160"/>
      <c r="AK193" s="160"/>
      <c r="AL193" s="572">
        <f>SUM(AA$180:AL$180)</f>
        <v>0</v>
      </c>
    </row>
    <row r="194" spans="1:41" x14ac:dyDescent="0.2">
      <c r="A194" s="576" t="s">
        <v>216</v>
      </c>
      <c r="B194" s="519">
        <f>B82+B100+B118+B164</f>
        <v>0</v>
      </c>
      <c r="C194" s="204"/>
      <c r="D194" s="205"/>
      <c r="E194" s="205"/>
      <c r="F194" s="205"/>
      <c r="G194" s="205"/>
      <c r="H194" s="205"/>
      <c r="I194" s="205"/>
      <c r="J194" s="205"/>
      <c r="K194" s="205"/>
      <c r="L194" s="205"/>
      <c r="M194" s="205"/>
      <c r="N194" s="519">
        <f>N82+N100+N118+N164</f>
        <v>0</v>
      </c>
      <c r="O194" s="205"/>
      <c r="P194" s="93"/>
      <c r="Z194" s="519">
        <f>Z82+Z100+Z118+Z164</f>
        <v>0</v>
      </c>
      <c r="AL194" s="152"/>
    </row>
    <row r="195" spans="1:41" x14ac:dyDescent="0.2">
      <c r="A195" s="556" t="s">
        <v>181</v>
      </c>
      <c r="B195" s="66"/>
      <c r="C195" s="521">
        <f>C83+C101+C119+C165</f>
        <v>0</v>
      </c>
      <c r="D195" s="205"/>
      <c r="E195" s="205"/>
      <c r="F195" s="205"/>
      <c r="G195" s="205"/>
      <c r="H195" s="205"/>
      <c r="I195" s="205"/>
      <c r="J195" s="205"/>
      <c r="K195" s="205"/>
      <c r="L195" s="205"/>
      <c r="M195" s="205"/>
      <c r="O195" s="522">
        <f>O83+O101+O119+O165</f>
        <v>0</v>
      </c>
      <c r="P195" s="93"/>
      <c r="AA195" s="522">
        <f>AA83+AA101+AA119+AA165</f>
        <v>0</v>
      </c>
      <c r="AB195" s="93"/>
      <c r="AL195" s="152"/>
    </row>
    <row r="196" spans="1:41" x14ac:dyDescent="0.2">
      <c r="A196" s="557" t="s">
        <v>192</v>
      </c>
      <c r="B196" s="52"/>
      <c r="C196" s="52"/>
      <c r="D196" s="523">
        <f>D84+D102+D120+D166</f>
        <v>0</v>
      </c>
      <c r="E196" s="511"/>
      <c r="F196" s="511"/>
      <c r="G196" s="511"/>
      <c r="H196" s="511"/>
      <c r="I196" s="511"/>
      <c r="J196" s="511"/>
      <c r="K196" s="511"/>
      <c r="L196" s="511"/>
      <c r="M196" s="511"/>
      <c r="N196" s="511"/>
      <c r="O196" s="205"/>
      <c r="P196" s="524">
        <f>P84+P102+P120+P166</f>
        <v>0</v>
      </c>
      <c r="AA196" s="205"/>
      <c r="AB196" s="524">
        <f>AB84+AB102+AB120+AB166</f>
        <v>0</v>
      </c>
      <c r="AL196" s="152"/>
    </row>
    <row r="197" spans="1:41" x14ac:dyDescent="0.2">
      <c r="A197" s="558" t="s">
        <v>191</v>
      </c>
      <c r="B197" s="66"/>
      <c r="C197" s="204"/>
      <c r="D197" s="511"/>
      <c r="E197" s="526">
        <f>E85+E103+E121+E167</f>
        <v>0</v>
      </c>
      <c r="F197" s="511"/>
      <c r="G197" s="511"/>
      <c r="H197" s="511"/>
      <c r="I197" s="511"/>
      <c r="J197" s="511"/>
      <c r="K197" s="511"/>
      <c r="L197" s="511"/>
      <c r="M197" s="511"/>
      <c r="N197" s="511"/>
      <c r="O197" s="205"/>
      <c r="P197" s="93"/>
      <c r="Q197" s="525">
        <f>Q85+Q103+Q121+Q167</f>
        <v>0</v>
      </c>
      <c r="AA197" s="205"/>
      <c r="AB197" s="93"/>
      <c r="AC197" s="525">
        <f>AC85+AC103+AC121+AC167</f>
        <v>0</v>
      </c>
      <c r="AL197" s="152"/>
      <c r="AO197" t="s">
        <v>0</v>
      </c>
    </row>
    <row r="198" spans="1:41" x14ac:dyDescent="0.2">
      <c r="A198" s="559" t="s">
        <v>182</v>
      </c>
      <c r="B198" s="66"/>
      <c r="C198" s="204"/>
      <c r="D198" s="511"/>
      <c r="E198" s="511"/>
      <c r="F198" s="527">
        <f>F86+F104+F122+F168</f>
        <v>0</v>
      </c>
      <c r="G198" s="511"/>
      <c r="H198" s="511"/>
      <c r="I198" s="511"/>
      <c r="J198" s="511"/>
      <c r="K198" s="511"/>
      <c r="L198" s="511"/>
      <c r="M198" s="511"/>
      <c r="N198" s="511"/>
      <c r="O198" s="205"/>
      <c r="P198" s="93"/>
      <c r="R198" s="528">
        <f>R86+R104+R122+R168</f>
        <v>0</v>
      </c>
      <c r="AA198" s="205"/>
      <c r="AB198" s="93"/>
      <c r="AD198" s="528">
        <f>AD86+AD104+AD122+AD168</f>
        <v>0</v>
      </c>
      <c r="AL198" s="152"/>
    </row>
    <row r="199" spans="1:41" x14ac:dyDescent="0.2">
      <c r="A199" s="560" t="s">
        <v>183</v>
      </c>
      <c r="B199" s="52"/>
      <c r="C199" s="52"/>
      <c r="D199" s="511"/>
      <c r="E199" s="511"/>
      <c r="F199" s="511"/>
      <c r="G199" s="530">
        <f>G87+G105+G123+G169</f>
        <v>0</v>
      </c>
      <c r="H199" s="511"/>
      <c r="I199" s="511"/>
      <c r="J199" s="511"/>
      <c r="K199" s="511"/>
      <c r="L199" s="511"/>
      <c r="M199" s="511"/>
      <c r="N199" s="511"/>
      <c r="O199" s="205"/>
      <c r="P199" s="93"/>
      <c r="S199" s="529">
        <f>S87+S105+S123+S169</f>
        <v>0</v>
      </c>
      <c r="AA199" s="205"/>
      <c r="AB199" s="93"/>
      <c r="AE199" s="529">
        <f>AE87+AE105+AE123+AE169</f>
        <v>0</v>
      </c>
      <c r="AL199" s="152"/>
    </row>
    <row r="200" spans="1:41" x14ac:dyDescent="0.2">
      <c r="A200" s="560" t="s">
        <v>184</v>
      </c>
      <c r="B200" s="66"/>
      <c r="C200" s="204"/>
      <c r="D200" s="511"/>
      <c r="E200" s="511"/>
      <c r="F200" s="511"/>
      <c r="G200" s="511"/>
      <c r="H200" s="531">
        <f>H88+H106+H124+H170</f>
        <v>0</v>
      </c>
      <c r="I200" s="511"/>
      <c r="J200" s="511"/>
      <c r="K200" s="511"/>
      <c r="L200" s="511"/>
      <c r="M200" s="511"/>
      <c r="N200" s="511"/>
      <c r="O200" s="205"/>
      <c r="P200" s="93"/>
      <c r="T200" s="532">
        <f>T88+T106+T124+T170</f>
        <v>0</v>
      </c>
      <c r="AA200" s="205"/>
      <c r="AB200" s="93"/>
      <c r="AF200" s="532">
        <f>AF88+AF106+AF124+AF170</f>
        <v>0</v>
      </c>
      <c r="AL200" s="152"/>
    </row>
    <row r="201" spans="1:41" x14ac:dyDescent="0.2">
      <c r="A201" s="561" t="s">
        <v>185</v>
      </c>
      <c r="B201" s="52"/>
      <c r="C201" s="52"/>
      <c r="D201" s="511"/>
      <c r="E201" s="511"/>
      <c r="F201" s="511"/>
      <c r="G201" s="511"/>
      <c r="H201" s="511"/>
      <c r="I201" s="537">
        <f>I89+I107+I125+I171</f>
        <v>0</v>
      </c>
      <c r="J201" s="511"/>
      <c r="K201" s="511"/>
      <c r="L201" s="511"/>
      <c r="M201" s="511"/>
      <c r="N201" s="511"/>
      <c r="O201" s="205"/>
      <c r="P201" s="93"/>
      <c r="U201" s="533">
        <f>U89+U107+U125+U171</f>
        <v>0</v>
      </c>
      <c r="AA201" s="205"/>
      <c r="AB201" s="93"/>
      <c r="AG201" s="533">
        <f>AG89+AG107+AG125+AG171</f>
        <v>0</v>
      </c>
      <c r="AL201" s="152"/>
    </row>
    <row r="202" spans="1:41" x14ac:dyDescent="0.2">
      <c r="A202" s="562" t="s">
        <v>186</v>
      </c>
      <c r="B202" s="66"/>
      <c r="C202" s="204"/>
      <c r="D202" s="511"/>
      <c r="E202" s="511"/>
      <c r="F202" s="511"/>
      <c r="G202" s="511"/>
      <c r="H202" s="511"/>
      <c r="I202" s="511"/>
      <c r="J202" s="538">
        <f>J90+J108+J126+J172</f>
        <v>0</v>
      </c>
      <c r="K202" s="511"/>
      <c r="L202" s="511"/>
      <c r="M202" s="511"/>
      <c r="N202" s="511"/>
      <c r="O202" s="205"/>
      <c r="P202" s="93"/>
      <c r="V202" s="534">
        <f>V90+V108+V126+V172</f>
        <v>0</v>
      </c>
      <c r="AA202" s="205"/>
      <c r="AB202" s="93"/>
      <c r="AG202">
        <f>AG90+AG108+AG126+AG172</f>
        <v>0</v>
      </c>
      <c r="AH202" s="534">
        <f>AH90+AH108+AH126+AH172</f>
        <v>0</v>
      </c>
      <c r="AL202" s="152"/>
    </row>
    <row r="203" spans="1:41" x14ac:dyDescent="0.2">
      <c r="A203" s="563" t="s">
        <v>187</v>
      </c>
      <c r="B203" s="52"/>
      <c r="C203" s="52"/>
      <c r="D203" s="511"/>
      <c r="E203" s="511"/>
      <c r="F203" s="511"/>
      <c r="G203" s="511"/>
      <c r="H203" s="511"/>
      <c r="I203" s="511"/>
      <c r="J203" s="511"/>
      <c r="K203" s="539">
        <f>K91+K109+K127+K173</f>
        <v>0</v>
      </c>
      <c r="L203" s="511"/>
      <c r="M203" s="511"/>
      <c r="N203" s="511"/>
      <c r="O203" s="205"/>
      <c r="P203" s="93"/>
      <c r="W203" s="535">
        <f>W91+W109+W127+W173</f>
        <v>0</v>
      </c>
      <c r="AA203" s="205"/>
      <c r="AB203" s="93"/>
      <c r="AI203" s="535">
        <f>AI91+AI109+AI127+AI173</f>
        <v>0</v>
      </c>
      <c r="AL203" s="152"/>
    </row>
    <row r="204" spans="1:41" x14ac:dyDescent="0.2">
      <c r="A204" s="564" t="s">
        <v>188</v>
      </c>
      <c r="B204" s="66"/>
      <c r="C204" s="204"/>
      <c r="D204" s="511"/>
      <c r="E204" s="511"/>
      <c r="F204" s="511"/>
      <c r="G204" s="511"/>
      <c r="H204" s="511"/>
      <c r="I204" s="511"/>
      <c r="J204" s="511"/>
      <c r="K204" s="511"/>
      <c r="L204" s="540">
        <f>L92+L110+L128+L174</f>
        <v>0</v>
      </c>
      <c r="M204" s="511"/>
      <c r="N204" s="511"/>
      <c r="O204" s="205"/>
      <c r="P204" s="93"/>
      <c r="X204" s="536">
        <f>X92+X110+X128+X174</f>
        <v>0</v>
      </c>
      <c r="AA204" s="205"/>
      <c r="AB204" s="93"/>
      <c r="AJ204" s="536">
        <f>AJ92+AJ110+AJ128+AJ174</f>
        <v>0</v>
      </c>
      <c r="AL204" s="152"/>
    </row>
    <row r="205" spans="1:41" x14ac:dyDescent="0.2">
      <c r="A205" s="565" t="s">
        <v>189</v>
      </c>
      <c r="B205" s="52"/>
      <c r="C205" s="52"/>
      <c r="D205" s="511"/>
      <c r="E205" s="511"/>
      <c r="F205" s="511"/>
      <c r="G205" s="511"/>
      <c r="H205" s="511"/>
      <c r="I205" s="511"/>
      <c r="J205" s="511"/>
      <c r="K205" s="511"/>
      <c r="L205" s="511"/>
      <c r="M205" s="542">
        <f>M93+M111+M129+M175</f>
        <v>0</v>
      </c>
      <c r="N205" s="511"/>
      <c r="O205" s="205"/>
      <c r="P205" s="93"/>
      <c r="Y205" s="541">
        <f>Y93+Y111+Y129+Y175</f>
        <v>0</v>
      </c>
      <c r="AA205" s="205"/>
      <c r="AB205" s="93"/>
      <c r="AK205" s="541">
        <f>AK93+AK111+AK129+AK175</f>
        <v>0</v>
      </c>
      <c r="AL205" s="152"/>
    </row>
    <row r="206" spans="1:41" ht="13.5" thickBot="1" x14ac:dyDescent="0.25">
      <c r="A206" s="566" t="s">
        <v>190</v>
      </c>
      <c r="B206" s="567"/>
      <c r="C206" s="207"/>
      <c r="D206" s="568"/>
      <c r="E206" s="568"/>
      <c r="F206" s="568"/>
      <c r="G206" s="568"/>
      <c r="H206" s="568"/>
      <c r="I206" s="568"/>
      <c r="J206" s="568"/>
      <c r="K206" s="568"/>
      <c r="L206" s="568"/>
      <c r="M206" s="568"/>
      <c r="N206" s="569">
        <f>N94+N112+N130+N176</f>
        <v>0</v>
      </c>
      <c r="O206" s="303"/>
      <c r="P206" s="570"/>
      <c r="Q206" s="160"/>
      <c r="R206" s="160"/>
      <c r="S206" s="160"/>
      <c r="T206" s="160"/>
      <c r="U206" s="160"/>
      <c r="V206" s="160"/>
      <c r="W206" s="160"/>
      <c r="X206" s="160"/>
      <c r="Y206" s="160"/>
      <c r="Z206" s="571">
        <f>Z94+Z112+Z130+Z176</f>
        <v>0</v>
      </c>
      <c r="AA206" s="303"/>
      <c r="AB206" s="570"/>
      <c r="AC206" s="160"/>
      <c r="AD206" s="160"/>
      <c r="AE206" s="160"/>
      <c r="AF206" s="160"/>
      <c r="AG206" s="160"/>
      <c r="AH206" s="160"/>
      <c r="AI206" s="160"/>
      <c r="AJ206" s="160"/>
      <c r="AK206" s="160"/>
      <c r="AL206" s="572">
        <f>AL94+AL112+AL130+AL176</f>
        <v>0</v>
      </c>
    </row>
    <row r="207" spans="1:41" x14ac:dyDescent="0.2">
      <c r="B207" s="216"/>
      <c r="C207" s="227"/>
      <c r="D207" s="7"/>
      <c r="E207" s="7"/>
      <c r="F207" s="7"/>
      <c r="G207" s="7"/>
      <c r="H207" s="7"/>
      <c r="I207" s="7"/>
      <c r="J207" s="7"/>
      <c r="K207" s="7"/>
      <c r="L207" s="7"/>
      <c r="M207" s="7"/>
      <c r="N207" s="7"/>
      <c r="O207" s="7"/>
      <c r="P207" s="7"/>
      <c r="AL207" t="s">
        <v>215</v>
      </c>
    </row>
    <row r="208" spans="1:41" x14ac:dyDescent="0.2">
      <c r="B208" s="216"/>
      <c r="C208" s="216"/>
      <c r="D208" s="93"/>
      <c r="E208" s="93"/>
      <c r="F208" s="93"/>
      <c r="G208" s="93"/>
      <c r="H208" s="93"/>
      <c r="I208" s="93"/>
      <c r="J208" s="93"/>
      <c r="K208" s="93"/>
      <c r="L208" s="93"/>
      <c r="M208" s="93"/>
      <c r="N208" s="93"/>
      <c r="O208" s="93"/>
      <c r="P208" s="93"/>
    </row>
    <row r="209" spans="2:16" x14ac:dyDescent="0.2">
      <c r="B209" s="216"/>
      <c r="C209" s="227"/>
      <c r="D209" s="7"/>
      <c r="E209" s="7"/>
      <c r="F209" s="7"/>
      <c r="G209" s="7"/>
      <c r="H209" s="7"/>
      <c r="I209" s="7"/>
      <c r="J209" s="7"/>
      <c r="K209" s="7"/>
      <c r="L209" s="7"/>
      <c r="M209" s="7"/>
      <c r="N209" s="7"/>
      <c r="O209" s="7"/>
      <c r="P209" s="7"/>
    </row>
    <row r="210" spans="2:16" x14ac:dyDescent="0.2">
      <c r="B210" s="216"/>
      <c r="C210" s="216"/>
      <c r="D210" s="93"/>
      <c r="E210" s="93"/>
      <c r="F210" s="93"/>
      <c r="G210" s="93"/>
      <c r="H210" s="93"/>
      <c r="I210" s="93"/>
      <c r="J210" s="93"/>
      <c r="K210" s="93"/>
      <c r="L210" s="93"/>
      <c r="M210" s="93"/>
      <c r="N210" s="93"/>
      <c r="O210" s="93"/>
      <c r="P210" s="93"/>
    </row>
    <row r="211" spans="2:16" x14ac:dyDescent="0.2">
      <c r="B211" s="216"/>
      <c r="C211" s="227"/>
      <c r="D211" s="7"/>
      <c r="E211" s="7"/>
      <c r="F211" s="7"/>
      <c r="G211" s="7"/>
      <c r="H211" s="7"/>
      <c r="I211" s="7"/>
      <c r="J211" s="7"/>
      <c r="K211" s="7"/>
      <c r="L211" s="7"/>
      <c r="M211" s="7"/>
      <c r="N211" s="7"/>
      <c r="O211" s="7"/>
      <c r="P211" s="7"/>
    </row>
    <row r="212" spans="2:16" x14ac:dyDescent="0.2">
      <c r="B212" s="216"/>
      <c r="C212" s="216"/>
      <c r="D212" s="93"/>
      <c r="E212" s="93"/>
      <c r="F212" s="93"/>
      <c r="G212" s="93"/>
      <c r="H212" s="93"/>
      <c r="I212" s="93"/>
      <c r="J212" s="93"/>
      <c r="K212" s="93"/>
      <c r="L212" s="93"/>
      <c r="M212" s="93"/>
      <c r="N212" s="93"/>
      <c r="O212" s="93"/>
      <c r="P212" s="93"/>
    </row>
    <row r="213" spans="2:16" x14ac:dyDescent="0.2">
      <c r="B213" s="216"/>
      <c r="C213" s="227"/>
      <c r="D213" s="7"/>
      <c r="E213" s="7"/>
      <c r="F213" s="7"/>
      <c r="G213" s="7"/>
      <c r="H213" s="7"/>
      <c r="I213" s="7"/>
      <c r="J213" s="7"/>
      <c r="K213" s="7"/>
      <c r="L213" s="7"/>
      <c r="M213" s="7"/>
      <c r="N213" s="7"/>
      <c r="O213" s="7"/>
      <c r="P213" s="7"/>
    </row>
    <row r="214" spans="2:16" x14ac:dyDescent="0.2">
      <c r="B214" s="216"/>
      <c r="C214" s="216"/>
      <c r="D214" s="93"/>
      <c r="E214" s="93"/>
      <c r="F214" s="93"/>
      <c r="G214" s="93"/>
      <c r="H214" s="93"/>
      <c r="I214" s="93"/>
      <c r="J214" s="93"/>
      <c r="K214" s="93"/>
      <c r="L214" s="93"/>
      <c r="M214" s="93"/>
      <c r="N214" s="93"/>
      <c r="O214" s="93"/>
      <c r="P214" s="93"/>
    </row>
    <row r="215" spans="2:16" x14ac:dyDescent="0.2">
      <c r="B215" s="216"/>
      <c r="C215" s="227"/>
      <c r="D215" s="7"/>
      <c r="E215" s="7"/>
      <c r="F215" s="7"/>
      <c r="G215" s="7"/>
      <c r="H215" s="7"/>
      <c r="I215" s="7"/>
      <c r="J215" s="7"/>
      <c r="K215" s="7"/>
      <c r="L215" s="7"/>
      <c r="M215" s="7"/>
      <c r="N215" s="7"/>
      <c r="O215" s="7"/>
      <c r="P215" s="7"/>
    </row>
    <row r="216" spans="2:16" x14ac:dyDescent="0.2">
      <c r="B216" s="216"/>
      <c r="C216" s="216"/>
      <c r="D216" s="93"/>
      <c r="E216" s="93"/>
      <c r="F216" s="93"/>
      <c r="G216" s="93"/>
      <c r="H216" s="93"/>
      <c r="I216" s="93"/>
      <c r="J216" s="93"/>
      <c r="K216" s="93"/>
      <c r="L216" s="93"/>
      <c r="M216" s="93"/>
      <c r="N216" s="93"/>
      <c r="O216" s="93"/>
      <c r="P216" s="93"/>
    </row>
    <row r="217" spans="2:16" x14ac:dyDescent="0.2">
      <c r="B217" s="216"/>
      <c r="C217" s="227"/>
      <c r="D217" s="7"/>
      <c r="E217" s="7"/>
      <c r="F217" s="7"/>
      <c r="G217" s="7"/>
      <c r="H217" s="7"/>
      <c r="I217" s="7"/>
      <c r="J217" s="7"/>
      <c r="K217" s="7"/>
      <c r="L217" s="7"/>
      <c r="M217" s="7"/>
      <c r="N217" s="7"/>
      <c r="O217" s="7"/>
      <c r="P217" s="7"/>
    </row>
    <row r="218" spans="2:16" x14ac:dyDescent="0.2">
      <c r="B218" s="216"/>
      <c r="C218" s="216"/>
      <c r="D218" s="93"/>
      <c r="E218" s="93"/>
      <c r="F218" s="93"/>
      <c r="G218" s="93"/>
      <c r="H218" s="93"/>
      <c r="I218" s="93"/>
      <c r="J218" s="93"/>
      <c r="K218" s="93"/>
      <c r="L218" s="93"/>
      <c r="M218" s="93"/>
      <c r="N218" s="93"/>
      <c r="O218" s="93"/>
      <c r="P218" s="93"/>
    </row>
    <row r="219" spans="2:16" x14ac:dyDescent="0.2">
      <c r="B219" s="216"/>
      <c r="C219" s="227"/>
      <c r="D219" s="7"/>
      <c r="E219" s="7"/>
      <c r="F219" s="7"/>
      <c r="G219" s="7"/>
      <c r="H219" s="7"/>
      <c r="I219" s="7"/>
      <c r="J219" s="7"/>
      <c r="K219" s="7"/>
      <c r="L219" s="7"/>
      <c r="M219" s="7"/>
      <c r="N219" s="7"/>
      <c r="O219" s="7"/>
      <c r="P219" s="7"/>
    </row>
    <row r="220" spans="2:16" x14ac:dyDescent="0.2">
      <c r="B220" s="66"/>
      <c r="C220" s="52"/>
      <c r="D220" s="92"/>
      <c r="E220" s="92"/>
      <c r="F220" s="92"/>
      <c r="G220" s="92"/>
      <c r="H220" s="92"/>
      <c r="I220" s="92"/>
      <c r="J220" s="92"/>
      <c r="K220" s="92"/>
      <c r="L220" s="92"/>
      <c r="M220" s="92"/>
      <c r="N220" s="92"/>
      <c r="O220" s="92"/>
      <c r="P220" s="92"/>
    </row>
    <row r="221" spans="2:16" x14ac:dyDescent="0.2">
      <c r="B221" s="52"/>
      <c r="C221" s="52"/>
      <c r="D221" s="52"/>
      <c r="E221" s="52"/>
      <c r="F221" s="52"/>
      <c r="G221" s="52"/>
      <c r="H221" s="52"/>
      <c r="I221" s="52"/>
      <c r="J221" s="52"/>
      <c r="K221" s="52"/>
      <c r="L221" s="52"/>
      <c r="M221" s="52"/>
      <c r="N221" s="52"/>
      <c r="O221" s="52"/>
      <c r="P221" s="52"/>
    </row>
    <row r="222" spans="2:16" x14ac:dyDescent="0.2">
      <c r="B222" s="216"/>
      <c r="C222" s="52"/>
      <c r="D222" s="52"/>
      <c r="E222" s="7"/>
      <c r="F222" s="7"/>
      <c r="G222" s="7"/>
      <c r="H222" s="7"/>
      <c r="I222" s="7"/>
      <c r="J222" s="7"/>
      <c r="K222" s="7"/>
      <c r="L222" s="7"/>
      <c r="M222" s="7"/>
      <c r="N222" s="7"/>
      <c r="O222" s="7"/>
      <c r="P222" s="52"/>
    </row>
  </sheetData>
  <sheetProtection algorithmName="SHA-512" hashValue="g6LV5uOMPyznK+HSk34aWJVv4Hd3D3OM4ksMUGu4msbn4dut3VeyTaBI1rfTzFF35pm7Y8za+jo7YXn/sFasTg==" saltValue="Dc4Qy2ADTAdNeBn25JCDSA==" spinCount="100000" sheet="1" objects="1" scenarios="1" selectLockedCells="1" selectUnlockedCells="1"/>
  <mergeCells count="5">
    <mergeCell ref="D2:E2"/>
    <mergeCell ref="G19:I19"/>
    <mergeCell ref="C28:E28"/>
    <mergeCell ref="G28:I28"/>
    <mergeCell ref="F37:I37"/>
  </mergeCells>
  <pageMargins left="0.7" right="0.7" top="0.75" bottom="0.75" header="0.3" footer="0.3"/>
  <pageSetup paperSize="9" orientation="portrait" verticalDpi="4"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ul7"/>
  <dimension ref="B1:V115"/>
  <sheetViews>
    <sheetView zoomScaleNormal="100" workbookViewId="0">
      <selection activeCell="D38" sqref="D38"/>
    </sheetView>
  </sheetViews>
  <sheetFormatPr defaultRowHeight="12.75" x14ac:dyDescent="0.2"/>
  <cols>
    <col min="2" max="2" width="9.140625" customWidth="1"/>
    <col min="3" max="3" width="43.5703125" customWidth="1"/>
    <col min="4" max="4" width="9.85546875" customWidth="1"/>
    <col min="5" max="5" width="12.28515625" customWidth="1"/>
    <col min="6" max="6" width="12" bestFit="1" customWidth="1"/>
    <col min="8" max="8" width="9.140625" bestFit="1" customWidth="1"/>
    <col min="18" max="19" width="9.140625" bestFit="1" customWidth="1"/>
    <col min="20" max="20" width="12.28515625" customWidth="1"/>
    <col min="21" max="21" width="12.7109375" customWidth="1"/>
  </cols>
  <sheetData>
    <row r="1" spans="3:21" x14ac:dyDescent="0.2">
      <c r="C1" s="1487" t="s">
        <v>81</v>
      </c>
      <c r="D1" s="286" t="s">
        <v>803</v>
      </c>
      <c r="E1" s="1946" t="s">
        <v>0</v>
      </c>
      <c r="F1" s="1946"/>
      <c r="G1" s="1946"/>
    </row>
    <row r="2" spans="3:21" x14ac:dyDescent="0.2">
      <c r="C2" s="1488" t="s">
        <v>804</v>
      </c>
      <c r="D2" s="286" t="s">
        <v>805</v>
      </c>
      <c r="E2" s="286" t="s">
        <v>806</v>
      </c>
      <c r="F2" s="286" t="s">
        <v>807</v>
      </c>
      <c r="G2" s="286"/>
    </row>
    <row r="3" spans="3:21" x14ac:dyDescent="0.2">
      <c r="C3" s="1489" t="s">
        <v>808</v>
      </c>
      <c r="D3" s="507">
        <f>'K1 Kostnader'!F13</f>
        <v>12</v>
      </c>
      <c r="E3">
        <f>IF('K1 Kostnader'!F13=12,'K1 Kostnader'!F14,IF('K1 Kostnader'!F13&lt;12,12*('K1 Kostnader'!F14+'K1 Kostnader'!G14)/('K1 Kostnader'!F13+'K1 Kostnader'!G13),'K1 Kostnader'!F16))</f>
        <v>0</v>
      </c>
      <c r="F3">
        <f>IF('K1 Kostnader'!F13=12,12*'K1 Kostnader'!F17,IF('K1 Kostnader'!F13&lt;12,12*('K1 Kostnader'!F13*'K1 Kostnader'!F17+'K1 Kostnader'!G13*'K1 Kostnader'!G17)/('K1 Kostnader'!F13+'K1 Kostnader'!G13),12*'K1 Kostnader'!F17))</f>
        <v>0</v>
      </c>
    </row>
    <row r="4" spans="3:21" x14ac:dyDescent="0.2">
      <c r="C4" s="1489" t="s">
        <v>809</v>
      </c>
      <c r="D4" s="821">
        <f>'FS1 Kostnader '!F13</f>
        <v>12</v>
      </c>
      <c r="E4">
        <f>IF('FS1 Kostnader '!F13=12,'FS1 Kostnader '!F14,IF('FS1 Kostnader '!F1312,12*('FS1 Kostnader '!F14+'FS1 Kostnader '!Teksti38)/('FS1 Kostnader '!F13+'FS1 Kostnader '!G13),12*'FS1 Kostnader '!F16))</f>
        <v>0</v>
      </c>
      <c r="F4">
        <f>IF('FS1 Kostnader '!F13=12,12*'FS1 Kostnader '!F17,IF('FS1 Kostnader '!F13&lt;12,12*('FS1 Kostnader '!F13*'FS1 Kostnader '!F17+'FS1 Kostnader '!G13*'FS1 Kostnader '!G17)/('FS1 Kostnader '!F13+'FS1 Kostnader '!G13),12*'FS1 Kostnader '!F17))</f>
        <v>0</v>
      </c>
    </row>
    <row r="5" spans="3:21" x14ac:dyDescent="0.2">
      <c r="F5" t="s">
        <v>0</v>
      </c>
    </row>
    <row r="6" spans="3:21" ht="13.5" thickBot="1" x14ac:dyDescent="0.25"/>
    <row r="7" spans="3:21" x14ac:dyDescent="0.2">
      <c r="C7" s="173" t="s">
        <v>81</v>
      </c>
      <c r="D7" s="174" t="s">
        <v>76</v>
      </c>
      <c r="E7" s="378" t="str">
        <f>Kassabudget!G6</f>
        <v>JAN</v>
      </c>
      <c r="F7" s="378" t="str">
        <f>Kassabudget!H6</f>
        <v>FEB</v>
      </c>
      <c r="G7" s="378" t="str">
        <f>Kassabudget!I6</f>
        <v>MARS</v>
      </c>
      <c r="H7" s="378" t="str">
        <f>Kassabudget!J6</f>
        <v>APR</v>
      </c>
      <c r="I7" s="378" t="str">
        <f>Kassabudget!K6</f>
        <v>MAJ</v>
      </c>
      <c r="J7" s="378" t="str">
        <f>Kassabudget!L6</f>
        <v>JUNI</v>
      </c>
      <c r="K7" s="378" t="str">
        <f>Kassabudget!M6</f>
        <v>JULI</v>
      </c>
      <c r="L7" s="378" t="str">
        <f>Kassabudget!N6</f>
        <v>AUG</v>
      </c>
      <c r="M7" s="378" t="str">
        <f>Kassabudget!O6</f>
        <v>SEP</v>
      </c>
      <c r="N7" s="378" t="str">
        <f>Kassabudget!P6</f>
        <v>OKT</v>
      </c>
      <c r="O7" s="378" t="str">
        <f>Kassabudget!Q6</f>
        <v>NOV</v>
      </c>
      <c r="P7" s="378" t="str">
        <f>Kassabudget!R6</f>
        <v>DEC</v>
      </c>
      <c r="Q7" s="175" t="s">
        <v>78</v>
      </c>
    </row>
    <row r="8" spans="3:21" x14ac:dyDescent="0.2">
      <c r="C8" s="176" t="s">
        <v>82</v>
      </c>
      <c r="D8" s="217"/>
      <c r="E8" s="177">
        <f>Kassabudget!G35</f>
        <v>0</v>
      </c>
      <c r="F8" s="177">
        <f>Kassabudget!H35</f>
        <v>0</v>
      </c>
      <c r="G8" s="177">
        <f>Kassabudget!I35</f>
        <v>0</v>
      </c>
      <c r="H8" s="177">
        <f>Kassabudget!J35</f>
        <v>0</v>
      </c>
      <c r="I8" s="177">
        <f>Kassabudget!K35</f>
        <v>0</v>
      </c>
      <c r="J8" s="177">
        <f>Kassabudget!L35</f>
        <v>0</v>
      </c>
      <c r="K8" s="177">
        <f>Kassabudget!M35</f>
        <v>0</v>
      </c>
      <c r="L8" s="177">
        <f>Kassabudget!N35</f>
        <v>0</v>
      </c>
      <c r="M8" s="177">
        <f>Kassabudget!O35</f>
        <v>0</v>
      </c>
      <c r="N8" s="177">
        <f>Kassabudget!P35</f>
        <v>0</v>
      </c>
      <c r="O8" s="177">
        <f>Kassabudget!Q35</f>
        <v>0</v>
      </c>
      <c r="P8" s="177">
        <f>Kassabudget!R35</f>
        <v>0</v>
      </c>
      <c r="Q8" s="181">
        <f t="shared" ref="Q8:Q14" si="0">SUM(E8:P8)</f>
        <v>0</v>
      </c>
    </row>
    <row r="9" spans="3:21" x14ac:dyDescent="0.2">
      <c r="C9" s="176" t="s">
        <v>83</v>
      </c>
      <c r="D9" s="224"/>
      <c r="E9" s="177">
        <f>Kassabudget!G36</f>
        <v>0</v>
      </c>
      <c r="F9" s="177">
        <f>Kassabudget!H36</f>
        <v>0</v>
      </c>
      <c r="G9" s="177">
        <f>Kassabudget!I36</f>
        <v>0</v>
      </c>
      <c r="H9" s="177">
        <f>Kassabudget!J36</f>
        <v>0</v>
      </c>
      <c r="I9" s="177">
        <f>Kassabudget!K36</f>
        <v>0</v>
      </c>
      <c r="J9" s="177">
        <f>Kassabudget!L36</f>
        <v>0</v>
      </c>
      <c r="K9" s="177">
        <f>Kassabudget!M36</f>
        <v>0</v>
      </c>
      <c r="L9" s="177">
        <f>Kassabudget!N36</f>
        <v>0</v>
      </c>
      <c r="M9" s="177">
        <f>Kassabudget!O36</f>
        <v>0</v>
      </c>
      <c r="N9" s="177">
        <f>Kassabudget!P36</f>
        <v>0</v>
      </c>
      <c r="O9" s="177">
        <f>Kassabudget!Q36</f>
        <v>0</v>
      </c>
      <c r="P9" s="177">
        <f>Kassabudget!R36</f>
        <v>0</v>
      </c>
      <c r="Q9" s="181">
        <f t="shared" si="0"/>
        <v>0</v>
      </c>
    </row>
    <row r="10" spans="3:21" x14ac:dyDescent="0.2">
      <c r="C10" s="176" t="s">
        <v>84</v>
      </c>
      <c r="D10" s="224"/>
      <c r="E10" s="177">
        <f t="shared" ref="E10:P10" si="1">SUM(E8:E9)</f>
        <v>0</v>
      </c>
      <c r="F10" s="177">
        <f t="shared" si="1"/>
        <v>0</v>
      </c>
      <c r="G10" s="177">
        <f t="shared" si="1"/>
        <v>0</v>
      </c>
      <c r="H10" s="177">
        <f t="shared" si="1"/>
        <v>0</v>
      </c>
      <c r="I10" s="177">
        <f t="shared" si="1"/>
        <v>0</v>
      </c>
      <c r="J10" s="177">
        <f t="shared" si="1"/>
        <v>0</v>
      </c>
      <c r="K10" s="177">
        <f t="shared" si="1"/>
        <v>0</v>
      </c>
      <c r="L10" s="177">
        <f t="shared" si="1"/>
        <v>0</v>
      </c>
      <c r="M10" s="177">
        <f t="shared" si="1"/>
        <v>0</v>
      </c>
      <c r="N10" s="177">
        <f t="shared" si="1"/>
        <v>0</v>
      </c>
      <c r="O10" s="177">
        <f t="shared" si="1"/>
        <v>0</v>
      </c>
      <c r="P10" s="177">
        <f t="shared" si="1"/>
        <v>0</v>
      </c>
      <c r="Q10" s="181">
        <f t="shared" si="0"/>
        <v>0</v>
      </c>
    </row>
    <row r="11" spans="3:21" x14ac:dyDescent="0.2">
      <c r="C11" s="176" t="s">
        <v>85</v>
      </c>
      <c r="D11" s="225">
        <f>Kassabudget!F35</f>
        <v>29</v>
      </c>
      <c r="E11" s="177">
        <f t="shared" ref="E11:P11" si="2">E10*$D11%</f>
        <v>0</v>
      </c>
      <c r="F11" s="177">
        <f t="shared" si="2"/>
        <v>0</v>
      </c>
      <c r="G11" s="177">
        <f t="shared" si="2"/>
        <v>0</v>
      </c>
      <c r="H11" s="177">
        <f t="shared" si="2"/>
        <v>0</v>
      </c>
      <c r="I11" s="177">
        <f t="shared" si="2"/>
        <v>0</v>
      </c>
      <c r="J11" s="177">
        <f t="shared" si="2"/>
        <v>0</v>
      </c>
      <c r="K11" s="177">
        <f t="shared" si="2"/>
        <v>0</v>
      </c>
      <c r="L11" s="177">
        <f t="shared" si="2"/>
        <v>0</v>
      </c>
      <c r="M11" s="177">
        <f t="shared" si="2"/>
        <v>0</v>
      </c>
      <c r="N11" s="177">
        <f t="shared" si="2"/>
        <v>0</v>
      </c>
      <c r="O11" s="177">
        <f t="shared" si="2"/>
        <v>0</v>
      </c>
      <c r="P11" s="177">
        <f t="shared" si="2"/>
        <v>0</v>
      </c>
      <c r="Q11" s="181">
        <f t="shared" si="0"/>
        <v>0</v>
      </c>
    </row>
    <row r="12" spans="3:21" x14ac:dyDescent="0.2">
      <c r="C12" s="176" t="s">
        <v>86</v>
      </c>
      <c r="D12" s="226">
        <v>0</v>
      </c>
      <c r="E12" s="177">
        <f t="shared" ref="E12:P12" si="3">E10*$D12%</f>
        <v>0</v>
      </c>
      <c r="F12" s="177">
        <f t="shared" si="3"/>
        <v>0</v>
      </c>
      <c r="G12" s="177">
        <f t="shared" si="3"/>
        <v>0</v>
      </c>
      <c r="H12" s="177">
        <f t="shared" si="3"/>
        <v>0</v>
      </c>
      <c r="I12" s="177">
        <f t="shared" si="3"/>
        <v>0</v>
      </c>
      <c r="J12" s="177">
        <f t="shared" si="3"/>
        <v>0</v>
      </c>
      <c r="K12" s="177">
        <f t="shared" si="3"/>
        <v>0</v>
      </c>
      <c r="L12" s="177">
        <f t="shared" si="3"/>
        <v>0</v>
      </c>
      <c r="M12" s="177">
        <f t="shared" si="3"/>
        <v>0</v>
      </c>
      <c r="N12" s="177">
        <f t="shared" si="3"/>
        <v>0</v>
      </c>
      <c r="O12" s="177">
        <f t="shared" si="3"/>
        <v>0</v>
      </c>
      <c r="P12" s="177">
        <f t="shared" si="3"/>
        <v>0</v>
      </c>
      <c r="Q12" s="181">
        <f t="shared" si="0"/>
        <v>0</v>
      </c>
    </row>
    <row r="13" spans="3:21" ht="13.5" thickBot="1" x14ac:dyDescent="0.25">
      <c r="C13" s="179" t="s">
        <v>87</v>
      </c>
      <c r="D13" s="401" t="s">
        <v>0</v>
      </c>
      <c r="E13" s="180">
        <f t="shared" ref="E13:P13" si="4">E8-E11-E12</f>
        <v>0</v>
      </c>
      <c r="F13" s="180">
        <f t="shared" si="4"/>
        <v>0</v>
      </c>
      <c r="G13" s="180">
        <f t="shared" si="4"/>
        <v>0</v>
      </c>
      <c r="H13" s="180">
        <f t="shared" si="4"/>
        <v>0</v>
      </c>
      <c r="I13" s="180">
        <f t="shared" si="4"/>
        <v>0</v>
      </c>
      <c r="J13" s="180">
        <f t="shared" si="4"/>
        <v>0</v>
      </c>
      <c r="K13" s="180">
        <f t="shared" si="4"/>
        <v>0</v>
      </c>
      <c r="L13" s="180">
        <f t="shared" si="4"/>
        <v>0</v>
      </c>
      <c r="M13" s="180">
        <f t="shared" si="4"/>
        <v>0</v>
      </c>
      <c r="N13" s="180">
        <f t="shared" si="4"/>
        <v>0</v>
      </c>
      <c r="O13" s="180">
        <f t="shared" si="4"/>
        <v>0</v>
      </c>
      <c r="P13" s="180">
        <f t="shared" si="4"/>
        <v>0</v>
      </c>
      <c r="Q13" s="181">
        <f t="shared" si="0"/>
        <v>0</v>
      </c>
    </row>
    <row r="14" spans="3:21" ht="13.5" thickBot="1" x14ac:dyDescent="0.25">
      <c r="C14" s="179" t="s">
        <v>88</v>
      </c>
      <c r="D14" s="1475">
        <f>D11+1.91</f>
        <v>30.91</v>
      </c>
      <c r="E14" s="182">
        <f t="shared" ref="E14:P14" si="5">E10*$D14%</f>
        <v>0</v>
      </c>
      <c r="F14" s="182">
        <f t="shared" si="5"/>
        <v>0</v>
      </c>
      <c r="G14" s="182">
        <f t="shared" si="5"/>
        <v>0</v>
      </c>
      <c r="H14" s="182">
        <f t="shared" si="5"/>
        <v>0</v>
      </c>
      <c r="I14" s="182">
        <f t="shared" si="5"/>
        <v>0</v>
      </c>
      <c r="J14" s="182">
        <f t="shared" si="5"/>
        <v>0</v>
      </c>
      <c r="K14" s="182">
        <f t="shared" si="5"/>
        <v>0</v>
      </c>
      <c r="L14" s="182">
        <f t="shared" si="5"/>
        <v>0</v>
      </c>
      <c r="M14" s="182">
        <f t="shared" si="5"/>
        <v>0</v>
      </c>
      <c r="N14" s="182">
        <f t="shared" si="5"/>
        <v>0</v>
      </c>
      <c r="O14" s="182">
        <f t="shared" si="5"/>
        <v>0</v>
      </c>
      <c r="P14" s="182">
        <f t="shared" si="5"/>
        <v>0</v>
      </c>
      <c r="Q14" s="183">
        <f t="shared" si="0"/>
        <v>0</v>
      </c>
      <c r="R14" s="1949">
        <f>'K3 Resultat'!H38</f>
        <v>2027</v>
      </c>
      <c r="S14" s="1950"/>
      <c r="T14" s="1949">
        <f>'K3 Resultat'!K38</f>
        <v>2028</v>
      </c>
      <c r="U14" s="1950"/>
    </row>
    <row r="15" spans="3:21" x14ac:dyDescent="0.2">
      <c r="C15" s="423" t="s">
        <v>142</v>
      </c>
      <c r="D15" s="452"/>
      <c r="E15" s="1947" t="s">
        <v>165</v>
      </c>
      <c r="F15" s="1948"/>
      <c r="G15" s="458">
        <f>'K3 Resultat'!F38</f>
        <v>2026</v>
      </c>
      <c r="H15" s="1947" t="s">
        <v>166</v>
      </c>
      <c r="I15" s="1948"/>
      <c r="J15" s="458">
        <f>'FS3 Resultat'!F38</f>
        <v>2027</v>
      </c>
      <c r="K15" s="460"/>
      <c r="L15" s="425"/>
      <c r="M15" s="425"/>
      <c r="N15" s="425"/>
      <c r="O15" s="425"/>
      <c r="P15" s="425"/>
      <c r="Q15" s="426"/>
      <c r="R15" s="427" t="s">
        <v>167</v>
      </c>
      <c r="S15" s="428" t="s">
        <v>168</v>
      </c>
      <c r="T15" s="427" t="s">
        <v>167</v>
      </c>
      <c r="U15" s="428" t="s">
        <v>168</v>
      </c>
    </row>
    <row r="16" spans="3:21" x14ac:dyDescent="0.2">
      <c r="C16" s="429" t="s">
        <v>143</v>
      </c>
      <c r="D16" s="454"/>
      <c r="E16" s="459">
        <f>'K1 Kostnader'!F14+'K1 Kostnader'!F17*'K1 Kostnader'!F18</f>
        <v>0</v>
      </c>
      <c r="F16" s="431"/>
      <c r="G16" s="449"/>
      <c r="H16" s="461">
        <f>'FS1 Kostnader '!F14+'FS1 Kostnader '!F17*'FS1 Kostnader '!F18</f>
        <v>0</v>
      </c>
      <c r="I16" s="431"/>
      <c r="J16" s="449"/>
      <c r="K16" s="456"/>
      <c r="L16" s="431"/>
      <c r="M16" s="431"/>
      <c r="N16" s="431"/>
      <c r="O16" s="431"/>
      <c r="P16" s="431"/>
      <c r="Q16" s="432"/>
      <c r="R16" s="430">
        <f>'K1 Kostnader'!G14+'K1 Kostnader'!G17*'K1 Kostnader'!G18</f>
        <v>0</v>
      </c>
      <c r="S16" s="434">
        <f>'FS1 Kostnader '!G14+'FS1 Kostnader '!G17*'FS1 Kostnader '!G18</f>
        <v>0</v>
      </c>
      <c r="T16" s="430">
        <f>'K1 Kostnader'!H14+'K1 Kostnader'!H17*'K1 Kostnader'!H18</f>
        <v>0</v>
      </c>
      <c r="U16" s="434">
        <f>'FS1 Kostnader '!H14+'FS1 Kostnader '!H17*'FS1 Kostnader '!H18</f>
        <v>0</v>
      </c>
    </row>
    <row r="17" spans="3:21" x14ac:dyDescent="0.2">
      <c r="C17" s="429" t="s">
        <v>144</v>
      </c>
      <c r="D17" s="502">
        <v>0</v>
      </c>
      <c r="E17" s="450">
        <f>(E16/12/25)*30+30*0.5*(E16/12/25)</f>
        <v>0</v>
      </c>
      <c r="F17" s="431"/>
      <c r="G17" s="449"/>
      <c r="H17" s="450">
        <f>(H16/12/25)*30+30*0.5*(H16/12/25)</f>
        <v>0</v>
      </c>
      <c r="I17" s="431"/>
      <c r="J17" s="449"/>
      <c r="K17" s="456"/>
      <c r="L17" s="431"/>
      <c r="M17" s="431"/>
      <c r="N17" s="431"/>
      <c r="O17" s="431"/>
      <c r="P17" s="431"/>
      <c r="Q17" s="432"/>
      <c r="R17" s="450">
        <f>(R16/12.5/25)*30+30*0.5*(R16/12.5/25)</f>
        <v>0</v>
      </c>
      <c r="S17" s="450">
        <f>(S16/12.5/25)*30+30*0.5*(S16/12.5/25)</f>
        <v>0</v>
      </c>
      <c r="T17" s="450">
        <f>(T16/12.5/25)*30+30*0.5*(T16/12.5/25)</f>
        <v>0</v>
      </c>
      <c r="U17" s="450">
        <f>(U16/12.5/25)*30+30*0.5*(U16/12.5/25)</f>
        <v>0</v>
      </c>
    </row>
    <row r="18" spans="3:21" x14ac:dyDescent="0.2">
      <c r="C18" s="429" t="s">
        <v>145</v>
      </c>
      <c r="D18" s="454"/>
      <c r="E18" s="434">
        <f>SUM(E17:E17)</f>
        <v>0</v>
      </c>
      <c r="F18" s="434"/>
      <c r="G18" s="449"/>
      <c r="H18" s="434">
        <f>SUM(H17:H17)</f>
        <v>0</v>
      </c>
      <c r="I18" s="431"/>
      <c r="J18" s="449"/>
      <c r="K18" s="456"/>
      <c r="L18" s="431"/>
      <c r="M18" s="431"/>
      <c r="N18" s="431"/>
      <c r="O18" s="431"/>
      <c r="P18" s="431"/>
      <c r="Q18" s="432"/>
      <c r="R18" s="434">
        <f>SUM(R17:R17)</f>
        <v>0</v>
      </c>
      <c r="S18" s="432">
        <f>SUM(S17:S17)</f>
        <v>0</v>
      </c>
      <c r="T18" s="434">
        <f>SUM(T17:T17)</f>
        <v>0</v>
      </c>
      <c r="U18" s="432">
        <f>SUM(U17:U17)</f>
        <v>0</v>
      </c>
    </row>
    <row r="19" spans="3:21" x14ac:dyDescent="0.2">
      <c r="C19" s="429" t="s">
        <v>146</v>
      </c>
      <c r="D19" s="453">
        <v>0.03</v>
      </c>
      <c r="E19" s="435">
        <f>$D19*E18</f>
        <v>0</v>
      </c>
      <c r="F19" s="431"/>
      <c r="G19" s="449"/>
      <c r="H19" s="435">
        <f>$D19*H18</f>
        <v>0</v>
      </c>
      <c r="I19" s="431"/>
      <c r="J19" s="449"/>
      <c r="K19" s="456"/>
      <c r="L19" s="431"/>
      <c r="M19" s="431"/>
      <c r="N19" s="431"/>
      <c r="O19" s="431"/>
      <c r="P19" s="431"/>
      <c r="Q19" s="432"/>
      <c r="R19" s="435">
        <f>$D19*R18</f>
        <v>0</v>
      </c>
      <c r="S19" s="432">
        <f>$D19*S18</f>
        <v>0</v>
      </c>
      <c r="T19" s="435">
        <f>$D19*T18</f>
        <v>0</v>
      </c>
      <c r="U19" s="432">
        <f>$D19*U18</f>
        <v>0</v>
      </c>
    </row>
    <row r="20" spans="3:21" ht="13.5" thickBot="1" x14ac:dyDescent="0.25">
      <c r="C20" s="436" t="s">
        <v>169</v>
      </c>
      <c r="D20" s="455"/>
      <c r="E20" s="441">
        <f>E18+E19</f>
        <v>0</v>
      </c>
      <c r="F20" s="438"/>
      <c r="G20" s="442"/>
      <c r="H20" s="441">
        <f>H18+H19</f>
        <v>0</v>
      </c>
      <c r="I20" s="438"/>
      <c r="J20" s="442"/>
      <c r="K20" s="457"/>
      <c r="L20" s="439"/>
      <c r="M20" s="439"/>
      <c r="N20" s="439"/>
      <c r="O20" s="439"/>
      <c r="P20" s="439"/>
      <c r="Q20" s="440"/>
      <c r="R20" s="441">
        <f>R19</f>
        <v>0</v>
      </c>
      <c r="S20" s="441">
        <f t="shared" ref="S20:U20" si="6">S19</f>
        <v>0</v>
      </c>
      <c r="T20" s="441">
        <f t="shared" si="6"/>
        <v>0</v>
      </c>
      <c r="U20" s="441">
        <f t="shared" si="6"/>
        <v>0</v>
      </c>
    </row>
    <row r="21" spans="3:21" ht="13.5" thickBot="1" x14ac:dyDescent="0.25">
      <c r="C21" s="374"/>
      <c r="D21" s="375"/>
      <c r="E21" s="205"/>
      <c r="F21" s="205"/>
      <c r="G21" s="205"/>
      <c r="H21" s="205"/>
      <c r="I21" s="205"/>
      <c r="J21" s="205"/>
      <c r="K21" s="205"/>
      <c r="L21" s="205"/>
      <c r="M21" s="205"/>
      <c r="N21" s="205"/>
      <c r="O21" s="205"/>
      <c r="P21" s="205"/>
      <c r="Q21" s="260"/>
      <c r="R21" s="443"/>
      <c r="S21" s="444"/>
      <c r="T21" s="443"/>
      <c r="U21" s="444"/>
    </row>
    <row r="22" spans="3:21" ht="13.5" thickBot="1" x14ac:dyDescent="0.25">
      <c r="C22" s="184"/>
      <c r="D22" s="185"/>
      <c r="E22" s="186"/>
      <c r="F22" s="186"/>
      <c r="G22" s="186"/>
      <c r="H22" s="186"/>
      <c r="I22" s="186"/>
      <c r="J22" s="186"/>
      <c r="K22" s="186"/>
      <c r="L22" s="186"/>
      <c r="M22" s="186"/>
      <c r="N22" s="186"/>
      <c r="O22" s="186"/>
      <c r="P22" s="186"/>
      <c r="Q22" s="187"/>
    </row>
    <row r="23" spans="3:21" x14ac:dyDescent="0.2">
      <c r="C23" s="173" t="s">
        <v>89</v>
      </c>
      <c r="D23" s="174" t="s">
        <v>76</v>
      </c>
      <c r="E23" s="378" t="str">
        <f t="shared" ref="E23:Q23" si="7">E7</f>
        <v>JAN</v>
      </c>
      <c r="F23" s="378" t="str">
        <f t="shared" si="7"/>
        <v>FEB</v>
      </c>
      <c r="G23" s="378" t="str">
        <f t="shared" si="7"/>
        <v>MARS</v>
      </c>
      <c r="H23" s="378" t="str">
        <f t="shared" si="7"/>
        <v>APR</v>
      </c>
      <c r="I23" s="378" t="str">
        <f t="shared" si="7"/>
        <v>MAJ</v>
      </c>
      <c r="J23" s="378" t="str">
        <f t="shared" si="7"/>
        <v>JUNI</v>
      </c>
      <c r="K23" s="378" t="str">
        <f t="shared" si="7"/>
        <v>JULI</v>
      </c>
      <c r="L23" s="378" t="str">
        <f t="shared" si="7"/>
        <v>AUG</v>
      </c>
      <c r="M23" s="378" t="str">
        <f t="shared" si="7"/>
        <v>SEP</v>
      </c>
      <c r="N23" s="378" t="str">
        <f t="shared" si="7"/>
        <v>OKT</v>
      </c>
      <c r="O23" s="378" t="str">
        <f t="shared" si="7"/>
        <v>NOV</v>
      </c>
      <c r="P23" s="378" t="str">
        <f t="shared" si="7"/>
        <v>DEC</v>
      </c>
      <c r="Q23" s="175" t="str">
        <f t="shared" si="7"/>
        <v>YHT</v>
      </c>
    </row>
    <row r="24" spans="3:21" x14ac:dyDescent="0.2">
      <c r="C24" s="176" t="s">
        <v>82</v>
      </c>
      <c r="D24" s="217"/>
      <c r="E24" s="188">
        <f>Kassabudget!G37</f>
        <v>0</v>
      </c>
      <c r="F24" s="188">
        <f>Kassabudget!H37</f>
        <v>0</v>
      </c>
      <c r="G24" s="188">
        <f>Kassabudget!I37</f>
        <v>0</v>
      </c>
      <c r="H24" s="188">
        <f>Kassabudget!J37</f>
        <v>0</v>
      </c>
      <c r="I24" s="188">
        <f>Kassabudget!K37</f>
        <v>0</v>
      </c>
      <c r="J24" s="188">
        <f>Kassabudget!L37</f>
        <v>0</v>
      </c>
      <c r="K24" s="188">
        <f>Kassabudget!M37</f>
        <v>0</v>
      </c>
      <c r="L24" s="188">
        <f>Kassabudget!N37</f>
        <v>0</v>
      </c>
      <c r="M24" s="188">
        <f>Kassabudget!O37</f>
        <v>0</v>
      </c>
      <c r="N24" s="188">
        <f>Kassabudget!P37</f>
        <v>0</v>
      </c>
      <c r="O24" s="188">
        <f>Kassabudget!Q37</f>
        <v>0</v>
      </c>
      <c r="P24" s="188">
        <f>Kassabudget!R37</f>
        <v>0</v>
      </c>
      <c r="Q24" s="181">
        <f t="shared" ref="Q24:Q30" si="8">SUM(E24:P24)</f>
        <v>0</v>
      </c>
    </row>
    <row r="25" spans="3:21" x14ac:dyDescent="0.2">
      <c r="C25" s="176" t="s">
        <v>83</v>
      </c>
      <c r="D25" s="224"/>
      <c r="E25" s="177">
        <f>Kassabudget!G38</f>
        <v>0</v>
      </c>
      <c r="F25" s="177">
        <f>Kassabudget!H38</f>
        <v>0</v>
      </c>
      <c r="G25" s="177">
        <f>Kassabudget!I38</f>
        <v>0</v>
      </c>
      <c r="H25" s="177">
        <f>Kassabudget!J38</f>
        <v>0</v>
      </c>
      <c r="I25" s="177">
        <f>Kassabudget!K38</f>
        <v>0</v>
      </c>
      <c r="J25" s="177">
        <f>Kassabudget!L38</f>
        <v>0</v>
      </c>
      <c r="K25" s="177">
        <f>Kassabudget!M38</f>
        <v>0</v>
      </c>
      <c r="L25" s="177">
        <f>Kassabudget!N38</f>
        <v>0</v>
      </c>
      <c r="M25" s="177">
        <f>Kassabudget!O38</f>
        <v>0</v>
      </c>
      <c r="N25" s="177">
        <f>Kassabudget!P38</f>
        <v>0</v>
      </c>
      <c r="O25" s="177">
        <f>Kassabudget!Q38</f>
        <v>0</v>
      </c>
      <c r="P25" s="177">
        <f>Kassabudget!R38</f>
        <v>0</v>
      </c>
      <c r="Q25" s="181">
        <f t="shared" si="8"/>
        <v>0</v>
      </c>
    </row>
    <row r="26" spans="3:21" x14ac:dyDescent="0.2">
      <c r="C26" s="176" t="s">
        <v>84</v>
      </c>
      <c r="D26" s="224"/>
      <c r="E26" s="177">
        <f t="shared" ref="E26:P26" si="9">SUM(E24:E25)</f>
        <v>0</v>
      </c>
      <c r="F26" s="177">
        <f t="shared" si="9"/>
        <v>0</v>
      </c>
      <c r="G26" s="177">
        <f t="shared" si="9"/>
        <v>0</v>
      </c>
      <c r="H26" s="177">
        <f t="shared" si="9"/>
        <v>0</v>
      </c>
      <c r="I26" s="177">
        <f t="shared" si="9"/>
        <v>0</v>
      </c>
      <c r="J26" s="177">
        <f t="shared" si="9"/>
        <v>0</v>
      </c>
      <c r="K26" s="177">
        <f t="shared" si="9"/>
        <v>0</v>
      </c>
      <c r="L26" s="177">
        <f t="shared" si="9"/>
        <v>0</v>
      </c>
      <c r="M26" s="177">
        <f t="shared" si="9"/>
        <v>0</v>
      </c>
      <c r="N26" s="177">
        <f t="shared" si="9"/>
        <v>0</v>
      </c>
      <c r="O26" s="177">
        <f t="shared" si="9"/>
        <v>0</v>
      </c>
      <c r="P26" s="177">
        <f t="shared" si="9"/>
        <v>0</v>
      </c>
      <c r="Q26" s="181">
        <f t="shared" si="8"/>
        <v>0</v>
      </c>
    </row>
    <row r="27" spans="3:21" ht="13.5" thickBot="1" x14ac:dyDescent="0.25">
      <c r="C27" s="176" t="s">
        <v>85</v>
      </c>
      <c r="D27" s="178">
        <f>Kassabudget!F37</f>
        <v>20</v>
      </c>
      <c r="E27" s="177">
        <f t="shared" ref="E27:P27" si="10">E26*$D27%</f>
        <v>0</v>
      </c>
      <c r="F27" s="177">
        <f t="shared" si="10"/>
        <v>0</v>
      </c>
      <c r="G27" s="177">
        <f t="shared" si="10"/>
        <v>0</v>
      </c>
      <c r="H27" s="177">
        <f t="shared" si="10"/>
        <v>0</v>
      </c>
      <c r="I27" s="177">
        <f t="shared" si="10"/>
        <v>0</v>
      </c>
      <c r="J27" s="177">
        <f t="shared" si="10"/>
        <v>0</v>
      </c>
      <c r="K27" s="177">
        <f t="shared" si="10"/>
        <v>0</v>
      </c>
      <c r="L27" s="177">
        <f t="shared" si="10"/>
        <v>0</v>
      </c>
      <c r="M27" s="177">
        <f t="shared" si="10"/>
        <v>0</v>
      </c>
      <c r="N27" s="177">
        <f t="shared" si="10"/>
        <v>0</v>
      </c>
      <c r="O27" s="177">
        <f t="shared" si="10"/>
        <v>0</v>
      </c>
      <c r="P27" s="177">
        <f t="shared" si="10"/>
        <v>0</v>
      </c>
      <c r="Q27" s="181">
        <f t="shared" si="8"/>
        <v>0</v>
      </c>
    </row>
    <row r="28" spans="3:21" ht="13.5" thickBot="1" x14ac:dyDescent="0.25">
      <c r="C28" s="189" t="s">
        <v>90</v>
      </c>
      <c r="D28" s="190">
        <f>Kassabudget!F39</f>
        <v>8.06</v>
      </c>
      <c r="E28" s="191">
        <f t="shared" ref="E28:P28" si="11">E26*$D28%</f>
        <v>0</v>
      </c>
      <c r="F28" s="191">
        <f t="shared" si="11"/>
        <v>0</v>
      </c>
      <c r="G28" s="191">
        <f t="shared" si="11"/>
        <v>0</v>
      </c>
      <c r="H28" s="191">
        <f t="shared" si="11"/>
        <v>0</v>
      </c>
      <c r="I28" s="191">
        <f t="shared" si="11"/>
        <v>0</v>
      </c>
      <c r="J28" s="191">
        <f t="shared" si="11"/>
        <v>0</v>
      </c>
      <c r="K28" s="191">
        <f t="shared" si="11"/>
        <v>0</v>
      </c>
      <c r="L28" s="191">
        <f t="shared" si="11"/>
        <v>0</v>
      </c>
      <c r="M28" s="191">
        <f t="shared" si="11"/>
        <v>0</v>
      </c>
      <c r="N28" s="191">
        <f t="shared" si="11"/>
        <v>0</v>
      </c>
      <c r="O28" s="191">
        <f t="shared" si="11"/>
        <v>0</v>
      </c>
      <c r="P28" s="191">
        <f t="shared" si="11"/>
        <v>0</v>
      </c>
      <c r="Q28" s="181">
        <f t="shared" si="8"/>
        <v>0</v>
      </c>
    </row>
    <row r="29" spans="3:21" ht="13.5" thickBot="1" x14ac:dyDescent="0.25">
      <c r="C29" s="192" t="s">
        <v>91</v>
      </c>
      <c r="D29" s="193"/>
      <c r="E29" s="194">
        <f t="shared" ref="E29:P29" si="12">E24-E28-E27</f>
        <v>0</v>
      </c>
      <c r="F29" s="194">
        <f t="shared" si="12"/>
        <v>0</v>
      </c>
      <c r="G29" s="194">
        <f t="shared" si="12"/>
        <v>0</v>
      </c>
      <c r="H29" s="194">
        <f t="shared" si="12"/>
        <v>0</v>
      </c>
      <c r="I29" s="194">
        <f t="shared" si="12"/>
        <v>0</v>
      </c>
      <c r="J29" s="194">
        <f t="shared" si="12"/>
        <v>0</v>
      </c>
      <c r="K29" s="194">
        <f t="shared" si="12"/>
        <v>0</v>
      </c>
      <c r="L29" s="194">
        <f t="shared" si="12"/>
        <v>0</v>
      </c>
      <c r="M29" s="194">
        <f t="shared" si="12"/>
        <v>0</v>
      </c>
      <c r="N29" s="194">
        <f t="shared" si="12"/>
        <v>0</v>
      </c>
      <c r="O29" s="194">
        <f t="shared" si="12"/>
        <v>0</v>
      </c>
      <c r="P29" s="194">
        <f t="shared" si="12"/>
        <v>0</v>
      </c>
      <c r="Q29" s="181">
        <f t="shared" si="8"/>
        <v>0</v>
      </c>
    </row>
    <row r="30" spans="3:21" ht="13.5" thickBot="1" x14ac:dyDescent="0.25">
      <c r="C30" s="195" t="s">
        <v>88</v>
      </c>
      <c r="D30" s="1476">
        <f>D27+1.91</f>
        <v>21.91</v>
      </c>
      <c r="E30" s="196">
        <f t="shared" ref="E30:P30" si="13">E26*$D30%</f>
        <v>0</v>
      </c>
      <c r="F30" s="196">
        <f t="shared" si="13"/>
        <v>0</v>
      </c>
      <c r="G30" s="196">
        <f t="shared" si="13"/>
        <v>0</v>
      </c>
      <c r="H30" s="196">
        <f t="shared" si="13"/>
        <v>0</v>
      </c>
      <c r="I30" s="196">
        <f t="shared" si="13"/>
        <v>0</v>
      </c>
      <c r="J30" s="196">
        <f t="shared" si="13"/>
        <v>0</v>
      </c>
      <c r="K30" s="196">
        <f t="shared" si="13"/>
        <v>0</v>
      </c>
      <c r="L30" s="196">
        <f t="shared" si="13"/>
        <v>0</v>
      </c>
      <c r="M30" s="196">
        <f t="shared" si="13"/>
        <v>0</v>
      </c>
      <c r="N30" s="196">
        <f t="shared" si="13"/>
        <v>0</v>
      </c>
      <c r="O30" s="196">
        <f t="shared" si="13"/>
        <v>0</v>
      </c>
      <c r="P30" s="196">
        <f t="shared" si="13"/>
        <v>0</v>
      </c>
      <c r="Q30" s="197">
        <f t="shared" si="8"/>
        <v>0</v>
      </c>
      <c r="R30" s="1944">
        <f>R14</f>
        <v>2027</v>
      </c>
      <c r="S30" s="1945"/>
      <c r="T30" s="1944">
        <f>T14</f>
        <v>2028</v>
      </c>
      <c r="U30" s="1945"/>
    </row>
    <row r="31" spans="3:21" x14ac:dyDescent="0.2">
      <c r="C31" s="423" t="s">
        <v>142</v>
      </c>
      <c r="D31" s="424"/>
      <c r="E31" s="1943" t="s">
        <v>165</v>
      </c>
      <c r="F31" s="1943"/>
      <c r="G31" s="425"/>
      <c r="H31" s="1943" t="s">
        <v>166</v>
      </c>
      <c r="I31" s="1943"/>
      <c r="J31" s="425"/>
      <c r="K31" s="425"/>
      <c r="L31" s="425"/>
      <c r="M31" s="425"/>
      <c r="N31" s="425"/>
      <c r="O31" s="425"/>
      <c r="P31" s="425"/>
      <c r="Q31" s="445"/>
      <c r="R31" s="427" t="s">
        <v>167</v>
      </c>
      <c r="S31" s="428" t="s">
        <v>168</v>
      </c>
      <c r="T31" s="427" t="s">
        <v>167</v>
      </c>
      <c r="U31" s="428" t="s">
        <v>168</v>
      </c>
    </row>
    <row r="32" spans="3:21" x14ac:dyDescent="0.2">
      <c r="C32" s="429" t="s">
        <v>143</v>
      </c>
      <c r="D32" s="433">
        <v>0</v>
      </c>
      <c r="E32" s="446">
        <f>Lönekostnader!C85</f>
        <v>0</v>
      </c>
      <c r="F32" s="431"/>
      <c r="G32" s="431"/>
      <c r="H32" s="431">
        <f>Lönekostnader!C85</f>
        <v>0</v>
      </c>
      <c r="I32" s="431"/>
      <c r="J32" s="431"/>
      <c r="K32" s="431"/>
      <c r="L32" s="431"/>
      <c r="M32" s="431"/>
      <c r="N32" s="431"/>
      <c r="O32" s="431"/>
      <c r="P32" s="431"/>
      <c r="Q32" s="447"/>
      <c r="R32" s="448">
        <f>Lönekostnader!D85</f>
        <v>0</v>
      </c>
      <c r="S32" s="449">
        <f>Lönekostnader!D85</f>
        <v>0</v>
      </c>
      <c r="T32" s="448">
        <f>Lönekostnader!E85</f>
        <v>0</v>
      </c>
      <c r="U32" s="449">
        <f>Lönekostnader!E85</f>
        <v>0</v>
      </c>
    </row>
    <row r="33" spans="3:21" x14ac:dyDescent="0.2">
      <c r="C33" s="429" t="s">
        <v>144</v>
      </c>
      <c r="D33" s="502">
        <v>0</v>
      </c>
      <c r="E33" s="446">
        <f>(E32/12/25)*30+30*0.5*(E32/12/25)</f>
        <v>0</v>
      </c>
      <c r="F33" s="431"/>
      <c r="G33" s="431"/>
      <c r="H33" s="446">
        <f>(H32/12/25)*30+30*0.5*(H32/12/25)</f>
        <v>0</v>
      </c>
      <c r="I33" s="431"/>
      <c r="J33" s="431"/>
      <c r="K33" s="431"/>
      <c r="L33" s="431"/>
      <c r="M33" s="431"/>
      <c r="N33" s="431"/>
      <c r="O33" s="431"/>
      <c r="P33" s="431"/>
      <c r="Q33" s="447"/>
      <c r="R33" s="446">
        <f>(R32/12.5/25)*30+30*0.5*(R32/12.5/25)</f>
        <v>0</v>
      </c>
      <c r="S33" s="446">
        <f>(S32/12.5/25)*30+30*0.5*(S32/12.5/25)</f>
        <v>0</v>
      </c>
      <c r="T33" s="446">
        <f>(T32/12.5/25)*30+30*0.5*(T32/12.5/25)</f>
        <v>0</v>
      </c>
      <c r="U33" s="446">
        <f>(U32/12.5/25)*30+30*0.5*(U32/12.5/25)</f>
        <v>0</v>
      </c>
    </row>
    <row r="34" spans="3:21" x14ac:dyDescent="0.2">
      <c r="C34" s="429" t="s">
        <v>145</v>
      </c>
      <c r="D34" s="433"/>
      <c r="E34" s="434">
        <f>SUM(E33:E33)</f>
        <v>0</v>
      </c>
      <c r="F34" s="434"/>
      <c r="G34" s="431"/>
      <c r="H34" s="434">
        <f>SUM(H33:H33)</f>
        <v>0</v>
      </c>
      <c r="I34" s="431"/>
      <c r="J34" s="431"/>
      <c r="K34" s="431"/>
      <c r="L34" s="431"/>
      <c r="M34" s="431"/>
      <c r="N34" s="431"/>
      <c r="O34" s="431"/>
      <c r="P34" s="431"/>
      <c r="Q34" s="447"/>
      <c r="R34" s="435">
        <f>SUM(R33:R33)</f>
        <v>0</v>
      </c>
      <c r="S34" s="432">
        <f>SUM(S33:S33)</f>
        <v>0</v>
      </c>
      <c r="T34" s="435">
        <f>SUM(T33:T33)</f>
        <v>0</v>
      </c>
      <c r="U34" s="432">
        <f>SUM(U33:U33)</f>
        <v>0</v>
      </c>
    </row>
    <row r="35" spans="3:21" x14ac:dyDescent="0.2">
      <c r="C35" s="429" t="s">
        <v>146</v>
      </c>
      <c r="D35" s="1477">
        <v>0.20499999999999999</v>
      </c>
      <c r="E35" s="434">
        <f>$D35*E34</f>
        <v>0</v>
      </c>
      <c r="F35" s="431"/>
      <c r="G35" s="431"/>
      <c r="H35" s="434">
        <f>$D35*H34</f>
        <v>0</v>
      </c>
      <c r="I35" s="431"/>
      <c r="J35" s="431"/>
      <c r="K35" s="431"/>
      <c r="L35" s="431"/>
      <c r="M35" s="431"/>
      <c r="N35" s="431"/>
      <c r="O35" s="431"/>
      <c r="P35" s="431"/>
      <c r="Q35" s="447"/>
      <c r="R35" s="435">
        <f>$D35*R34</f>
        <v>0</v>
      </c>
      <c r="S35" s="432">
        <f>$D35*S34</f>
        <v>0</v>
      </c>
      <c r="T35" s="435">
        <f>$D35*T34</f>
        <v>0</v>
      </c>
      <c r="U35" s="432">
        <f>$D35*U34</f>
        <v>0</v>
      </c>
    </row>
    <row r="36" spans="3:21" ht="13.5" thickBot="1" x14ac:dyDescent="0.25">
      <c r="C36" s="436" t="s">
        <v>583</v>
      </c>
      <c r="D36" s="437"/>
      <c r="E36" s="438">
        <f>E34+E35</f>
        <v>0</v>
      </c>
      <c r="F36" s="438"/>
      <c r="G36" s="438"/>
      <c r="H36" s="438">
        <f>H34+H35</f>
        <v>0</v>
      </c>
      <c r="I36" s="438"/>
      <c r="J36" s="438"/>
      <c r="K36" s="438"/>
      <c r="L36" s="439"/>
      <c r="M36" s="439"/>
      <c r="N36" s="439"/>
      <c r="O36" s="439"/>
      <c r="P36" s="439"/>
      <c r="Q36" s="451"/>
      <c r="R36" s="442">
        <f>R35</f>
        <v>0</v>
      </c>
      <c r="S36" s="442">
        <f>S35</f>
        <v>0</v>
      </c>
      <c r="T36" s="442">
        <f>T35</f>
        <v>0</v>
      </c>
      <c r="U36" s="442">
        <f>U35</f>
        <v>0</v>
      </c>
    </row>
    <row r="37" spans="3:21" ht="13.5" thickBot="1" x14ac:dyDescent="0.25">
      <c r="C37" s="374"/>
      <c r="D37" s="375"/>
      <c r="E37" s="205"/>
      <c r="F37" s="205"/>
      <c r="G37" s="205"/>
      <c r="H37" s="205"/>
      <c r="I37" s="205"/>
      <c r="J37" s="205"/>
      <c r="K37" s="205"/>
      <c r="L37" s="52"/>
      <c r="M37" s="52"/>
      <c r="N37" s="52"/>
      <c r="O37" s="52"/>
      <c r="P37" s="52"/>
      <c r="Q37" s="260"/>
      <c r="R37" s="376"/>
      <c r="S37" s="377"/>
      <c r="T37" s="376"/>
      <c r="U37" s="444"/>
    </row>
    <row r="38" spans="3:21" x14ac:dyDescent="0.2">
      <c r="C38" s="52"/>
      <c r="D38" s="52"/>
      <c r="E38" s="52"/>
      <c r="F38" s="52"/>
      <c r="G38" s="52"/>
      <c r="H38" s="52"/>
      <c r="I38" s="52"/>
      <c r="J38" s="52"/>
      <c r="K38" s="52"/>
      <c r="L38" s="52"/>
      <c r="M38" s="52"/>
      <c r="N38" s="52"/>
      <c r="O38" s="52"/>
      <c r="P38" s="52"/>
      <c r="Q38" s="52"/>
    </row>
    <row r="39" spans="3:21" x14ac:dyDescent="0.2">
      <c r="C39" s="52"/>
      <c r="D39" s="52"/>
      <c r="E39" s="52"/>
      <c r="F39" s="52"/>
      <c r="G39" s="52"/>
      <c r="H39" s="52"/>
      <c r="I39" s="52"/>
      <c r="J39" s="52"/>
      <c r="K39" s="52"/>
      <c r="L39" s="52"/>
      <c r="M39" s="52"/>
      <c r="N39" s="52"/>
      <c r="O39" s="52"/>
      <c r="P39" s="52"/>
      <c r="Q39" s="52"/>
    </row>
    <row r="40" spans="3:21" x14ac:dyDescent="0.2">
      <c r="C40" s="52"/>
      <c r="D40" s="52"/>
      <c r="E40" s="52"/>
      <c r="F40" s="52"/>
      <c r="G40" s="52"/>
      <c r="H40" s="52"/>
      <c r="I40" s="52"/>
      <c r="J40" s="223"/>
      <c r="K40" s="52"/>
      <c r="L40" s="52"/>
      <c r="M40" s="52"/>
      <c r="N40" s="52"/>
      <c r="O40" s="52"/>
      <c r="P40" s="52"/>
      <c r="Q40" s="52"/>
    </row>
    <row r="41" spans="3:21" x14ac:dyDescent="0.2">
      <c r="C41" s="6" t="s">
        <v>92</v>
      </c>
      <c r="D41" s="52"/>
      <c r="E41" s="52"/>
      <c r="F41" s="52"/>
      <c r="G41" s="52"/>
      <c r="H41" s="52"/>
      <c r="I41" s="52"/>
      <c r="J41" s="52"/>
      <c r="K41" s="52"/>
      <c r="L41" s="52"/>
      <c r="M41" s="52"/>
      <c r="N41" s="52"/>
      <c r="O41" s="52"/>
      <c r="P41" s="52"/>
      <c r="Q41" s="52"/>
    </row>
    <row r="42" spans="3:21" ht="13.5" thickBot="1" x14ac:dyDescent="0.25">
      <c r="C42" s="52"/>
      <c r="D42" s="52"/>
      <c r="E42" s="52"/>
      <c r="F42" s="52"/>
      <c r="G42" s="52"/>
      <c r="H42" s="52"/>
      <c r="I42" s="52"/>
      <c r="J42" s="52"/>
      <c r="K42" s="52"/>
      <c r="L42" s="52"/>
      <c r="M42" s="52"/>
      <c r="N42" s="52"/>
      <c r="O42" s="52"/>
      <c r="P42" s="52"/>
      <c r="Q42" s="52"/>
    </row>
    <row r="43" spans="3:21" x14ac:dyDescent="0.2">
      <c r="C43" s="198" t="s">
        <v>93</v>
      </c>
      <c r="D43" s="199" t="s">
        <v>94</v>
      </c>
      <c r="E43" s="379" t="str">
        <f>E7</f>
        <v>JAN</v>
      </c>
      <c r="F43" s="379" t="str">
        <f t="shared" ref="F43:P43" si="14">F7</f>
        <v>FEB</v>
      </c>
      <c r="G43" s="379" t="str">
        <f t="shared" si="14"/>
        <v>MARS</v>
      </c>
      <c r="H43" s="379" t="str">
        <f t="shared" si="14"/>
        <v>APR</v>
      </c>
      <c r="I43" s="379" t="str">
        <f t="shared" si="14"/>
        <v>MAJ</v>
      </c>
      <c r="J43" s="379" t="str">
        <f t="shared" si="14"/>
        <v>JUNI</v>
      </c>
      <c r="K43" s="379" t="str">
        <f t="shared" si="14"/>
        <v>JULI</v>
      </c>
      <c r="L43" s="379" t="str">
        <f t="shared" si="14"/>
        <v>AUG</v>
      </c>
      <c r="M43" s="379" t="str">
        <f t="shared" si="14"/>
        <v>SEP</v>
      </c>
      <c r="N43" s="379" t="str">
        <f t="shared" si="14"/>
        <v>OKT</v>
      </c>
      <c r="O43" s="379" t="str">
        <f t="shared" si="14"/>
        <v>NOV</v>
      </c>
      <c r="P43" s="379" t="str">
        <f t="shared" si="14"/>
        <v>DEC</v>
      </c>
      <c r="Q43" s="200" t="s">
        <v>78</v>
      </c>
    </row>
    <row r="44" spans="3:21" x14ac:dyDescent="0.2">
      <c r="C44" s="201" t="str">
        <f>Kassabudget!C8</f>
        <v xml:space="preserve"> Kontantförsäljning, andels-%</v>
      </c>
      <c r="D44" s="861">
        <f>IF('K1 Kostnader'!C9&gt;0,'4 AT  Myynnin alv'!B30,'4 AT  Myynnin alv'!H46)</f>
        <v>0</v>
      </c>
      <c r="E44" s="299">
        <f>Kassabudget!G8</f>
        <v>0</v>
      </c>
      <c r="F44" s="299">
        <f>Kassabudget!H8</f>
        <v>0</v>
      </c>
      <c r="G44" s="299">
        <f>Kassabudget!I8</f>
        <v>0</v>
      </c>
      <c r="H44" s="299">
        <f>Kassabudget!J8</f>
        <v>0</v>
      </c>
      <c r="I44" s="299">
        <f>Kassabudget!K8</f>
        <v>0</v>
      </c>
      <c r="J44" s="299">
        <f>Kassabudget!L8</f>
        <v>0</v>
      </c>
      <c r="K44" s="299">
        <f>Kassabudget!M8</f>
        <v>0</v>
      </c>
      <c r="L44" s="299">
        <f>Kassabudget!N8</f>
        <v>0</v>
      </c>
      <c r="M44" s="299">
        <f>Kassabudget!O8</f>
        <v>0</v>
      </c>
      <c r="N44" s="299">
        <f>Kassabudget!P8</f>
        <v>0</v>
      </c>
      <c r="O44" s="299">
        <f>Kassabudget!Q8</f>
        <v>0</v>
      </c>
      <c r="P44" s="299">
        <f>Kassabudget!R8</f>
        <v>0</v>
      </c>
      <c r="Q44" s="300">
        <f>SUM(E44:P44)</f>
        <v>0</v>
      </c>
    </row>
    <row r="45" spans="3:21" x14ac:dyDescent="0.2">
      <c r="C45" s="202" t="s">
        <v>95</v>
      </c>
      <c r="D45" s="862"/>
      <c r="E45" s="301">
        <f>$D44*E44</f>
        <v>0</v>
      </c>
      <c r="F45" s="301">
        <f t="shared" ref="F45:P45" si="15">$D44*F44</f>
        <v>0</v>
      </c>
      <c r="G45" s="301">
        <f t="shared" si="15"/>
        <v>0</v>
      </c>
      <c r="H45" s="301">
        <f t="shared" si="15"/>
        <v>0</v>
      </c>
      <c r="I45" s="301">
        <f t="shared" si="15"/>
        <v>0</v>
      </c>
      <c r="J45" s="301">
        <f t="shared" si="15"/>
        <v>0</v>
      </c>
      <c r="K45" s="301">
        <f t="shared" si="15"/>
        <v>0</v>
      </c>
      <c r="L45" s="301">
        <f t="shared" si="15"/>
        <v>0</v>
      </c>
      <c r="M45" s="301">
        <f t="shared" si="15"/>
        <v>0</v>
      </c>
      <c r="N45" s="301">
        <f t="shared" si="15"/>
        <v>0</v>
      </c>
      <c r="O45" s="301">
        <f t="shared" si="15"/>
        <v>0</v>
      </c>
      <c r="P45" s="301">
        <f t="shared" si="15"/>
        <v>0</v>
      </c>
      <c r="Q45" s="302"/>
    </row>
    <row r="46" spans="3:21" x14ac:dyDescent="0.2">
      <c r="C46" s="201" t="str">
        <f>Kassabudget!C10</f>
        <v xml:space="preserve"> Fakturaförsäljning</v>
      </c>
      <c r="D46" s="863">
        <f>D44</f>
        <v>0</v>
      </c>
      <c r="E46" s="299">
        <f>Kassabudget!G10</f>
        <v>0</v>
      </c>
      <c r="F46" s="299">
        <f>Kassabudget!H10</f>
        <v>0</v>
      </c>
      <c r="G46" s="299">
        <f>Kassabudget!I10</f>
        <v>0</v>
      </c>
      <c r="H46" s="299">
        <f>Kassabudget!J10</f>
        <v>0</v>
      </c>
      <c r="I46" s="299">
        <f>Kassabudget!K10</f>
        <v>0</v>
      </c>
      <c r="J46" s="299">
        <f>Kassabudget!L10</f>
        <v>0</v>
      </c>
      <c r="K46" s="299">
        <f>Kassabudget!M10</f>
        <v>0</v>
      </c>
      <c r="L46" s="299">
        <f>Kassabudget!N10</f>
        <v>0</v>
      </c>
      <c r="M46" s="299">
        <f>Kassabudget!O10</f>
        <v>0</v>
      </c>
      <c r="N46" s="299">
        <f>Kassabudget!P10</f>
        <v>0</v>
      </c>
      <c r="O46" s="299">
        <f>Kassabudget!Q10</f>
        <v>0</v>
      </c>
      <c r="P46" s="299">
        <f>Kassabudget!R10</f>
        <v>0</v>
      </c>
      <c r="Q46" s="300">
        <f>SUM(E46:P46)</f>
        <v>0</v>
      </c>
    </row>
    <row r="47" spans="3:21" x14ac:dyDescent="0.2">
      <c r="C47" s="202" t="s">
        <v>95</v>
      </c>
      <c r="D47" s="203"/>
      <c r="E47" s="301">
        <f>$D46*E46</f>
        <v>0</v>
      </c>
      <c r="F47" s="301">
        <f t="shared" ref="F47:P47" si="16">$D46*F46</f>
        <v>0</v>
      </c>
      <c r="G47" s="301">
        <f t="shared" si="16"/>
        <v>0</v>
      </c>
      <c r="H47" s="301">
        <f t="shared" si="16"/>
        <v>0</v>
      </c>
      <c r="I47" s="301">
        <f t="shared" si="16"/>
        <v>0</v>
      </c>
      <c r="J47" s="301">
        <f t="shared" si="16"/>
        <v>0</v>
      </c>
      <c r="K47" s="301">
        <f t="shared" si="16"/>
        <v>0</v>
      </c>
      <c r="L47" s="301">
        <f t="shared" si="16"/>
        <v>0</v>
      </c>
      <c r="M47" s="301">
        <f t="shared" si="16"/>
        <v>0</v>
      </c>
      <c r="N47" s="301">
        <f t="shared" si="16"/>
        <v>0</v>
      </c>
      <c r="O47" s="301">
        <f t="shared" si="16"/>
        <v>0</v>
      </c>
      <c r="P47" s="301">
        <f t="shared" si="16"/>
        <v>0</v>
      </c>
      <c r="Q47" s="302"/>
    </row>
    <row r="48" spans="3:21" x14ac:dyDescent="0.2">
      <c r="C48" s="176"/>
      <c r="D48" s="204"/>
      <c r="E48" s="205"/>
      <c r="F48" s="205"/>
      <c r="G48" s="205"/>
      <c r="H48" s="205"/>
      <c r="I48" s="205"/>
      <c r="J48" s="205"/>
      <c r="K48" s="205"/>
      <c r="L48" s="205"/>
      <c r="M48" s="205"/>
      <c r="N48" s="205"/>
      <c r="O48" s="205"/>
      <c r="P48" s="205"/>
      <c r="Q48" s="183"/>
    </row>
    <row r="49" spans="3:17" ht="13.5" thickBot="1" x14ac:dyDescent="0.25">
      <c r="C49" s="206" t="s">
        <v>96</v>
      </c>
      <c r="D49" s="207"/>
      <c r="E49" s="303">
        <f t="shared" ref="E49:P49" si="17">E45+E47</f>
        <v>0</v>
      </c>
      <c r="F49" s="303">
        <f t="shared" si="17"/>
        <v>0</v>
      </c>
      <c r="G49" s="303">
        <f t="shared" si="17"/>
        <v>0</v>
      </c>
      <c r="H49" s="303">
        <f t="shared" si="17"/>
        <v>0</v>
      </c>
      <c r="I49" s="303">
        <f t="shared" si="17"/>
        <v>0</v>
      </c>
      <c r="J49" s="303">
        <f t="shared" si="17"/>
        <v>0</v>
      </c>
      <c r="K49" s="303">
        <f t="shared" si="17"/>
        <v>0</v>
      </c>
      <c r="L49" s="303">
        <f t="shared" si="17"/>
        <v>0</v>
      </c>
      <c r="M49" s="303">
        <f t="shared" si="17"/>
        <v>0</v>
      </c>
      <c r="N49" s="303">
        <f t="shared" si="17"/>
        <v>0</v>
      </c>
      <c r="O49" s="303">
        <f t="shared" si="17"/>
        <v>0</v>
      </c>
      <c r="P49" s="303">
        <f t="shared" si="17"/>
        <v>0</v>
      </c>
      <c r="Q49" s="482">
        <f>SUM(E49:P49)</f>
        <v>0</v>
      </c>
    </row>
    <row r="50" spans="3:17" x14ac:dyDescent="0.2">
      <c r="C50" s="66"/>
      <c r="D50" s="204"/>
      <c r="E50" s="230"/>
      <c r="F50" s="230"/>
      <c r="G50" s="230"/>
      <c r="H50" s="230"/>
      <c r="I50" s="230"/>
      <c r="J50" s="230"/>
      <c r="K50" s="230"/>
      <c r="L50" s="230"/>
      <c r="M50" s="230"/>
      <c r="N50" s="230"/>
      <c r="O50" s="230"/>
      <c r="P50" s="230"/>
      <c r="Q50" s="231"/>
    </row>
    <row r="51" spans="3:17" x14ac:dyDescent="0.2">
      <c r="C51" s="66"/>
      <c r="D51" s="204"/>
      <c r="E51" s="230"/>
      <c r="F51" s="230"/>
      <c r="G51" s="230"/>
      <c r="H51" s="230"/>
      <c r="I51" s="230"/>
      <c r="J51" s="230"/>
      <c r="K51" s="230"/>
      <c r="L51" s="230"/>
      <c r="M51" s="230"/>
      <c r="N51" s="230"/>
      <c r="O51" s="230"/>
      <c r="P51" s="230"/>
      <c r="Q51" s="231"/>
    </row>
    <row r="52" spans="3:17" ht="13.5" thickBot="1" x14ac:dyDescent="0.25">
      <c r="C52" s="66"/>
      <c r="D52" s="204"/>
      <c r="E52" s="205"/>
      <c r="F52" s="205"/>
      <c r="G52" s="205"/>
      <c r="H52" s="205"/>
      <c r="I52" s="205"/>
      <c r="J52" s="205"/>
      <c r="K52" s="205"/>
      <c r="L52" s="205"/>
      <c r="M52" s="205"/>
      <c r="N52" s="205"/>
      <c r="O52" s="205"/>
      <c r="P52" s="205"/>
      <c r="Q52" s="93"/>
    </row>
    <row r="53" spans="3:17" x14ac:dyDescent="0.2">
      <c r="C53" s="1231" t="s">
        <v>97</v>
      </c>
      <c r="D53" s="199" t="s">
        <v>94</v>
      </c>
      <c r="E53" s="380" t="str">
        <f t="shared" ref="E53:P53" si="18">E7</f>
        <v>JAN</v>
      </c>
      <c r="F53" s="380" t="str">
        <f t="shared" si="18"/>
        <v>FEB</v>
      </c>
      <c r="G53" s="380" t="str">
        <f t="shared" si="18"/>
        <v>MARS</v>
      </c>
      <c r="H53" s="380" t="str">
        <f t="shared" si="18"/>
        <v>APR</v>
      </c>
      <c r="I53" s="380" t="str">
        <f t="shared" si="18"/>
        <v>MAJ</v>
      </c>
      <c r="J53" s="380" t="str">
        <f t="shared" si="18"/>
        <v>JUNI</v>
      </c>
      <c r="K53" s="380" t="str">
        <f t="shared" si="18"/>
        <v>JULI</v>
      </c>
      <c r="L53" s="380" t="str">
        <f t="shared" si="18"/>
        <v>AUG</v>
      </c>
      <c r="M53" s="380" t="str">
        <f t="shared" si="18"/>
        <v>SEP</v>
      </c>
      <c r="N53" s="380" t="str">
        <f t="shared" si="18"/>
        <v>OKT</v>
      </c>
      <c r="O53" s="380" t="str">
        <f t="shared" si="18"/>
        <v>NOV</v>
      </c>
      <c r="P53" s="380" t="str">
        <f t="shared" si="18"/>
        <v>DEC</v>
      </c>
      <c r="Q53" s="208" t="s">
        <v>78</v>
      </c>
    </row>
    <row r="54" spans="3:17" x14ac:dyDescent="0.2">
      <c r="C54" s="1234" t="s">
        <v>667</v>
      </c>
      <c r="D54" s="210">
        <f>Kassabudget!F18/(1+Kassabudget!F18/100)</f>
        <v>20.318725099601597</v>
      </c>
      <c r="E54" s="1232">
        <f>IF(Kassabudget!$V11=0,0,Kassabudget!$V18*('2 AT Palkat, alv'!E44+'2 AT Palkat, alv'!E46)/Kassabudget!$V11)</f>
        <v>0</v>
      </c>
      <c r="F54" s="1232">
        <f>IF(Kassabudget!$V11=0,0,Kassabudget!$V18*('2 AT Palkat, alv'!F44+'2 AT Palkat, alv'!F46)/Kassabudget!$V11)</f>
        <v>0</v>
      </c>
      <c r="G54" s="1232">
        <f>IF(Kassabudget!$V11=0,0,Kassabudget!$V18*('2 AT Palkat, alv'!G44+'2 AT Palkat, alv'!G46)/Kassabudget!$V11)</f>
        <v>0</v>
      </c>
      <c r="H54" s="1232">
        <f>IF(Kassabudget!$V11=0,0,Kassabudget!$V18*('2 AT Palkat, alv'!H44+'2 AT Palkat, alv'!H46)/Kassabudget!$V11)</f>
        <v>0</v>
      </c>
      <c r="I54" s="1232">
        <f>IF(Kassabudget!$V11=0,0,Kassabudget!$V18*('2 AT Palkat, alv'!I44+'2 AT Palkat, alv'!I46)/Kassabudget!$V11)</f>
        <v>0</v>
      </c>
      <c r="J54" s="1232">
        <f>IF(Kassabudget!$V11=0,0,Kassabudget!$V18*('2 AT Palkat, alv'!J44+'2 AT Palkat, alv'!J46)/Kassabudget!$V11)</f>
        <v>0</v>
      </c>
      <c r="K54" s="1232">
        <f>IF(Kassabudget!$V11=0,0,Kassabudget!$V18*('2 AT Palkat, alv'!K44+'2 AT Palkat, alv'!K46)/Kassabudget!$V11)</f>
        <v>0</v>
      </c>
      <c r="L54" s="1232">
        <f>IF(Kassabudget!$V11=0,0,Kassabudget!$V18*('2 AT Palkat, alv'!L44+'2 AT Palkat, alv'!L46)/Kassabudget!$V11)</f>
        <v>0</v>
      </c>
      <c r="M54" s="1232">
        <f>IF(Kassabudget!$V11=0,0,Kassabudget!$V18*('2 AT Palkat, alv'!M44+'2 AT Palkat, alv'!M46)/Kassabudget!$V11)</f>
        <v>0</v>
      </c>
      <c r="N54" s="1232">
        <f>IF(Kassabudget!$V11=0,0,Kassabudget!$V18*('2 AT Palkat, alv'!N44+'2 AT Palkat, alv'!N46)/Kassabudget!$V11)</f>
        <v>0</v>
      </c>
      <c r="O54" s="1232">
        <f>IF(Kassabudget!$V11=0,0,Kassabudget!$V18*('2 AT Palkat, alv'!O44+'2 AT Palkat, alv'!O46)/Kassabudget!$V11)</f>
        <v>0</v>
      </c>
      <c r="P54" s="1232">
        <f>IF(Kassabudget!$V11=0,0,Kassabudget!$V18*('2 AT Palkat, alv'!P44+'2 AT Palkat, alv'!P46)/Kassabudget!$V11)</f>
        <v>0</v>
      </c>
      <c r="Q54" s="300">
        <f>SUM(E54:P54)</f>
        <v>0</v>
      </c>
    </row>
    <row r="55" spans="3:17" ht="13.5" thickBot="1" x14ac:dyDescent="0.25">
      <c r="C55" s="1235" t="s">
        <v>98</v>
      </c>
      <c r="D55" s="212"/>
      <c r="E55" s="301">
        <f>$D54*E54/100</f>
        <v>0</v>
      </c>
      <c r="F55" s="301">
        <f t="shared" ref="F55:P55" si="19">$D54*F54/100</f>
        <v>0</v>
      </c>
      <c r="G55" s="301">
        <f t="shared" si="19"/>
        <v>0</v>
      </c>
      <c r="H55" s="301">
        <f t="shared" si="19"/>
        <v>0</v>
      </c>
      <c r="I55" s="301">
        <f t="shared" si="19"/>
        <v>0</v>
      </c>
      <c r="J55" s="301">
        <f t="shared" si="19"/>
        <v>0</v>
      </c>
      <c r="K55" s="301">
        <f t="shared" si="19"/>
        <v>0</v>
      </c>
      <c r="L55" s="301">
        <f t="shared" si="19"/>
        <v>0</v>
      </c>
      <c r="M55" s="301">
        <f t="shared" si="19"/>
        <v>0</v>
      </c>
      <c r="N55" s="301">
        <f t="shared" si="19"/>
        <v>0</v>
      </c>
      <c r="O55" s="301">
        <f t="shared" si="19"/>
        <v>0</v>
      </c>
      <c r="P55" s="301">
        <f t="shared" si="19"/>
        <v>0</v>
      </c>
      <c r="Q55" s="305"/>
    </row>
    <row r="56" spans="3:17" x14ac:dyDescent="0.2">
      <c r="C56" s="1490" t="str">
        <f>Kassabudget!C19</f>
        <v xml:space="preserve"> Varulager i början , garantiförskott inkl. Moms</v>
      </c>
      <c r="D56" s="1491">
        <f>'[2]4. Kassabudjetti'!F19</f>
        <v>25.5</v>
      </c>
      <c r="E56" s="1492">
        <f>Kassabudget!G19</f>
        <v>0</v>
      </c>
      <c r="F56" s="1492">
        <f>Kassabudget!H19</f>
        <v>0</v>
      </c>
      <c r="G56" s="1492">
        <f>Kassabudget!I19</f>
        <v>0</v>
      </c>
      <c r="H56" s="1492">
        <f>Kassabudget!J19</f>
        <v>0</v>
      </c>
      <c r="I56" s="1492">
        <f>Kassabudget!K19</f>
        <v>0</v>
      </c>
      <c r="J56" s="1492">
        <f>Kassabudget!L19</f>
        <v>0</v>
      </c>
      <c r="K56" s="1492">
        <f>Kassabudget!M19</f>
        <v>0</v>
      </c>
      <c r="L56" s="1492">
        <f>Kassabudget!N19</f>
        <v>0</v>
      </c>
      <c r="M56" s="1492">
        <f>Kassabudget!O19</f>
        <v>0</v>
      </c>
      <c r="N56" s="1492">
        <f>Kassabudget!P19</f>
        <v>0</v>
      </c>
      <c r="O56" s="1492">
        <f>Kassabudget!Q19</f>
        <v>0</v>
      </c>
      <c r="P56" s="1492">
        <f>Kassabudget!R19</f>
        <v>0</v>
      </c>
      <c r="Q56" s="1493">
        <f>SUM(E56:P56)</f>
        <v>0</v>
      </c>
    </row>
    <row r="57" spans="3:17" ht="13.5" thickBot="1" x14ac:dyDescent="0.25">
      <c r="C57" s="1494" t="s">
        <v>98</v>
      </c>
      <c r="D57" s="1495"/>
      <c r="E57" s="1496">
        <f>$D56*E56/100</f>
        <v>0</v>
      </c>
      <c r="F57" s="301">
        <f t="shared" ref="F57:P57" si="20">$D56*F56/100</f>
        <v>0</v>
      </c>
      <c r="G57" s="301">
        <f t="shared" si="20"/>
        <v>0</v>
      </c>
      <c r="H57" s="301">
        <f t="shared" si="20"/>
        <v>0</v>
      </c>
      <c r="I57" s="301">
        <f t="shared" si="20"/>
        <v>0</v>
      </c>
      <c r="J57" s="301">
        <f t="shared" si="20"/>
        <v>0</v>
      </c>
      <c r="K57" s="301">
        <f t="shared" si="20"/>
        <v>0</v>
      </c>
      <c r="L57" s="301">
        <f t="shared" si="20"/>
        <v>0</v>
      </c>
      <c r="M57" s="301">
        <f t="shared" si="20"/>
        <v>0</v>
      </c>
      <c r="N57" s="301">
        <f t="shared" si="20"/>
        <v>0</v>
      </c>
      <c r="O57" s="301">
        <f t="shared" si="20"/>
        <v>0</v>
      </c>
      <c r="P57" s="301">
        <f t="shared" si="20"/>
        <v>0</v>
      </c>
      <c r="Q57" s="1497">
        <f>SUM(E57:P57)</f>
        <v>0</v>
      </c>
    </row>
    <row r="58" spans="3:17" x14ac:dyDescent="0.2">
      <c r="C58" s="1234" t="str">
        <f>Kassabudget!C22</f>
        <v xml:space="preserve"> Lokalhyror</v>
      </c>
      <c r="D58" s="227">
        <f>Kassabudget!F22</f>
        <v>25.5</v>
      </c>
      <c r="E58" s="306">
        <f>Kassabudget!G22</f>
        <v>0</v>
      </c>
      <c r="F58" s="306">
        <f>Kassabudget!H22</f>
        <v>0</v>
      </c>
      <c r="G58" s="306">
        <f>Kassabudget!I22</f>
        <v>0</v>
      </c>
      <c r="H58" s="306">
        <f>Kassabudget!J22</f>
        <v>0</v>
      </c>
      <c r="I58" s="306">
        <f>Kassabudget!K22</f>
        <v>0</v>
      </c>
      <c r="J58" s="306">
        <f>Kassabudget!L22</f>
        <v>0</v>
      </c>
      <c r="K58" s="306">
        <f>Kassabudget!M22</f>
        <v>0</v>
      </c>
      <c r="L58" s="306">
        <f>Kassabudget!N22</f>
        <v>0</v>
      </c>
      <c r="M58" s="306">
        <f>Kassabudget!O22</f>
        <v>0</v>
      </c>
      <c r="N58" s="306">
        <f>Kassabudget!P22</f>
        <v>0</v>
      </c>
      <c r="O58" s="306">
        <f>Kassabudget!Q22</f>
        <v>0</v>
      </c>
      <c r="P58" s="306">
        <f>Kassabudget!R22</f>
        <v>0</v>
      </c>
      <c r="Q58" s="300">
        <f>SUM(E58:P58)</f>
        <v>0</v>
      </c>
    </row>
    <row r="59" spans="3:17" x14ac:dyDescent="0.2">
      <c r="C59" s="1235" t="s">
        <v>98</v>
      </c>
      <c r="D59" s="227"/>
      <c r="E59" s="301">
        <f>E58-E58/(1+$D58/100)</f>
        <v>0</v>
      </c>
      <c r="F59" s="301">
        <f t="shared" ref="F59:P59" si="21">F58-F58/(1+$D58/100)</f>
        <v>0</v>
      </c>
      <c r="G59" s="301">
        <f t="shared" si="21"/>
        <v>0</v>
      </c>
      <c r="H59" s="301">
        <f t="shared" si="21"/>
        <v>0</v>
      </c>
      <c r="I59" s="301">
        <f t="shared" si="21"/>
        <v>0</v>
      </c>
      <c r="J59" s="301">
        <f t="shared" si="21"/>
        <v>0</v>
      </c>
      <c r="K59" s="301">
        <f t="shared" si="21"/>
        <v>0</v>
      </c>
      <c r="L59" s="301">
        <f t="shared" si="21"/>
        <v>0</v>
      </c>
      <c r="M59" s="301">
        <f t="shared" si="21"/>
        <v>0</v>
      </c>
      <c r="N59" s="301">
        <f t="shared" si="21"/>
        <v>0</v>
      </c>
      <c r="O59" s="301">
        <f t="shared" si="21"/>
        <v>0</v>
      </c>
      <c r="P59" s="301">
        <f t="shared" si="21"/>
        <v>0</v>
      </c>
      <c r="Q59" s="307"/>
    </row>
    <row r="60" spans="3:17" x14ac:dyDescent="0.2">
      <c r="C60" s="209" t="str">
        <f>Kassabudget!C23</f>
        <v xml:space="preserve"> Leasing- och inventariehyror</v>
      </c>
      <c r="D60" s="210">
        <f>Kassabudget!F23</f>
        <v>25.5</v>
      </c>
      <c r="E60" s="304">
        <f>Kassabudget!G23</f>
        <v>0</v>
      </c>
      <c r="F60" s="304">
        <f>Kassabudget!H23</f>
        <v>0</v>
      </c>
      <c r="G60" s="304">
        <f>Kassabudget!I23</f>
        <v>0</v>
      </c>
      <c r="H60" s="304">
        <f>Kassabudget!J23</f>
        <v>0</v>
      </c>
      <c r="I60" s="304">
        <f>Kassabudget!K23</f>
        <v>0</v>
      </c>
      <c r="J60" s="304">
        <f>Kassabudget!L23</f>
        <v>0</v>
      </c>
      <c r="K60" s="304">
        <f>Kassabudget!M23</f>
        <v>0</v>
      </c>
      <c r="L60" s="304">
        <f>Kassabudget!N23</f>
        <v>0</v>
      </c>
      <c r="M60" s="304">
        <f>Kassabudget!O23</f>
        <v>0</v>
      </c>
      <c r="N60" s="304">
        <f>Kassabudget!P23</f>
        <v>0</v>
      </c>
      <c r="O60" s="304">
        <f>Kassabudget!Q23</f>
        <v>0</v>
      </c>
      <c r="P60" s="304">
        <f>Kassabudget!R23</f>
        <v>0</v>
      </c>
      <c r="Q60" s="300">
        <f>SUM(E60:P60)</f>
        <v>0</v>
      </c>
    </row>
    <row r="61" spans="3:17" x14ac:dyDescent="0.2">
      <c r="C61" s="211" t="s">
        <v>98</v>
      </c>
      <c r="D61" s="212"/>
      <c r="E61" s="301">
        <f>E60-E60/(1+$D60/100)</f>
        <v>0</v>
      </c>
      <c r="F61" s="301">
        <f t="shared" ref="F61:P61" si="22">F60-F60/(1+$D60/100)</f>
        <v>0</v>
      </c>
      <c r="G61" s="301">
        <f t="shared" si="22"/>
        <v>0</v>
      </c>
      <c r="H61" s="301">
        <f t="shared" si="22"/>
        <v>0</v>
      </c>
      <c r="I61" s="301">
        <f t="shared" si="22"/>
        <v>0</v>
      </c>
      <c r="J61" s="301">
        <f t="shared" si="22"/>
        <v>0</v>
      </c>
      <c r="K61" s="301">
        <f t="shared" si="22"/>
        <v>0</v>
      </c>
      <c r="L61" s="301">
        <f t="shared" si="22"/>
        <v>0</v>
      </c>
      <c r="M61" s="301">
        <f t="shared" si="22"/>
        <v>0</v>
      </c>
      <c r="N61" s="301">
        <f t="shared" si="22"/>
        <v>0</v>
      </c>
      <c r="O61" s="301">
        <f t="shared" si="22"/>
        <v>0</v>
      </c>
      <c r="P61" s="301">
        <f t="shared" si="22"/>
        <v>0</v>
      </c>
      <c r="Q61" s="305"/>
    </row>
    <row r="62" spans="3:17" x14ac:dyDescent="0.2">
      <c r="C62" s="213" t="str">
        <f>Kassabudget!C24</f>
        <v xml:space="preserve"> El-, värme- och vattenkostnader</v>
      </c>
      <c r="D62" s="214">
        <f>Kassabudget!F24</f>
        <v>25.5</v>
      </c>
      <c r="E62" s="306">
        <f>Kassabudget!G24</f>
        <v>0</v>
      </c>
      <c r="F62" s="306">
        <f>Kassabudget!H24</f>
        <v>0</v>
      </c>
      <c r="G62" s="306">
        <f>Kassabudget!I24</f>
        <v>0</v>
      </c>
      <c r="H62" s="306">
        <f>Kassabudget!J24</f>
        <v>0</v>
      </c>
      <c r="I62" s="306">
        <f>Kassabudget!K24</f>
        <v>0</v>
      </c>
      <c r="J62" s="306">
        <f>Kassabudget!L24</f>
        <v>0</v>
      </c>
      <c r="K62" s="306">
        <f>Kassabudget!M24</f>
        <v>0</v>
      </c>
      <c r="L62" s="306">
        <f>Kassabudget!N24</f>
        <v>0</v>
      </c>
      <c r="M62" s="306">
        <f>Kassabudget!O24</f>
        <v>0</v>
      </c>
      <c r="N62" s="306">
        <f>Kassabudget!P24</f>
        <v>0</v>
      </c>
      <c r="O62" s="306">
        <f>Kassabudget!Q24</f>
        <v>0</v>
      </c>
      <c r="P62" s="306">
        <f>Kassabudget!R24</f>
        <v>0</v>
      </c>
      <c r="Q62" s="300">
        <f>SUM(E62:P62)</f>
        <v>0</v>
      </c>
    </row>
    <row r="63" spans="3:17" x14ac:dyDescent="0.2">
      <c r="C63" s="213" t="s">
        <v>98</v>
      </c>
      <c r="D63" s="214"/>
      <c r="E63" s="301">
        <f>E62-E62/(1+$D62/100)</f>
        <v>0</v>
      </c>
      <c r="F63" s="301">
        <f t="shared" ref="F63:P63" si="23">F62-F62/(1+$D62/100)</f>
        <v>0</v>
      </c>
      <c r="G63" s="301">
        <f t="shared" si="23"/>
        <v>0</v>
      </c>
      <c r="H63" s="301">
        <f t="shared" si="23"/>
        <v>0</v>
      </c>
      <c r="I63" s="301">
        <f t="shared" si="23"/>
        <v>0</v>
      </c>
      <c r="J63" s="301">
        <f t="shared" si="23"/>
        <v>0</v>
      </c>
      <c r="K63" s="301">
        <f t="shared" si="23"/>
        <v>0</v>
      </c>
      <c r="L63" s="301">
        <f t="shared" si="23"/>
        <v>0</v>
      </c>
      <c r="M63" s="301">
        <f t="shared" si="23"/>
        <v>0</v>
      </c>
      <c r="N63" s="301">
        <f t="shared" si="23"/>
        <v>0</v>
      </c>
      <c r="O63" s="301">
        <f t="shared" si="23"/>
        <v>0</v>
      </c>
      <c r="P63" s="301">
        <f t="shared" si="23"/>
        <v>0</v>
      </c>
      <c r="Q63" s="307"/>
    </row>
    <row r="64" spans="3:17" x14ac:dyDescent="0.2">
      <c r="C64" s="209" t="str">
        <f>Kassabudget!C25</f>
        <v xml:space="preserve">Tele- och datakommunikation </v>
      </c>
      <c r="D64" s="210">
        <f>Kassabudget!F25</f>
        <v>25.5</v>
      </c>
      <c r="E64" s="304">
        <f>Kassabudget!G25</f>
        <v>0</v>
      </c>
      <c r="F64" s="304">
        <f>Kassabudget!H25</f>
        <v>0</v>
      </c>
      <c r="G64" s="304">
        <f>Kassabudget!I25</f>
        <v>0</v>
      </c>
      <c r="H64" s="304">
        <f>Kassabudget!J25</f>
        <v>0</v>
      </c>
      <c r="I64" s="304">
        <f>Kassabudget!K25</f>
        <v>0</v>
      </c>
      <c r="J64" s="304">
        <f>Kassabudget!L25</f>
        <v>0</v>
      </c>
      <c r="K64" s="304">
        <f>Kassabudget!M25</f>
        <v>0</v>
      </c>
      <c r="L64" s="304">
        <f>Kassabudget!N25</f>
        <v>0</v>
      </c>
      <c r="M64" s="304">
        <f>Kassabudget!O25</f>
        <v>0</v>
      </c>
      <c r="N64" s="304">
        <f>Kassabudget!P25</f>
        <v>0</v>
      </c>
      <c r="O64" s="304">
        <f>Kassabudget!Q25</f>
        <v>0</v>
      </c>
      <c r="P64" s="304">
        <f>Kassabudget!R25</f>
        <v>0</v>
      </c>
      <c r="Q64" s="300">
        <f>SUM(E64:P64)</f>
        <v>0</v>
      </c>
    </row>
    <row r="65" spans="2:21" x14ac:dyDescent="0.2">
      <c r="C65" s="211" t="s">
        <v>98</v>
      </c>
      <c r="D65" s="212"/>
      <c r="E65" s="301">
        <f>E64-E64/(1+$D64/100)</f>
        <v>0</v>
      </c>
      <c r="F65" s="301">
        <f t="shared" ref="F65:P65" si="24">F64-F64/(1+$D64/100)</f>
        <v>0</v>
      </c>
      <c r="G65" s="301">
        <f t="shared" si="24"/>
        <v>0</v>
      </c>
      <c r="H65" s="301">
        <f t="shared" si="24"/>
        <v>0</v>
      </c>
      <c r="I65" s="301">
        <f t="shared" si="24"/>
        <v>0</v>
      </c>
      <c r="J65" s="301">
        <f t="shared" si="24"/>
        <v>0</v>
      </c>
      <c r="K65" s="301">
        <f t="shared" si="24"/>
        <v>0</v>
      </c>
      <c r="L65" s="301">
        <f t="shared" si="24"/>
        <v>0</v>
      </c>
      <c r="M65" s="301">
        <f t="shared" si="24"/>
        <v>0</v>
      </c>
      <c r="N65" s="301">
        <f t="shared" si="24"/>
        <v>0</v>
      </c>
      <c r="O65" s="301">
        <f t="shared" si="24"/>
        <v>0</v>
      </c>
      <c r="P65" s="301">
        <f t="shared" si="24"/>
        <v>0</v>
      </c>
      <c r="Q65" s="305"/>
    </row>
    <row r="66" spans="2:21" x14ac:dyDescent="0.2">
      <c r="C66" s="213" t="str">
        <f>Kassabudget!C26</f>
        <v xml:space="preserve"> Marknadsföring och reklam</v>
      </c>
      <c r="D66" s="214">
        <f>Kassabudget!F26</f>
        <v>25.5</v>
      </c>
      <c r="E66" s="306">
        <f>Kassabudget!G26</f>
        <v>0</v>
      </c>
      <c r="F66" s="306">
        <f>Kassabudget!H26</f>
        <v>0</v>
      </c>
      <c r="G66" s="306">
        <f>Kassabudget!I26</f>
        <v>0</v>
      </c>
      <c r="H66" s="306">
        <f>Kassabudget!J26</f>
        <v>0</v>
      </c>
      <c r="I66" s="306">
        <f>Kassabudget!K26</f>
        <v>0</v>
      </c>
      <c r="J66" s="306">
        <f>Kassabudget!L26</f>
        <v>0</v>
      </c>
      <c r="K66" s="306">
        <f>Kassabudget!M26</f>
        <v>0</v>
      </c>
      <c r="L66" s="306">
        <f>Kassabudget!N26</f>
        <v>0</v>
      </c>
      <c r="M66" s="306">
        <f>Kassabudget!O26</f>
        <v>0</v>
      </c>
      <c r="N66" s="306">
        <f>Kassabudget!P26</f>
        <v>0</v>
      </c>
      <c r="O66" s="306">
        <f>Kassabudget!Q26</f>
        <v>0</v>
      </c>
      <c r="P66" s="306">
        <f>Kassabudget!R26</f>
        <v>0</v>
      </c>
      <c r="Q66" s="300">
        <f>SUM(E66:P66)</f>
        <v>0</v>
      </c>
    </row>
    <row r="67" spans="2:21" x14ac:dyDescent="0.2">
      <c r="C67" s="213" t="s">
        <v>98</v>
      </c>
      <c r="D67" s="214"/>
      <c r="E67" s="301">
        <f>E66-E66/(1+$D66/100)</f>
        <v>0</v>
      </c>
      <c r="F67" s="301">
        <f t="shared" ref="F67:N67" si="25">F66-F66/(1+$D66/100)</f>
        <v>0</v>
      </c>
      <c r="G67" s="301">
        <f t="shared" si="25"/>
        <v>0</v>
      </c>
      <c r="H67" s="301">
        <f t="shared" si="25"/>
        <v>0</v>
      </c>
      <c r="I67" s="301">
        <f t="shared" si="25"/>
        <v>0</v>
      </c>
      <c r="J67" s="301">
        <f t="shared" si="25"/>
        <v>0</v>
      </c>
      <c r="K67" s="301">
        <f t="shared" si="25"/>
        <v>0</v>
      </c>
      <c r="L67" s="301">
        <f t="shared" si="25"/>
        <v>0</v>
      </c>
      <c r="M67" s="301">
        <f t="shared" si="25"/>
        <v>0</v>
      </c>
      <c r="N67" s="301">
        <f t="shared" si="25"/>
        <v>0</v>
      </c>
      <c r="O67" s="301">
        <f>O66-O66/(1+$D66/100)</f>
        <v>0</v>
      </c>
      <c r="P67" s="301">
        <f>P66-P66/(1+$D66/100)</f>
        <v>0</v>
      </c>
      <c r="Q67" s="307"/>
    </row>
    <row r="68" spans="2:21" x14ac:dyDescent="0.2">
      <c r="C68" s="209" t="str">
        <f>Kassabudget!C27</f>
        <v xml:space="preserve"> Investeringar inklusive moms </v>
      </c>
      <c r="D68" s="210">
        <f>Kassabudget!F27</f>
        <v>25.5</v>
      </c>
      <c r="E68" s="304">
        <f>Kassabudget!V27</f>
        <v>0</v>
      </c>
      <c r="F68" s="304">
        <f>Kassabudget!H27</f>
        <v>0</v>
      </c>
      <c r="G68" s="304">
        <f>Kassabudget!I27</f>
        <v>0</v>
      </c>
      <c r="H68" s="304">
        <f>Kassabudget!J27</f>
        <v>0</v>
      </c>
      <c r="I68" s="304">
        <f>Kassabudget!K27</f>
        <v>0</v>
      </c>
      <c r="J68" s="304">
        <f>Kassabudget!L27</f>
        <v>0</v>
      </c>
      <c r="K68" s="304">
        <f>Kassabudget!M27</f>
        <v>0</v>
      </c>
      <c r="L68" s="304">
        <f>Kassabudget!N27</f>
        <v>0</v>
      </c>
      <c r="M68" s="304">
        <f>Kassabudget!O27</f>
        <v>0</v>
      </c>
      <c r="N68" s="304">
        <f>Kassabudget!P27</f>
        <v>0</v>
      </c>
      <c r="O68" s="304">
        <f>Kassabudget!Q27</f>
        <v>0</v>
      </c>
      <c r="P68" s="304">
        <f>Kassabudget!R27</f>
        <v>0</v>
      </c>
      <c r="Q68" s="300">
        <f>SUM(E68:P68)</f>
        <v>0</v>
      </c>
    </row>
    <row r="69" spans="2:21" x14ac:dyDescent="0.2">
      <c r="C69" s="211" t="s">
        <v>98</v>
      </c>
      <c r="D69" s="212"/>
      <c r="E69" s="301">
        <f>E68-E68/(1+$D68/100)</f>
        <v>0</v>
      </c>
      <c r="F69" s="301">
        <f t="shared" ref="F69:P71" si="26">F68-F68/(1+$D68/100)</f>
        <v>0</v>
      </c>
      <c r="G69" s="301">
        <f t="shared" si="26"/>
        <v>0</v>
      </c>
      <c r="H69" s="301">
        <f t="shared" si="26"/>
        <v>0</v>
      </c>
      <c r="I69" s="301">
        <f t="shared" si="26"/>
        <v>0</v>
      </c>
      <c r="J69" s="301">
        <f t="shared" si="26"/>
        <v>0</v>
      </c>
      <c r="K69" s="301">
        <f t="shared" si="26"/>
        <v>0</v>
      </c>
      <c r="L69" s="301">
        <f t="shared" si="26"/>
        <v>0</v>
      </c>
      <c r="M69" s="301">
        <f t="shared" si="26"/>
        <v>0</v>
      </c>
      <c r="N69" s="301">
        <f t="shared" si="26"/>
        <v>0</v>
      </c>
      <c r="O69" s="301">
        <f t="shared" si="26"/>
        <v>0</v>
      </c>
      <c r="P69" s="301">
        <f t="shared" si="26"/>
        <v>0</v>
      </c>
      <c r="Q69" s="305"/>
    </row>
    <row r="70" spans="2:21" x14ac:dyDescent="0.2">
      <c r="C70" s="213" t="str">
        <f>Kassabudget!C28</f>
        <v xml:space="preserve"> Bil/arbetsmaskinkostnader (Moms-avdragbara)</v>
      </c>
      <c r="D70" s="229">
        <f>Kassabudget!F28</f>
        <v>25.5</v>
      </c>
      <c r="E70" s="182">
        <f>Kassabudget!G28</f>
        <v>0</v>
      </c>
      <c r="F70" s="182">
        <f>Kassabudget!H28</f>
        <v>0</v>
      </c>
      <c r="G70" s="182">
        <f>Kassabudget!I28</f>
        <v>0</v>
      </c>
      <c r="H70" s="182">
        <f>Kassabudget!J28</f>
        <v>0</v>
      </c>
      <c r="I70" s="182">
        <f>Kassabudget!K28</f>
        <v>0</v>
      </c>
      <c r="J70" s="182">
        <f>Kassabudget!L28</f>
        <v>0</v>
      </c>
      <c r="K70" s="182">
        <f>Kassabudget!M28</f>
        <v>0</v>
      </c>
      <c r="L70" s="182">
        <f>Kassabudget!N28</f>
        <v>0</v>
      </c>
      <c r="M70" s="182">
        <f>Kassabudget!O28</f>
        <v>0</v>
      </c>
      <c r="N70" s="182">
        <f>Kassabudget!P28</f>
        <v>0</v>
      </c>
      <c r="O70" s="182">
        <f>Kassabudget!Q28</f>
        <v>0</v>
      </c>
      <c r="P70" s="182">
        <f>Kassabudget!R28</f>
        <v>0</v>
      </c>
      <c r="Q70" s="300">
        <f>SUM(E70:P70)</f>
        <v>0</v>
      </c>
    </row>
    <row r="71" spans="2:21" x14ac:dyDescent="0.2">
      <c r="C71" s="211" t="s">
        <v>98</v>
      </c>
      <c r="D71" s="214"/>
      <c r="E71" s="301">
        <f>E70-E70/(1+$D70/100)</f>
        <v>0</v>
      </c>
      <c r="F71" s="301">
        <f t="shared" si="26"/>
        <v>0</v>
      </c>
      <c r="G71" s="301">
        <f t="shared" si="26"/>
        <v>0</v>
      </c>
      <c r="H71" s="301">
        <f t="shared" si="26"/>
        <v>0</v>
      </c>
      <c r="I71" s="301">
        <f t="shared" si="26"/>
        <v>0</v>
      </c>
      <c r="J71" s="301">
        <f t="shared" si="26"/>
        <v>0</v>
      </c>
      <c r="K71" s="301">
        <f t="shared" si="26"/>
        <v>0</v>
      </c>
      <c r="L71" s="301">
        <f t="shared" si="26"/>
        <v>0</v>
      </c>
      <c r="M71" s="301">
        <f t="shared" si="26"/>
        <v>0</v>
      </c>
      <c r="N71" s="301">
        <f t="shared" si="26"/>
        <v>0</v>
      </c>
      <c r="O71" s="301">
        <f t="shared" si="26"/>
        <v>0</v>
      </c>
      <c r="P71" s="301">
        <f t="shared" si="26"/>
        <v>0</v>
      </c>
      <c r="Q71" s="305"/>
    </row>
    <row r="72" spans="2:21" x14ac:dyDescent="0.2">
      <c r="C72" s="213" t="str">
        <f>Kassabudget!C29</f>
        <v xml:space="preserve"> Städning- och avfallskostnader, bevakning</v>
      </c>
      <c r="D72" s="229">
        <f>Kassabudget!F29</f>
        <v>25.5</v>
      </c>
      <c r="E72" s="182">
        <f>Kassabudget!G29</f>
        <v>0</v>
      </c>
      <c r="F72" s="182">
        <f>Kassabudget!H29</f>
        <v>0</v>
      </c>
      <c r="G72" s="182">
        <f>Kassabudget!I29</f>
        <v>0</v>
      </c>
      <c r="H72" s="182">
        <f>Kassabudget!J29</f>
        <v>0</v>
      </c>
      <c r="I72" s="182">
        <f>Kassabudget!K29</f>
        <v>0</v>
      </c>
      <c r="J72" s="182">
        <f>Kassabudget!L29</f>
        <v>0</v>
      </c>
      <c r="K72" s="182">
        <f>Kassabudget!M29</f>
        <v>0</v>
      </c>
      <c r="L72" s="182">
        <f>Kassabudget!N29</f>
        <v>0</v>
      </c>
      <c r="M72" s="182">
        <f>Kassabudget!O29</f>
        <v>0</v>
      </c>
      <c r="N72" s="182">
        <f>Kassabudget!P29</f>
        <v>0</v>
      </c>
      <c r="O72" s="182">
        <f>Kassabudget!Q29</f>
        <v>0</v>
      </c>
      <c r="P72" s="182">
        <f>Kassabudget!R29</f>
        <v>0</v>
      </c>
      <c r="Q72" s="300">
        <f>SUM(E72:P72)</f>
        <v>0</v>
      </c>
    </row>
    <row r="73" spans="2:21" x14ac:dyDescent="0.2">
      <c r="C73" s="211" t="s">
        <v>98</v>
      </c>
      <c r="D73" s="214"/>
      <c r="E73" s="301">
        <f>E72-E72/(1+$D72/100)</f>
        <v>0</v>
      </c>
      <c r="F73" s="301">
        <f t="shared" ref="F73:P73" si="27">F72-F72/(1+$D72/100)</f>
        <v>0</v>
      </c>
      <c r="G73" s="301">
        <f t="shared" si="27"/>
        <v>0</v>
      </c>
      <c r="H73" s="301">
        <f t="shared" si="27"/>
        <v>0</v>
      </c>
      <c r="I73" s="301">
        <f t="shared" si="27"/>
        <v>0</v>
      </c>
      <c r="J73" s="301">
        <f t="shared" si="27"/>
        <v>0</v>
      </c>
      <c r="K73" s="301">
        <f t="shared" si="27"/>
        <v>0</v>
      </c>
      <c r="L73" s="301">
        <f t="shared" si="27"/>
        <v>0</v>
      </c>
      <c r="M73" s="301">
        <f t="shared" si="27"/>
        <v>0</v>
      </c>
      <c r="N73" s="301">
        <f t="shared" si="27"/>
        <v>0</v>
      </c>
      <c r="O73" s="301">
        <f t="shared" si="27"/>
        <v>0</v>
      </c>
      <c r="P73" s="301">
        <f t="shared" si="27"/>
        <v>0</v>
      </c>
      <c r="Q73" s="305"/>
    </row>
    <row r="74" spans="2:21" x14ac:dyDescent="0.2">
      <c r="B74" t="s">
        <v>829</v>
      </c>
      <c r="C74" s="209" t="s">
        <v>79</v>
      </c>
      <c r="D74" s="210">
        <f>Kassabudget!F32</f>
        <v>0</v>
      </c>
      <c r="E74" s="304">
        <f>E80</f>
        <v>0</v>
      </c>
      <c r="F74" s="304">
        <f t="shared" ref="F74:P74" si="28">F80</f>
        <v>0</v>
      </c>
      <c r="G74" s="304">
        <f t="shared" si="28"/>
        <v>0</v>
      </c>
      <c r="H74" s="304">
        <f t="shared" si="28"/>
        <v>0</v>
      </c>
      <c r="I74" s="304">
        <f t="shared" si="28"/>
        <v>0</v>
      </c>
      <c r="J74" s="304">
        <f t="shared" si="28"/>
        <v>0</v>
      </c>
      <c r="K74" s="304">
        <f t="shared" si="28"/>
        <v>0</v>
      </c>
      <c r="L74" s="304">
        <f t="shared" si="28"/>
        <v>0</v>
      </c>
      <c r="M74" s="304">
        <f t="shared" si="28"/>
        <v>0</v>
      </c>
      <c r="N74" s="304">
        <f t="shared" si="28"/>
        <v>0</v>
      </c>
      <c r="O74" s="304">
        <f t="shared" si="28"/>
        <v>0</v>
      </c>
      <c r="P74" s="304">
        <f t="shared" si="28"/>
        <v>0</v>
      </c>
      <c r="Q74" s="300">
        <f>SUM(E74:P74)</f>
        <v>0</v>
      </c>
    </row>
    <row r="75" spans="2:21" x14ac:dyDescent="0.2">
      <c r="B75" t="s">
        <v>829</v>
      </c>
      <c r="C75" s="211" t="s">
        <v>98</v>
      </c>
      <c r="D75" s="212"/>
      <c r="E75" s="304">
        <f>E81</f>
        <v>0</v>
      </c>
      <c r="F75" s="304">
        <f t="shared" ref="F75:P75" si="29">F81</f>
        <v>0</v>
      </c>
      <c r="G75" s="304">
        <f t="shared" si="29"/>
        <v>0</v>
      </c>
      <c r="H75" s="304">
        <f t="shared" si="29"/>
        <v>0</v>
      </c>
      <c r="I75" s="304">
        <f t="shared" si="29"/>
        <v>0</v>
      </c>
      <c r="J75" s="304">
        <f t="shared" si="29"/>
        <v>0</v>
      </c>
      <c r="K75" s="304">
        <f t="shared" si="29"/>
        <v>0</v>
      </c>
      <c r="L75" s="304">
        <f t="shared" si="29"/>
        <v>0</v>
      </c>
      <c r="M75" s="304">
        <f t="shared" si="29"/>
        <v>0</v>
      </c>
      <c r="N75" s="304">
        <f t="shared" si="29"/>
        <v>0</v>
      </c>
      <c r="O75" s="304">
        <f t="shared" si="29"/>
        <v>0</v>
      </c>
      <c r="P75" s="304">
        <f t="shared" si="29"/>
        <v>0</v>
      </c>
      <c r="Q75" s="305"/>
    </row>
    <row r="76" spans="2:21" ht="13.5" thickBot="1" x14ac:dyDescent="0.25">
      <c r="B76" t="s">
        <v>829</v>
      </c>
      <c r="C76" s="206" t="s">
        <v>99</v>
      </c>
      <c r="D76" s="215"/>
      <c r="E76" s="308">
        <f>E55+E59+E61+E63+E65+E67+E69+E75+E71+E73</f>
        <v>0</v>
      </c>
      <c r="F76" s="308">
        <f t="shared" ref="F76:P76" si="30">F55+F59+F61+F63+F65+F67+F69+F75+F71+F73</f>
        <v>0</v>
      </c>
      <c r="G76" s="308">
        <f t="shared" si="30"/>
        <v>0</v>
      </c>
      <c r="H76" s="308">
        <f t="shared" si="30"/>
        <v>0</v>
      </c>
      <c r="I76" s="308">
        <f t="shared" si="30"/>
        <v>0</v>
      </c>
      <c r="J76" s="308">
        <f t="shared" si="30"/>
        <v>0</v>
      </c>
      <c r="K76" s="308">
        <f t="shared" si="30"/>
        <v>0</v>
      </c>
      <c r="L76" s="308">
        <f t="shared" si="30"/>
        <v>0</v>
      </c>
      <c r="M76" s="308">
        <f t="shared" si="30"/>
        <v>0</v>
      </c>
      <c r="N76" s="308">
        <f t="shared" si="30"/>
        <v>0</v>
      </c>
      <c r="O76" s="308">
        <f t="shared" si="30"/>
        <v>0</v>
      </c>
      <c r="P76" s="308">
        <f t="shared" si="30"/>
        <v>0</v>
      </c>
      <c r="Q76" s="309">
        <f>SUM(E76:P76)</f>
        <v>0</v>
      </c>
    </row>
    <row r="77" spans="2:21" x14ac:dyDescent="0.2">
      <c r="C77" s="52"/>
      <c r="D77" s="52"/>
      <c r="E77" s="306"/>
      <c r="F77" s="306"/>
      <c r="G77" s="306"/>
      <c r="H77" s="306"/>
      <c r="I77" s="306"/>
      <c r="J77" s="306"/>
      <c r="K77" s="306"/>
      <c r="L77" s="306"/>
      <c r="M77" s="306"/>
      <c r="N77" s="306"/>
      <c r="O77" s="306"/>
      <c r="P77" s="306"/>
      <c r="Q77" s="307"/>
    </row>
    <row r="78" spans="2:21" ht="26.25" thickBot="1" x14ac:dyDescent="0.25">
      <c r="B78" t="s">
        <v>829</v>
      </c>
      <c r="C78" s="216" t="s">
        <v>100</v>
      </c>
      <c r="D78" s="52"/>
      <c r="E78" s="308">
        <f>E49-E76</f>
        <v>0</v>
      </c>
      <c r="F78" s="308">
        <f t="shared" ref="F78:P78" si="31">F49-F76</f>
        <v>0</v>
      </c>
      <c r="G78" s="308">
        <f t="shared" si="31"/>
        <v>0</v>
      </c>
      <c r="H78" s="308">
        <f t="shared" si="31"/>
        <v>0</v>
      </c>
      <c r="I78" s="308">
        <f t="shared" si="31"/>
        <v>0</v>
      </c>
      <c r="J78" s="308">
        <f t="shared" si="31"/>
        <v>0</v>
      </c>
      <c r="K78" s="308">
        <f t="shared" si="31"/>
        <v>0</v>
      </c>
      <c r="L78" s="308">
        <f t="shared" si="31"/>
        <v>0</v>
      </c>
      <c r="M78" s="308">
        <f t="shared" si="31"/>
        <v>0</v>
      </c>
      <c r="N78" s="308">
        <f t="shared" si="31"/>
        <v>0</v>
      </c>
      <c r="O78" s="308">
        <f t="shared" si="31"/>
        <v>0</v>
      </c>
      <c r="P78" s="308">
        <f t="shared" si="31"/>
        <v>0</v>
      </c>
      <c r="Q78" s="309">
        <f>SUM(E78:P78)</f>
        <v>0</v>
      </c>
      <c r="T78" s="1577" t="s">
        <v>842</v>
      </c>
      <c r="U78" s="1577" t="s">
        <v>843</v>
      </c>
    </row>
    <row r="79" spans="2:21" ht="11.25" customHeight="1" x14ac:dyDescent="0.2">
      <c r="D79" s="400"/>
      <c r="T79" s="1577"/>
      <c r="U79" s="1577"/>
    </row>
    <row r="80" spans="2:21" s="2" customFormat="1" x14ac:dyDescent="0.2">
      <c r="B80" s="2" t="s">
        <v>829</v>
      </c>
      <c r="C80" s="1498" t="s">
        <v>847</v>
      </c>
      <c r="D80" s="1509">
        <f>Kassabudget!F27</f>
        <v>25.5</v>
      </c>
      <c r="E80" s="1536">
        <f>E83+E95+E99</f>
        <v>0</v>
      </c>
      <c r="F80" s="1499">
        <f t="shared" ref="F80:P80" si="32">F83+F95+F99</f>
        <v>0</v>
      </c>
      <c r="G80" s="1499">
        <f t="shared" si="32"/>
        <v>0</v>
      </c>
      <c r="H80" s="1499">
        <f t="shared" si="32"/>
        <v>0</v>
      </c>
      <c r="I80" s="1499">
        <f t="shared" si="32"/>
        <v>0</v>
      </c>
      <c r="J80" s="1499">
        <f t="shared" si="32"/>
        <v>0</v>
      </c>
      <c r="K80" s="1499">
        <f t="shared" si="32"/>
        <v>0</v>
      </c>
      <c r="L80" s="1499">
        <f t="shared" si="32"/>
        <v>0</v>
      </c>
      <c r="M80" s="1499">
        <f t="shared" si="32"/>
        <v>0</v>
      </c>
      <c r="N80" s="1499">
        <f>N83+N95+N99</f>
        <v>0</v>
      </c>
      <c r="O80" s="1499">
        <f>O83+O95+O99</f>
        <v>0</v>
      </c>
      <c r="P80" s="1499">
        <f t="shared" si="32"/>
        <v>0</v>
      </c>
      <c r="Q80" s="1499">
        <f>SUM(E80:P80)</f>
        <v>0</v>
      </c>
      <c r="T80" s="1501">
        <f>T83+T97+T101</f>
        <v>0</v>
      </c>
      <c r="U80" s="1501">
        <f>U83+U97+U101</f>
        <v>0</v>
      </c>
    </row>
    <row r="81" spans="2:22" x14ac:dyDescent="0.2">
      <c r="B81" t="s">
        <v>829</v>
      </c>
      <c r="C81" s="1498" t="s">
        <v>98</v>
      </c>
      <c r="D81" s="1500"/>
      <c r="E81" s="1499">
        <f>E84+E96+E100</f>
        <v>0</v>
      </c>
      <c r="F81" s="1499">
        <f t="shared" ref="F81:P81" si="33">F84+F96+F100</f>
        <v>0</v>
      </c>
      <c r="G81" s="1499">
        <f t="shared" si="33"/>
        <v>0</v>
      </c>
      <c r="H81" s="1499">
        <f t="shared" si="33"/>
        <v>0</v>
      </c>
      <c r="I81" s="1499">
        <f t="shared" si="33"/>
        <v>0</v>
      </c>
      <c r="J81" s="1499">
        <f t="shared" si="33"/>
        <v>0</v>
      </c>
      <c r="K81" s="1499">
        <f t="shared" si="33"/>
        <v>0</v>
      </c>
      <c r="L81" s="1499">
        <f t="shared" si="33"/>
        <v>0</v>
      </c>
      <c r="M81" s="1499">
        <f t="shared" si="33"/>
        <v>0</v>
      </c>
      <c r="N81" s="1499">
        <f t="shared" si="33"/>
        <v>0</v>
      </c>
      <c r="O81" s="1499">
        <f t="shared" si="33"/>
        <v>0</v>
      </c>
      <c r="P81" s="1499">
        <f t="shared" si="33"/>
        <v>0</v>
      </c>
      <c r="Q81" s="1499">
        <f>SUM(E81:P81)</f>
        <v>0</v>
      </c>
    </row>
    <row r="82" spans="2:22" x14ac:dyDescent="0.2">
      <c r="C82" s="421"/>
      <c r="D82" s="691"/>
      <c r="E82" s="1502"/>
      <c r="F82" s="1502"/>
      <c r="G82" s="1502"/>
      <c r="H82" s="1502"/>
      <c r="I82" s="1502"/>
      <c r="J82" s="1502"/>
      <c r="K82" s="1502"/>
      <c r="L82" s="1502"/>
      <c r="M82" s="1502"/>
      <c r="N82" s="1502"/>
      <c r="O82" s="1502"/>
      <c r="P82" s="1502"/>
      <c r="Q82" s="1502"/>
      <c r="T82" s="14" t="s">
        <v>782</v>
      </c>
      <c r="U82" s="14" t="s">
        <v>815</v>
      </c>
    </row>
    <row r="83" spans="2:22" x14ac:dyDescent="0.2">
      <c r="B83" t="s">
        <v>829</v>
      </c>
      <c r="C83" s="1505" t="s">
        <v>844</v>
      </c>
      <c r="D83" s="1527">
        <f>Kassabudget!F30</f>
        <v>25.5</v>
      </c>
      <c r="E83" s="1506">
        <f>SUM(E85:E93)</f>
        <v>0</v>
      </c>
      <c r="F83" s="1506">
        <f t="shared" ref="F83:Q83" si="34">SUM(F85:F93)</f>
        <v>0</v>
      </c>
      <c r="G83" s="1506">
        <f t="shared" si="34"/>
        <v>0</v>
      </c>
      <c r="H83" s="1506">
        <f t="shared" si="34"/>
        <v>0</v>
      </c>
      <c r="I83" s="1506">
        <f t="shared" si="34"/>
        <v>0</v>
      </c>
      <c r="J83" s="1506">
        <f t="shared" si="34"/>
        <v>0</v>
      </c>
      <c r="K83" s="1506">
        <f t="shared" si="34"/>
        <v>0</v>
      </c>
      <c r="L83" s="1506">
        <f t="shared" si="34"/>
        <v>0</v>
      </c>
      <c r="M83" s="1506">
        <f t="shared" si="34"/>
        <v>0</v>
      </c>
      <c r="N83" s="1506">
        <f t="shared" si="34"/>
        <v>0</v>
      </c>
      <c r="O83" s="1506">
        <f t="shared" si="34"/>
        <v>0</v>
      </c>
      <c r="P83" s="1506">
        <f t="shared" si="34"/>
        <v>0</v>
      </c>
      <c r="Q83" s="1506">
        <f t="shared" si="34"/>
        <v>0</v>
      </c>
      <c r="T83" s="50">
        <f>SUM(T85:T93)</f>
        <v>0</v>
      </c>
      <c r="U83" s="50">
        <f>SUM(U85:U93)</f>
        <v>0</v>
      </c>
    </row>
    <row r="84" spans="2:22" x14ac:dyDescent="0.2">
      <c r="B84" t="s">
        <v>829</v>
      </c>
      <c r="C84" s="1494" t="s">
        <v>98</v>
      </c>
      <c r="D84" s="1503"/>
      <c r="E84" s="301">
        <f>E83-E83/(1+$D83/100)</f>
        <v>0</v>
      </c>
      <c r="F84" s="301">
        <f t="shared" ref="F84:P84" si="35">F83-F83/(1+$D83/100)</f>
        <v>0</v>
      </c>
      <c r="G84" s="301">
        <f t="shared" si="35"/>
        <v>0</v>
      </c>
      <c r="H84" s="301">
        <f t="shared" si="35"/>
        <v>0</v>
      </c>
      <c r="I84" s="301">
        <f t="shared" si="35"/>
        <v>0</v>
      </c>
      <c r="J84" s="301">
        <f t="shared" si="35"/>
        <v>0</v>
      </c>
      <c r="K84" s="301">
        <f t="shared" si="35"/>
        <v>0</v>
      </c>
      <c r="L84" s="301">
        <f t="shared" si="35"/>
        <v>0</v>
      </c>
      <c r="M84" s="301">
        <f t="shared" si="35"/>
        <v>0</v>
      </c>
      <c r="N84" s="301">
        <f t="shared" si="35"/>
        <v>0</v>
      </c>
      <c r="O84" s="301">
        <f t="shared" si="35"/>
        <v>0</v>
      </c>
      <c r="P84" s="301">
        <f t="shared" si="35"/>
        <v>0</v>
      </c>
      <c r="Q84" s="1529">
        <f>SUM(E84:P84)</f>
        <v>0</v>
      </c>
      <c r="T84" s="1504">
        <f>SUM(T85:T92)</f>
        <v>0</v>
      </c>
      <c r="U84" s="1504">
        <f>SUM(U85:U92)</f>
        <v>0</v>
      </c>
    </row>
    <row r="85" spans="2:22" x14ac:dyDescent="0.2">
      <c r="B85" t="s">
        <v>829</v>
      </c>
      <c r="C85" s="331" t="s">
        <v>132</v>
      </c>
      <c r="D85" s="1527">
        <f>Kassabudget!F32</f>
        <v>0</v>
      </c>
      <c r="E85" s="296">
        <f>'2 AT Palkat, alv'!$U85/12*(1+$D85/100)</f>
        <v>0</v>
      </c>
      <c r="F85" s="296">
        <f>'2 AT Palkat, alv'!$U85/12*(1+$D85/100)</f>
        <v>0</v>
      </c>
      <c r="G85" s="296">
        <f>'2 AT Palkat, alv'!$U85/12*(1+$D85/100)</f>
        <v>0</v>
      </c>
      <c r="H85" s="296">
        <f>'2 AT Palkat, alv'!$U85/12*(1+$D85/100)</f>
        <v>0</v>
      </c>
      <c r="I85" s="296">
        <f>'2 AT Palkat, alv'!$U85/12*(1+$D85/100)</f>
        <v>0</v>
      </c>
      <c r="J85" s="296">
        <f>'2 AT Palkat, alv'!$U85/12*(1+$D85/100)</f>
        <v>0</v>
      </c>
      <c r="K85" s="296">
        <f>'2 AT Palkat, alv'!$U85/12*(1+$D85/100)</f>
        <v>0</v>
      </c>
      <c r="L85" s="296">
        <f>'2 AT Palkat, alv'!$U85/12*(1+$D85/100)</f>
        <v>0</v>
      </c>
      <c r="M85" s="296">
        <f>'2 AT Palkat, alv'!$U85/12*(1+$D85/100)</f>
        <v>0</v>
      </c>
      <c r="N85" s="296">
        <f>'2 AT Palkat, alv'!$U85/12*(1+$D85/100)</f>
        <v>0</v>
      </c>
      <c r="O85" s="296">
        <f>'2 AT Palkat, alv'!$U85/12*(1+$D85/100)</f>
        <v>0</v>
      </c>
      <c r="P85" s="296">
        <f>'2 AT Palkat, alv'!$U85/12*(1+$D85/100)</f>
        <v>0</v>
      </c>
      <c r="Q85" s="279">
        <f t="shared" ref="Q85:Q87" si="36">SUM(E85:P85)</f>
        <v>0</v>
      </c>
      <c r="S85" s="1528"/>
      <c r="T85" s="283">
        <f>U85*(1+'2 AT Palkat, alv'!D85/100)</f>
        <v>0</v>
      </c>
      <c r="U85" s="277">
        <f>IF('K1 Kostnader'!$C$9&gt;0,(IF('K1 Kostnader'!$F$13=12,'K1 Kostnader'!$F45,IF('K1 Kostnader'!$F$13&lt;12,12*(('K1 Kostnader'!$F45+'K1 Kostnader'!$G45)/('K1 Kostnader'!$F$13+'K1 Kostnader'!$G$13)),12*'K1 Kostnader'!$F45/'K1 Kostnader'!$F$13))),(IF('FS1 Kostnader '!$F$13=12,'FS1 Kostnader '!$F45,IF('FS1 Kostnader '!$F$13&lt;12,12*(('FS1 Kostnader '!$F45+'FS1 Kostnader '!$G45)/('FS1 Kostnader '!$F$13+'FS1 Kostnader '!$G$13)),12*'FS1 Kostnader '!$F45/'FS1 Kostnader '!$F$13))))</f>
        <v>0</v>
      </c>
      <c r="V85" s="294" t="s">
        <v>170</v>
      </c>
    </row>
    <row r="86" spans="2:22" x14ac:dyDescent="0.2">
      <c r="B86" t="s">
        <v>829</v>
      </c>
      <c r="C86" s="330" t="s">
        <v>133</v>
      </c>
      <c r="D86" s="1527">
        <f>Kassabudget!F31</f>
        <v>25.5</v>
      </c>
      <c r="E86" s="295">
        <f>'2 AT Palkat, alv'!$U86/12*(1+$D86/100)</f>
        <v>0</v>
      </c>
      <c r="F86" s="295">
        <f>'2 AT Palkat, alv'!$U86/12*(1+$D86/100)</f>
        <v>0</v>
      </c>
      <c r="G86" s="295">
        <f>'2 AT Palkat, alv'!$U86/12*(1+$D86/100)</f>
        <v>0</v>
      </c>
      <c r="H86" s="295">
        <f>'2 AT Palkat, alv'!$U86/12*(1+$D86/100)</f>
        <v>0</v>
      </c>
      <c r="I86" s="295">
        <f>'2 AT Palkat, alv'!$U86/12*(1+$D86/100)</f>
        <v>0</v>
      </c>
      <c r="J86" s="295">
        <f>'2 AT Palkat, alv'!$U86/12*(1+$D86/100)</f>
        <v>0</v>
      </c>
      <c r="K86" s="295">
        <f>'2 AT Palkat, alv'!$U86/12*(1+$D86/100)</f>
        <v>0</v>
      </c>
      <c r="L86" s="295">
        <f>'2 AT Palkat, alv'!$U86/12*(1+$D86/100)</f>
        <v>0</v>
      </c>
      <c r="M86" s="295">
        <f>'2 AT Palkat, alv'!$U86/12*(1+$D86/100)</f>
        <v>0</v>
      </c>
      <c r="N86" s="295">
        <f>'2 AT Palkat, alv'!$U86/12*(1+$D86/100)</f>
        <v>0</v>
      </c>
      <c r="O86" s="295">
        <f>'2 AT Palkat, alv'!$U86/12*(1+$D86/100)</f>
        <v>0</v>
      </c>
      <c r="P86" s="295">
        <f>'2 AT Palkat, alv'!$U86/12*(1+$D86/100)</f>
        <v>0</v>
      </c>
      <c r="Q86" s="278">
        <f t="shared" si="36"/>
        <v>0</v>
      </c>
      <c r="S86" s="1528"/>
      <c r="T86" s="283">
        <f>U86*(1+'2 AT Palkat, alv'!D86/100)</f>
        <v>0</v>
      </c>
      <c r="U86" s="277">
        <f>IF('K1 Kostnader'!$C$9&gt;0,(IF('K1 Kostnader'!$F$13=12,'K1 Kostnader'!$F117,IF('K1 Kostnader'!$F$13&lt;12,12*(('K1 Kostnader'!$F117+'K1 Kostnader'!$G117)/('K1 Kostnader'!$F$13+'K1 Kostnader'!$G$13)),12*'K1 Kostnader'!$F117/'K1 Kostnader'!$F$13))),(IF('FS1 Kostnader '!$F$13=12,'FS1 Kostnader '!$F117,IF('FS1 Kostnader '!$F$13&lt;12,12*(('FS1 Kostnader '!$F117+'FS1 Kostnader '!$G117)/('FS1 Kostnader '!$F$13+'FS1 Kostnader '!$G$13)),12*'FS1 Kostnader '!$F117/'FS1 Kostnader '!$F$13))))</f>
        <v>0</v>
      </c>
      <c r="V86" s="294" t="s">
        <v>229</v>
      </c>
    </row>
    <row r="87" spans="2:22" x14ac:dyDescent="0.2">
      <c r="B87" t="s">
        <v>829</v>
      </c>
      <c r="C87" s="330" t="s">
        <v>131</v>
      </c>
      <c r="D87" s="1527">
        <f>D86</f>
        <v>25.5</v>
      </c>
      <c r="E87" s="298">
        <f>'2 AT Palkat, alv'!$U87/12*(1+$D87/100)</f>
        <v>0</v>
      </c>
      <c r="F87" s="298">
        <f>'2 AT Palkat, alv'!$U87/12*(1+$D87/100)</f>
        <v>0</v>
      </c>
      <c r="G87" s="298">
        <f>'2 AT Palkat, alv'!$U87/12*(1+$D87/100)</f>
        <v>0</v>
      </c>
      <c r="H87" s="298">
        <f>'2 AT Palkat, alv'!$U87/12*(1+$D87/100)</f>
        <v>0</v>
      </c>
      <c r="I87" s="298">
        <f>'2 AT Palkat, alv'!$U87/12*(1+$D87/100)</f>
        <v>0</v>
      </c>
      <c r="J87" s="298">
        <f>'2 AT Palkat, alv'!$U87/12*(1+$D87/100)</f>
        <v>0</v>
      </c>
      <c r="K87" s="298">
        <f>'2 AT Palkat, alv'!$U87/12*(1+$D87/100)</f>
        <v>0</v>
      </c>
      <c r="L87" s="298">
        <f>'2 AT Palkat, alv'!$U87/12*(1+$D87/100)</f>
        <v>0</v>
      </c>
      <c r="M87" s="298">
        <f>'2 AT Palkat, alv'!$U87/12*(1+$D87/100)</f>
        <v>0</v>
      </c>
      <c r="N87" s="298">
        <f>'2 AT Palkat, alv'!$U87/12*(1+$D87/100)</f>
        <v>0</v>
      </c>
      <c r="O87" s="298">
        <f>'2 AT Palkat, alv'!$U87/12*(1+$D87/100)</f>
        <v>0</v>
      </c>
      <c r="P87" s="298">
        <f>'2 AT Palkat, alv'!$U87/12*(1+$D87/100)</f>
        <v>0</v>
      </c>
      <c r="Q87" s="279">
        <f t="shared" si="36"/>
        <v>0</v>
      </c>
      <c r="S87" s="1528"/>
      <c r="T87" s="283">
        <f>U87*(1+'2 AT Palkat, alv'!D87/100)</f>
        <v>0</v>
      </c>
      <c r="U87" s="277">
        <f>IF('K1 Kostnader'!$C$9&gt;0,(IF('K1 Kostnader'!$F$13=12,'K1 Kostnader'!$F118,IF('K1 Kostnader'!$F$13&lt;12,12*(('K1 Kostnader'!$F118+'K1 Kostnader'!$G118)/('K1 Kostnader'!$F$13+'K1 Kostnader'!$G$13)),12*'K1 Kostnader'!$F118/'K1 Kostnader'!$F$13))),(IF('FS1 Kostnader '!$F$13=12,'FS1 Kostnader '!$F118,IF('FS1 Kostnader '!$F$13&lt;12,12*(('FS1 Kostnader '!$F118+'FS1 Kostnader '!$G118)/('FS1 Kostnader '!$F$13+'FS1 Kostnader '!$G$13)),12*'FS1 Kostnader '!$F118/'FS1 Kostnader '!$F$13))))</f>
        <v>0</v>
      </c>
      <c r="V87" s="294" t="s">
        <v>228</v>
      </c>
    </row>
    <row r="88" spans="2:22" x14ac:dyDescent="0.2">
      <c r="B88" t="s">
        <v>829</v>
      </c>
      <c r="C88" s="1508" t="s">
        <v>810</v>
      </c>
      <c r="D88" s="1509">
        <f t="shared" ref="D88:D93" si="37">D87</f>
        <v>25.5</v>
      </c>
      <c r="E88" s="298">
        <f>'2 AT Palkat, alv'!$U88/12*(1+$D88/100)</f>
        <v>0</v>
      </c>
      <c r="F88" s="298">
        <f>'2 AT Palkat, alv'!$U88/12*(1+$D88/100)</f>
        <v>0</v>
      </c>
      <c r="G88" s="298">
        <f>'2 AT Palkat, alv'!$U88/12*(1+$D88/100)</f>
        <v>0</v>
      </c>
      <c r="H88" s="298">
        <f>'2 AT Palkat, alv'!$U88/12*(1+$D88/100)</f>
        <v>0</v>
      </c>
      <c r="I88" s="298">
        <f>'2 AT Palkat, alv'!$U88/12*(1+$D88/100)</f>
        <v>0</v>
      </c>
      <c r="J88" s="298">
        <f>'2 AT Palkat, alv'!$U88/12*(1+$D88/100)</f>
        <v>0</v>
      </c>
      <c r="K88" s="298">
        <f>'2 AT Palkat, alv'!$U88/12*(1+$D88/100)</f>
        <v>0</v>
      </c>
      <c r="L88" s="298">
        <f>'2 AT Palkat, alv'!$U88/12*(1+$D88/100)</f>
        <v>0</v>
      </c>
      <c r="M88" s="298">
        <f>'2 AT Palkat, alv'!$U88/12*(1+$D88/100)</f>
        <v>0</v>
      </c>
      <c r="N88" s="298">
        <f>'2 AT Palkat, alv'!$U88/12*(1+$D88/100)</f>
        <v>0</v>
      </c>
      <c r="O88" s="298">
        <f>'2 AT Palkat, alv'!$U88/12*(1+$D88/100)</f>
        <v>0</v>
      </c>
      <c r="P88" s="298">
        <f>'2 AT Palkat, alv'!$U88/12*(1+$D88/100)</f>
        <v>0</v>
      </c>
      <c r="Q88" s="1396">
        <f t="shared" ref="Q88:Q92" si="38">SUM(E88:P88)</f>
        <v>0</v>
      </c>
      <c r="S88" s="1510"/>
      <c r="T88" s="283">
        <f>U88*(1+'2 AT Palkat, alv'!D88/100)</f>
        <v>0</v>
      </c>
      <c r="U88" s="277">
        <f>IF('K1 Kostnader'!$C$9&gt;0,(IF('K1 Kostnader'!$F$13=12,'K1 Kostnader'!$F100,IF('K1 Kostnader'!$F$13&lt;12,12*(('K1 Kostnader'!$F100+'K1 Kostnader'!$G100)/('K1 Kostnader'!$F$13+'K1 Kostnader'!$G$13)),12*'K1 Kostnader'!$F100/'K1 Kostnader'!$F$13))),(IF('FS1 Kostnader '!$F$13=12,'FS1 Kostnader '!$F100,IF('FS1 Kostnader '!$F$13&lt;12,12*(('FS1 Kostnader '!$F100+'FS1 Kostnader '!$G100)/('FS1 Kostnader '!$F$13+'FS1 Kostnader '!$G$13)),12*'FS1 Kostnader '!$F100/'FS1 Kostnader '!$F$13))))</f>
        <v>0</v>
      </c>
      <c r="V88" s="1397" t="s">
        <v>230</v>
      </c>
    </row>
    <row r="89" spans="2:22" x14ac:dyDescent="0.2">
      <c r="B89" t="s">
        <v>829</v>
      </c>
      <c r="C89" s="1310" t="s">
        <v>811</v>
      </c>
      <c r="D89" s="1509">
        <f t="shared" si="37"/>
        <v>25.5</v>
      </c>
      <c r="E89" s="298">
        <f>'2 AT Palkat, alv'!$U89/12*(1+$D89/100)</f>
        <v>0</v>
      </c>
      <c r="F89" s="298">
        <f>'2 AT Palkat, alv'!$U89/12*(1+$D89/100)</f>
        <v>0</v>
      </c>
      <c r="G89" s="298">
        <f>'2 AT Palkat, alv'!$U89/12*(1+$D89/100)</f>
        <v>0</v>
      </c>
      <c r="H89" s="298">
        <f>'2 AT Palkat, alv'!$U89/12*(1+$D89/100)</f>
        <v>0</v>
      </c>
      <c r="I89" s="298">
        <f>'2 AT Palkat, alv'!$U89/12*(1+$D89/100)</f>
        <v>0</v>
      </c>
      <c r="J89" s="298">
        <f>'2 AT Palkat, alv'!$U89/12*(1+$D89/100)</f>
        <v>0</v>
      </c>
      <c r="K89" s="298">
        <f>'2 AT Palkat, alv'!$U89/12*(1+$D89/100)</f>
        <v>0</v>
      </c>
      <c r="L89" s="298">
        <f>'2 AT Palkat, alv'!$U89/12*(1+$D89/100)</f>
        <v>0</v>
      </c>
      <c r="M89" s="298">
        <f>'2 AT Palkat, alv'!$U89/12*(1+$D89/100)</f>
        <v>0</v>
      </c>
      <c r="N89" s="298">
        <f>'2 AT Palkat, alv'!$U89/12*(1+$D89/100)</f>
        <v>0</v>
      </c>
      <c r="O89" s="298">
        <f>'2 AT Palkat, alv'!$U89/12*(1+$D89/100)</f>
        <v>0</v>
      </c>
      <c r="P89" s="298">
        <f>'2 AT Palkat, alv'!$U89/12*(1+$D89/100)</f>
        <v>0</v>
      </c>
      <c r="Q89" s="1396">
        <f t="shared" si="38"/>
        <v>0</v>
      </c>
      <c r="S89" s="1510"/>
      <c r="T89" s="283">
        <f>U89*(1+'2 AT Palkat, alv'!D89/100)</f>
        <v>0</v>
      </c>
      <c r="U89" s="277">
        <f>IF('K1 Kostnader'!$C$9&gt;0,(IF('K1 Kostnader'!$F$13=12,'K1 Kostnader'!$F101,IF('K1 Kostnader'!$F$13&lt;12,12*(('K1 Kostnader'!$F101+'K1 Kostnader'!$G101)/('K1 Kostnader'!$F$13+'K1 Kostnader'!$G$13)),12*'K1 Kostnader'!$F101/'K1 Kostnader'!$F$13))),(IF('FS1 Kostnader '!$F$13=12,'FS1 Kostnader '!$F101,IF('FS1 Kostnader '!$F$13&lt;12,12*(('FS1 Kostnader '!$F101+'FS1 Kostnader '!$G101)/('FS1 Kostnader '!$F$13+'FS1 Kostnader '!$G$13)),12*'FS1 Kostnader '!$F101/'FS1 Kostnader '!$F$13))))</f>
        <v>0</v>
      </c>
      <c r="V89" s="1397" t="s">
        <v>230</v>
      </c>
    </row>
    <row r="90" spans="2:22" x14ac:dyDescent="0.2">
      <c r="B90" t="s">
        <v>829</v>
      </c>
      <c r="C90" s="1512" t="s">
        <v>812</v>
      </c>
      <c r="D90" s="1509">
        <f t="shared" si="37"/>
        <v>25.5</v>
      </c>
      <c r="E90" s="298">
        <f>'2 AT Palkat, alv'!$U90/12*(1+$D90/100)</f>
        <v>0</v>
      </c>
      <c r="F90" s="298">
        <f>'2 AT Palkat, alv'!$U90/12*(1+$D90/100)</f>
        <v>0</v>
      </c>
      <c r="G90" s="298">
        <f>'2 AT Palkat, alv'!$U90/12*(1+$D90/100)</f>
        <v>0</v>
      </c>
      <c r="H90" s="298">
        <f>'2 AT Palkat, alv'!$U90/12*(1+$D90/100)</f>
        <v>0</v>
      </c>
      <c r="I90" s="298">
        <f>'2 AT Palkat, alv'!$U90/12*(1+$D90/100)</f>
        <v>0</v>
      </c>
      <c r="J90" s="298">
        <f>'2 AT Palkat, alv'!$U90/12*(1+$D90/100)</f>
        <v>0</v>
      </c>
      <c r="K90" s="298">
        <f>'2 AT Palkat, alv'!$U90/12*(1+$D90/100)</f>
        <v>0</v>
      </c>
      <c r="L90" s="298">
        <f>'2 AT Palkat, alv'!$U90/12*(1+$D90/100)</f>
        <v>0</v>
      </c>
      <c r="M90" s="298">
        <f>'2 AT Palkat, alv'!$U90/12*(1+$D90/100)</f>
        <v>0</v>
      </c>
      <c r="N90" s="298">
        <f>'2 AT Palkat, alv'!$U90/12*(1+$D90/100)</f>
        <v>0</v>
      </c>
      <c r="O90" s="298">
        <f>'2 AT Palkat, alv'!$U90/12*(1+$D90/100)</f>
        <v>0</v>
      </c>
      <c r="P90" s="298">
        <f>'2 AT Palkat, alv'!$U90/12*(1+$D90/100)</f>
        <v>0</v>
      </c>
      <c r="Q90" s="1396">
        <f t="shared" si="38"/>
        <v>0</v>
      </c>
      <c r="S90" s="1510"/>
      <c r="T90" s="283">
        <f>U90*(1+'2 AT Palkat, alv'!D90/100)</f>
        <v>0</v>
      </c>
      <c r="U90" s="277">
        <f>IF('K1 Kostnader'!$C$9&gt;0,(IF('K1 Kostnader'!$F$13=12,'K1 Kostnader'!$F102,IF('K1 Kostnader'!$F$13&lt;12,12*(('K1 Kostnader'!$F102+'K1 Kostnader'!$G102)/('K1 Kostnader'!$F$13+'K1 Kostnader'!$G$13)),12*'K1 Kostnader'!$F102/'K1 Kostnader'!$F$13))),(IF('FS1 Kostnader '!$F$13=12,'FS1 Kostnader '!$F102,IF('FS1 Kostnader '!$F$13&lt;12,12*(('FS1 Kostnader '!$F102+'FS1 Kostnader '!$G102)/('FS1 Kostnader '!$F$13+'FS1 Kostnader '!$G$13)),12*'FS1 Kostnader '!$F102/'FS1 Kostnader '!$F$13))))</f>
        <v>0</v>
      </c>
      <c r="V90" s="1397" t="s">
        <v>230</v>
      </c>
    </row>
    <row r="91" spans="2:22" x14ac:dyDescent="0.2">
      <c r="B91" t="s">
        <v>829</v>
      </c>
      <c r="C91" s="1512" t="s">
        <v>813</v>
      </c>
      <c r="D91" s="1509">
        <f t="shared" si="37"/>
        <v>25.5</v>
      </c>
      <c r="E91" s="298">
        <f>'2 AT Palkat, alv'!$U91/12*(1+$D91/100)</f>
        <v>0</v>
      </c>
      <c r="F91" s="298">
        <f>'2 AT Palkat, alv'!$U91/12*(1+$D91/100)</f>
        <v>0</v>
      </c>
      <c r="G91" s="298">
        <f>'2 AT Palkat, alv'!$U91/12*(1+$D91/100)</f>
        <v>0</v>
      </c>
      <c r="H91" s="298">
        <f>'2 AT Palkat, alv'!$U91/12*(1+$D91/100)</f>
        <v>0</v>
      </c>
      <c r="I91" s="298">
        <f>'2 AT Palkat, alv'!$U91/12*(1+$D91/100)</f>
        <v>0</v>
      </c>
      <c r="J91" s="298">
        <f>'2 AT Palkat, alv'!$U91/12*(1+$D91/100)</f>
        <v>0</v>
      </c>
      <c r="K91" s="298">
        <f>'2 AT Palkat, alv'!$U91/12*(1+$D91/100)</f>
        <v>0</v>
      </c>
      <c r="L91" s="298">
        <f>'2 AT Palkat, alv'!$U91/12*(1+$D91/100)</f>
        <v>0</v>
      </c>
      <c r="M91" s="298">
        <f>'2 AT Palkat, alv'!$U91/12*(1+$D91/100)</f>
        <v>0</v>
      </c>
      <c r="N91" s="298">
        <f>'2 AT Palkat, alv'!$U91/12*(1+$D91/100)</f>
        <v>0</v>
      </c>
      <c r="O91" s="298">
        <f>'2 AT Palkat, alv'!$U91/12*(1+$D91/100)</f>
        <v>0</v>
      </c>
      <c r="P91" s="298">
        <f>'2 AT Palkat, alv'!$U91/12*(1+$D91/100)</f>
        <v>0</v>
      </c>
      <c r="Q91" s="1396">
        <f t="shared" si="38"/>
        <v>0</v>
      </c>
      <c r="S91" s="130"/>
      <c r="T91" s="283">
        <f>U91*(1+'2 AT Palkat, alv'!D91/100)</f>
        <v>0</v>
      </c>
      <c r="U91" s="277">
        <f>IF('K1 Kostnader'!$C$9&gt;0,(IF('K1 Kostnader'!$F$13=12,'K1 Kostnader'!$F97,IF('K1 Kostnader'!$F$13&lt;12,12*(('K1 Kostnader'!$F97+'K1 Kostnader'!$G97)/('K1 Kostnader'!$F$13+'K1 Kostnader'!$G$13)),12*'K1 Kostnader'!$F97/'K1 Kostnader'!$F$13))),(IF('FS1 Kostnader '!$F$13=12,'FS1 Kostnader '!$F97,IF('FS1 Kostnader '!$F$13&lt;12,12*(('FS1 Kostnader '!$F97+'FS1 Kostnader '!$G97)/('FS1 Kostnader '!$F$13+'FS1 Kostnader '!$G$13)),12*'FS1 Kostnader '!$F97/'FS1 Kostnader '!$F$13))))</f>
        <v>0</v>
      </c>
      <c r="V91" s="1397" t="s">
        <v>231</v>
      </c>
    </row>
    <row r="92" spans="2:22" x14ac:dyDescent="0.2">
      <c r="B92" t="s">
        <v>829</v>
      </c>
      <c r="C92" s="1580" t="s">
        <v>814</v>
      </c>
      <c r="D92" s="1509">
        <f t="shared" si="37"/>
        <v>25.5</v>
      </c>
      <c r="E92" s="298">
        <f>'2 AT Palkat, alv'!$U92/12*(1+$D92/100)</f>
        <v>0</v>
      </c>
      <c r="F92" s="298">
        <f>'2 AT Palkat, alv'!$U92/12*(1+$D92/100)</f>
        <v>0</v>
      </c>
      <c r="G92" s="298">
        <f>'2 AT Palkat, alv'!$U92/12*(1+$D92/100)</f>
        <v>0</v>
      </c>
      <c r="H92" s="298">
        <f>'2 AT Palkat, alv'!$U92/12*(1+$D92/100)</f>
        <v>0</v>
      </c>
      <c r="I92" s="298">
        <f>'2 AT Palkat, alv'!$U92/12*(1+$D92/100)</f>
        <v>0</v>
      </c>
      <c r="J92" s="298">
        <f>'2 AT Palkat, alv'!$U92/12*(1+$D92/100)</f>
        <v>0</v>
      </c>
      <c r="K92" s="298">
        <f>'2 AT Palkat, alv'!$U92/12*(1+$D92/100)</f>
        <v>0</v>
      </c>
      <c r="L92" s="298">
        <f>'2 AT Palkat, alv'!$U92/12*(1+$D92/100)</f>
        <v>0</v>
      </c>
      <c r="M92" s="298">
        <f>'2 AT Palkat, alv'!$U92/12*(1+$D92/100)</f>
        <v>0</v>
      </c>
      <c r="N92" s="298">
        <f>'2 AT Palkat, alv'!$U92/12*(1+$D92/100)</f>
        <v>0</v>
      </c>
      <c r="O92" s="298">
        <f>'2 AT Palkat, alv'!$U92/12*(1+$D92/100)</f>
        <v>0</v>
      </c>
      <c r="P92" s="298">
        <f>'2 AT Palkat, alv'!$U92/12*(1+$D92/100)</f>
        <v>0</v>
      </c>
      <c r="Q92" s="1396">
        <f t="shared" si="38"/>
        <v>0</v>
      </c>
      <c r="S92" s="130"/>
      <c r="T92" s="283">
        <f>U92*(1+'2 AT Palkat, alv'!D92/100)</f>
        <v>0</v>
      </c>
      <c r="U92" s="277">
        <f>IF('K1 Kostnader'!$C$9&gt;0,(IF('K1 Kostnader'!$F$13=12,'K1 Kostnader'!$F98,IF('K1 Kostnader'!$F$13&lt;12,12*(('K1 Kostnader'!$F98+'K1 Kostnader'!$G98)/('K1 Kostnader'!$F$13+'K1 Kostnader'!$G$13)),12*'K1 Kostnader'!$F98/'K1 Kostnader'!$F$13))),(IF('FS1 Kostnader '!$F$13=12,'FS1 Kostnader '!$F98,IF('FS1 Kostnader '!$F$13&lt;12,12*(('FS1 Kostnader '!$F98+'FS1 Kostnader '!$G98)/('FS1 Kostnader '!$F$13+'FS1 Kostnader '!$G$13)),12*'FS1 Kostnader '!$F98/'FS1 Kostnader '!$F$13))))</f>
        <v>0</v>
      </c>
      <c r="V92" s="1397" t="s">
        <v>231</v>
      </c>
    </row>
    <row r="93" spans="2:22" x14ac:dyDescent="0.2">
      <c r="B93" t="s">
        <v>829</v>
      </c>
      <c r="C93" s="1581" t="s">
        <v>769</v>
      </c>
      <c r="D93" s="1509">
        <f t="shared" si="37"/>
        <v>25.5</v>
      </c>
      <c r="E93" s="298">
        <f>'2 AT Palkat, alv'!$U93/12*(1+$D93/100)</f>
        <v>0</v>
      </c>
      <c r="F93" s="298">
        <f>'2 AT Palkat, alv'!$U93/12*(1+$D93/100)</f>
        <v>0</v>
      </c>
      <c r="G93" s="298">
        <f>'2 AT Palkat, alv'!$U93/12*(1+$D93/100)</f>
        <v>0</v>
      </c>
      <c r="H93" s="298">
        <f>'2 AT Palkat, alv'!$U93/12*(1+$D93/100)</f>
        <v>0</v>
      </c>
      <c r="I93" s="298">
        <f>'2 AT Palkat, alv'!$U93/12*(1+$D93/100)</f>
        <v>0</v>
      </c>
      <c r="J93" s="298">
        <f>'2 AT Palkat, alv'!$U93/12*(1+$D93/100)</f>
        <v>0</v>
      </c>
      <c r="K93" s="298">
        <f>'2 AT Palkat, alv'!$U93/12*(1+$D93/100)</f>
        <v>0</v>
      </c>
      <c r="L93" s="298">
        <f>'2 AT Palkat, alv'!$U93/12*(1+$D93/100)</f>
        <v>0</v>
      </c>
      <c r="M93" s="298">
        <f>'2 AT Palkat, alv'!$U93/12*(1+$D93/100)</f>
        <v>0</v>
      </c>
      <c r="N93" s="298">
        <f>'2 AT Palkat, alv'!$U93/12*(1+$D93/100)</f>
        <v>0</v>
      </c>
      <c r="O93" s="298">
        <f>'2 AT Palkat, alv'!$U93/12*(1+$D93/100)</f>
        <v>0</v>
      </c>
      <c r="P93" s="298">
        <f>'2 AT Palkat, alv'!$U93/12*(1+$D93/100)</f>
        <v>0</v>
      </c>
      <c r="Q93" s="1396">
        <f t="shared" ref="Q93" si="39">SUM(E93:P93)</f>
        <v>0</v>
      </c>
      <c r="T93" s="283">
        <f>U93*(1+'2 AT Palkat, alv'!D93/100)</f>
        <v>0</v>
      </c>
      <c r="U93" s="277">
        <f>IF('K1 Kostnader'!$C$9&gt;0,(IF('K1 Kostnader'!$F$13=12,'K1 Kostnader'!$F120,IF('K1 Kostnader'!$F$13&lt;12,12*(('K1 Kostnader'!$F120+'K1 Kostnader'!$G120)/('K1 Kostnader'!$F$13+'K1 Kostnader'!$G$13)),12*'K1 Kostnader'!$F120/'K1 Kostnader'!$F$13))),(IF('FS1 Kostnader '!$F$13=12,'FS1 Kostnader '!$F120,IF('FS1 Kostnader '!$F$13&lt;12,12*(('FS1 Kostnader '!$F120+'FS1 Kostnader '!$G120)/('FS1 Kostnader '!$F$13+'FS1 Kostnader '!$G$13)),12*'FS1 Kostnader '!$F120/'FS1 Kostnader '!$F$13))))</f>
        <v>0</v>
      </c>
    </row>
    <row r="94" spans="2:22" x14ac:dyDescent="0.2">
      <c r="C94" s="1513"/>
      <c r="D94" s="1514"/>
      <c r="E94" s="1530"/>
      <c r="F94" s="1530"/>
      <c r="G94" s="1530"/>
      <c r="H94" s="1530"/>
      <c r="I94" s="1530"/>
      <c r="J94" s="1530"/>
      <c r="K94" s="1530"/>
      <c r="L94" s="1530"/>
      <c r="M94" s="1530"/>
      <c r="N94" s="1530"/>
      <c r="O94" s="1530"/>
      <c r="P94" s="1530"/>
      <c r="Q94" s="1515"/>
      <c r="T94" s="511"/>
      <c r="U94" s="64"/>
      <c r="V94" s="625"/>
    </row>
    <row r="95" spans="2:22" x14ac:dyDescent="0.2">
      <c r="C95" s="1516" t="s">
        <v>845</v>
      </c>
      <c r="D95" s="1517">
        <v>10</v>
      </c>
      <c r="E95" s="1531">
        <f t="shared" ref="E95:P95" si="40">$T97/12</f>
        <v>0</v>
      </c>
      <c r="F95" s="1531">
        <f t="shared" si="40"/>
        <v>0</v>
      </c>
      <c r="G95" s="1531">
        <f t="shared" si="40"/>
        <v>0</v>
      </c>
      <c r="H95" s="1531">
        <f t="shared" si="40"/>
        <v>0</v>
      </c>
      <c r="I95" s="1531">
        <f t="shared" si="40"/>
        <v>0</v>
      </c>
      <c r="J95" s="1531">
        <f t="shared" si="40"/>
        <v>0</v>
      </c>
      <c r="K95" s="1531">
        <f t="shared" si="40"/>
        <v>0</v>
      </c>
      <c r="L95" s="1531">
        <f t="shared" si="40"/>
        <v>0</v>
      </c>
      <c r="M95" s="1531">
        <f t="shared" si="40"/>
        <v>0</v>
      </c>
      <c r="N95" s="1531">
        <f t="shared" si="40"/>
        <v>0</v>
      </c>
      <c r="O95" s="1531">
        <f t="shared" si="40"/>
        <v>0</v>
      </c>
      <c r="P95" s="1531">
        <f t="shared" si="40"/>
        <v>0</v>
      </c>
      <c r="Q95" s="1532">
        <f>SUM(E95:P95)</f>
        <v>0</v>
      </c>
    </row>
    <row r="96" spans="2:22" x14ac:dyDescent="0.2">
      <c r="C96" s="211" t="s">
        <v>98</v>
      </c>
      <c r="D96" s="1503"/>
      <c r="E96" s="301">
        <f>E95-E95/(1+$D95/100)</f>
        <v>0</v>
      </c>
      <c r="F96" s="301">
        <f t="shared" ref="F96:P96" si="41">F95-F95/(1+$D95/100)</f>
        <v>0</v>
      </c>
      <c r="G96" s="301">
        <f t="shared" si="41"/>
        <v>0</v>
      </c>
      <c r="H96" s="301">
        <f t="shared" si="41"/>
        <v>0</v>
      </c>
      <c r="I96" s="301">
        <f t="shared" si="41"/>
        <v>0</v>
      </c>
      <c r="J96" s="301">
        <f t="shared" si="41"/>
        <v>0</v>
      </c>
      <c r="K96" s="301">
        <f t="shared" si="41"/>
        <v>0</v>
      </c>
      <c r="L96" s="301">
        <f t="shared" si="41"/>
        <v>0</v>
      </c>
      <c r="M96" s="301">
        <f t="shared" si="41"/>
        <v>0</v>
      </c>
      <c r="N96" s="301">
        <f t="shared" si="41"/>
        <v>0</v>
      </c>
      <c r="O96" s="301">
        <f t="shared" si="41"/>
        <v>0</v>
      </c>
      <c r="P96" s="301">
        <f t="shared" si="41"/>
        <v>0</v>
      </c>
      <c r="Q96" s="300">
        <f>SUM(E96:P96)</f>
        <v>0</v>
      </c>
      <c r="T96" s="14" t="s">
        <v>782</v>
      </c>
      <c r="U96" s="14" t="s">
        <v>815</v>
      </c>
    </row>
    <row r="97" spans="2:22" x14ac:dyDescent="0.2">
      <c r="C97" s="1518" t="s">
        <v>816</v>
      </c>
      <c r="D97" s="1519">
        <v>10</v>
      </c>
      <c r="E97" s="1395"/>
      <c r="F97" s="1395">
        <f>T97</f>
        <v>0</v>
      </c>
      <c r="G97" s="1395"/>
      <c r="H97" s="1395"/>
      <c r="I97" s="1395"/>
      <c r="J97" s="1395"/>
      <c r="K97" s="1395"/>
      <c r="L97" s="1395"/>
      <c r="M97" s="1395"/>
      <c r="N97" s="1395"/>
      <c r="O97" s="1395"/>
      <c r="P97" s="1395"/>
      <c r="Q97" s="1396">
        <f>SUM(E97:P97)</f>
        <v>0</v>
      </c>
      <c r="R97" s="274"/>
      <c r="T97" s="1511">
        <f>U97*(1+'[2]2 AT Palkat, alv'!D95/100)</f>
        <v>0</v>
      </c>
      <c r="U97" s="1507">
        <f>IF('K1 Kostnader'!$C$9&gt;0,(IF('K1 Kostnader'!$F$13=12,'K1 Kostnader'!$F105,IF('K1 Kostnader'!$F$13&lt;12,12*(('K1 Kostnader'!$F105+'K1 Kostnader'!$G105)/('K1 Kostnader'!$F$13+'K1 Kostnader'!$G$13)),12*'K1 Kostnader'!$F105/'K1 Kostnader'!$F$13))),(IF('FS1 Kostnader '!$F$13=12,'FS1 Kostnader '!$F105,IF('FS1 Kostnader '!$F$13&lt;12,12*(('FS1 Kostnader '!$F105+'FS1 Kostnader '!$G105)/('FS1 Kostnader '!$F$13+'FS1 Kostnader '!$G$13)),12*'FS1 Kostnader '!$F105/'FS1 Kostnader '!$F$13))))</f>
        <v>0</v>
      </c>
      <c r="V97" s="1520" t="s">
        <v>232</v>
      </c>
    </row>
    <row r="98" spans="2:22" x14ac:dyDescent="0.2">
      <c r="D98" s="400"/>
    </row>
    <row r="99" spans="2:22" x14ac:dyDescent="0.2">
      <c r="C99" s="1516" t="s">
        <v>846</v>
      </c>
      <c r="D99" s="1517">
        <v>13.5</v>
      </c>
      <c r="E99" s="1531">
        <f t="shared" ref="E99:P99" si="42">$T101/12</f>
        <v>0</v>
      </c>
      <c r="F99" s="1531">
        <f t="shared" si="42"/>
        <v>0</v>
      </c>
      <c r="G99" s="1531">
        <f t="shared" si="42"/>
        <v>0</v>
      </c>
      <c r="H99" s="1531">
        <f t="shared" si="42"/>
        <v>0</v>
      </c>
      <c r="I99" s="1531">
        <f t="shared" si="42"/>
        <v>0</v>
      </c>
      <c r="J99" s="1531">
        <f t="shared" si="42"/>
        <v>0</v>
      </c>
      <c r="K99" s="1531">
        <f t="shared" si="42"/>
        <v>0</v>
      </c>
      <c r="L99" s="1531">
        <f t="shared" si="42"/>
        <v>0</v>
      </c>
      <c r="M99" s="1531">
        <f t="shared" si="42"/>
        <v>0</v>
      </c>
      <c r="N99" s="1531">
        <f t="shared" si="42"/>
        <v>0</v>
      </c>
      <c r="O99" s="1531">
        <f t="shared" si="42"/>
        <v>0</v>
      </c>
      <c r="P99" s="1531">
        <f t="shared" si="42"/>
        <v>0</v>
      </c>
      <c r="Q99" s="1532">
        <f>SUM(E99:P99)</f>
        <v>0</v>
      </c>
    </row>
    <row r="100" spans="2:22" x14ac:dyDescent="0.2">
      <c r="C100" s="211" t="s">
        <v>98</v>
      </c>
      <c r="D100" s="1503"/>
      <c r="E100" s="301">
        <f t="shared" ref="E100:P100" si="43">E99-E99/(1+$D99/100)</f>
        <v>0</v>
      </c>
      <c r="F100" s="301">
        <f t="shared" si="43"/>
        <v>0</v>
      </c>
      <c r="G100" s="301">
        <f t="shared" si="43"/>
        <v>0</v>
      </c>
      <c r="H100" s="301">
        <f t="shared" si="43"/>
        <v>0</v>
      </c>
      <c r="I100" s="301">
        <f t="shared" si="43"/>
        <v>0</v>
      </c>
      <c r="J100" s="301">
        <f t="shared" si="43"/>
        <v>0</v>
      </c>
      <c r="K100" s="301">
        <f t="shared" si="43"/>
        <v>0</v>
      </c>
      <c r="L100" s="301">
        <f t="shared" si="43"/>
        <v>0</v>
      </c>
      <c r="M100" s="301">
        <f t="shared" si="43"/>
        <v>0</v>
      </c>
      <c r="N100" s="301">
        <f t="shared" si="43"/>
        <v>0</v>
      </c>
      <c r="O100" s="301">
        <f t="shared" si="43"/>
        <v>0</v>
      </c>
      <c r="P100" s="301">
        <f t="shared" si="43"/>
        <v>0</v>
      </c>
      <c r="Q100" s="300">
        <f>SUM(E100:P100)</f>
        <v>0</v>
      </c>
      <c r="T100" s="14" t="s">
        <v>782</v>
      </c>
      <c r="U100" s="14" t="s">
        <v>815</v>
      </c>
    </row>
    <row r="101" spans="2:22" x14ac:dyDescent="0.2">
      <c r="B101" t="s">
        <v>829</v>
      </c>
      <c r="C101" s="1521" t="s">
        <v>817</v>
      </c>
      <c r="D101" s="1509">
        <v>13.5</v>
      </c>
      <c r="E101" s="1395">
        <f>'2 AT Palkat, alv'!$U101/12*(1+$D101/100)</f>
        <v>0</v>
      </c>
      <c r="F101" s="1395">
        <f>'2 AT Palkat, alv'!$U101/12*(1+$D101/100)</f>
        <v>0</v>
      </c>
      <c r="G101" s="1395">
        <f>'2 AT Palkat, alv'!$U101/12*(1+$D101/100)</f>
        <v>0</v>
      </c>
      <c r="H101" s="1395">
        <f>'2 AT Palkat, alv'!$U101/12*(1+$D101/100)</f>
        <v>0</v>
      </c>
      <c r="I101" s="1395">
        <f>'2 AT Palkat, alv'!$U101/12*(1+$D101/100)</f>
        <v>0</v>
      </c>
      <c r="J101" s="1395">
        <f>'2 AT Palkat, alv'!$U101/12*(1+$D101/100)</f>
        <v>0</v>
      </c>
      <c r="K101" s="1395">
        <f>'2 AT Palkat, alv'!$U101/12*(1+$D101/100)</f>
        <v>0</v>
      </c>
      <c r="L101" s="1395">
        <f>'2 AT Palkat, alv'!$U101/12*(1+$D101/100)</f>
        <v>0</v>
      </c>
      <c r="M101" s="1395">
        <f>'2 AT Palkat, alv'!$U101/12*(1+$D101/100)</f>
        <v>0</v>
      </c>
      <c r="N101" s="1395">
        <f>'2 AT Palkat, alv'!$U101/12*(1+$D101/100)</f>
        <v>0</v>
      </c>
      <c r="O101" s="1395">
        <f>'2 AT Palkat, alv'!$U101/12*(1+$D101/100)</f>
        <v>0</v>
      </c>
      <c r="P101" s="1395">
        <f>'2 AT Palkat, alv'!$U101/12*(1+$D101/100)</f>
        <v>0</v>
      </c>
      <c r="Q101" s="1396">
        <f t="shared" ref="Q101" si="44">SUM(E101:P101)</f>
        <v>0</v>
      </c>
      <c r="T101" s="1511">
        <f>U101*(1+'[2]2 AT Palkat, alv'!D99/100)</f>
        <v>0</v>
      </c>
      <c r="U101" s="1507">
        <f>IF('K1 Kostnader'!$C$9&gt;0,(IF('K1 Kostnader'!$F$13=12,'K1 Kostnader'!$F106,IF('K1 Kostnader'!$F$13&lt;12,12*(('K1 Kostnader'!$F106+'K1 Kostnader'!$G106)/('K1 Kostnader'!$F$13+'K1 Kostnader'!$G$13)),12*'K1 Kostnader'!$F106/'K1 Kostnader'!$F$13))),(IF('FS1 Kostnader '!$F$13=12,'FS1 Kostnader '!$F106,IF('FS1 Kostnader '!$F$13&lt;12,12*(('FS1 Kostnader '!$F106+'FS1 Kostnader '!$G106)/('FS1 Kostnader '!$F$13+'FS1 Kostnader '!$G$13)),12*'FS1 Kostnader '!$F106/'FS1 Kostnader '!$F$13))))</f>
        <v>0</v>
      </c>
      <c r="V101" s="1520" t="s">
        <v>232</v>
      </c>
    </row>
    <row r="102" spans="2:22" x14ac:dyDescent="0.2">
      <c r="C102" s="1542"/>
      <c r="D102" s="1545"/>
      <c r="E102" s="1546"/>
      <c r="F102" s="1546"/>
      <c r="G102" s="1546"/>
      <c r="H102" s="1546"/>
      <c r="I102" s="1546"/>
      <c r="J102" s="1546"/>
      <c r="K102" s="1546"/>
      <c r="L102" s="1546"/>
      <c r="M102" s="1546"/>
      <c r="N102" s="1546"/>
      <c r="O102" s="1546"/>
      <c r="P102" s="1546"/>
      <c r="Q102" s="1547"/>
      <c r="T102" s="511"/>
      <c r="U102" s="64"/>
      <c r="V102" s="625"/>
    </row>
    <row r="103" spans="2:22" ht="21.6" customHeight="1" x14ac:dyDescent="0.2">
      <c r="C103" s="1543" t="s">
        <v>135</v>
      </c>
      <c r="D103" s="392"/>
      <c r="E103" s="1544">
        <f>SUM(E104:E114)</f>
        <v>0</v>
      </c>
      <c r="F103" s="1544">
        <f t="shared" ref="F103:Q103" si="45">SUM(F104:F114)</f>
        <v>0</v>
      </c>
      <c r="G103" s="1544">
        <f t="shared" si="45"/>
        <v>0</v>
      </c>
      <c r="H103" s="1544">
        <f t="shared" si="45"/>
        <v>0</v>
      </c>
      <c r="I103" s="1544">
        <f t="shared" si="45"/>
        <v>0</v>
      </c>
      <c r="J103" s="1544">
        <f t="shared" si="45"/>
        <v>0</v>
      </c>
      <c r="K103" s="1544">
        <f t="shared" si="45"/>
        <v>0</v>
      </c>
      <c r="L103" s="1544">
        <f t="shared" si="45"/>
        <v>0</v>
      </c>
      <c r="M103" s="1544">
        <f t="shared" si="45"/>
        <v>0</v>
      </c>
      <c r="N103" s="1544">
        <f t="shared" si="45"/>
        <v>0</v>
      </c>
      <c r="O103" s="1544">
        <f t="shared" si="45"/>
        <v>0</v>
      </c>
      <c r="P103" s="1544">
        <f t="shared" si="45"/>
        <v>0</v>
      </c>
      <c r="Q103" s="1544">
        <f t="shared" si="45"/>
        <v>0</v>
      </c>
      <c r="R103" s="50" t="s">
        <v>0</v>
      </c>
      <c r="S103" s="50" t="s">
        <v>0</v>
      </c>
      <c r="T103" s="700" t="s">
        <v>0</v>
      </c>
      <c r="U103" s="50">
        <f>SUM(U104:U114)</f>
        <v>0</v>
      </c>
    </row>
    <row r="104" spans="2:22" x14ac:dyDescent="0.2">
      <c r="B104" t="s">
        <v>829</v>
      </c>
      <c r="C104" s="329" t="s">
        <v>827</v>
      </c>
      <c r="D104" s="297"/>
      <c r="E104" s="295"/>
      <c r="F104" s="295">
        <f>U104</f>
        <v>0</v>
      </c>
      <c r="G104" s="295"/>
      <c r="H104" s="295"/>
      <c r="I104" s="295"/>
      <c r="J104" s="295"/>
      <c r="K104" s="295"/>
      <c r="L104" s="295"/>
      <c r="M104" s="295"/>
      <c r="N104" s="295"/>
      <c r="O104" s="295"/>
      <c r="P104" s="295"/>
      <c r="Q104" s="278">
        <f t="shared" ref="Q104:Q109" si="46">SUM(E104:P104)</f>
        <v>0</v>
      </c>
      <c r="R104" s="274"/>
      <c r="S104" s="1"/>
      <c r="T104" s="1534"/>
      <c r="U104" s="1533">
        <f>IF('K1 Kostnader'!$C$9&gt;0,(IF('K1 Kostnader'!$F$13=12,'K1 Kostnader'!$F103,IF('K1 Kostnader'!$F$13&lt;12,12*(('K1 Kostnader'!$F103+'K1 Kostnader'!$G103)/('K1 Kostnader'!$F$13+'K1 Kostnader'!$G$13)),12*'K1 Kostnader'!$F103/'K1 Kostnader'!$F$13))),(IF('FS1 Kostnader '!$F$13=12,'FS1 Kostnader '!$F103,IF('FS1 Kostnader '!$F$13&lt;12,12*(('FS1 Kostnader '!$F103+'FS1 Kostnader '!$G103)/('FS1 Kostnader '!$F$13+'FS1 Kostnader '!$G$13)),12*'FS1 Kostnader '!$F103/'FS1 Kostnader '!$F$13))))</f>
        <v>0</v>
      </c>
      <c r="V104" s="294" t="s">
        <v>232</v>
      </c>
    </row>
    <row r="105" spans="2:22" x14ac:dyDescent="0.2">
      <c r="B105" t="s">
        <v>829</v>
      </c>
      <c r="C105" s="329" t="s">
        <v>828</v>
      </c>
      <c r="D105" s="297"/>
      <c r="E105" s="295"/>
      <c r="F105" s="295">
        <f>U105</f>
        <v>0</v>
      </c>
      <c r="G105" s="295"/>
      <c r="H105" s="295"/>
      <c r="I105" s="295">
        <v>0</v>
      </c>
      <c r="J105" s="295"/>
      <c r="K105" s="295"/>
      <c r="L105" s="295"/>
      <c r="M105" s="295"/>
      <c r="N105" s="295"/>
      <c r="O105" s="295"/>
      <c r="P105" s="295"/>
      <c r="Q105" s="278">
        <f t="shared" si="46"/>
        <v>0</v>
      </c>
      <c r="R105" s="274"/>
      <c r="S105" s="1"/>
      <c r="T105" s="1534"/>
      <c r="U105" s="1533">
        <f>IF('K1 Kostnader'!$C$9&gt;0,(IF('K1 Kostnader'!$F$13=12,'K1 Kostnader'!$F107,IF('K1 Kostnader'!$F$13&lt;12,12*(('K1 Kostnader'!$F107+'K1 Kostnader'!$G107)/('K1 Kostnader'!$F$13+'K1 Kostnader'!$G$13)),12*'K1 Kostnader'!$F107/'K1 Kostnader'!$F$13))),(IF('FS1 Kostnader '!$F$13=12,'FS1 Kostnader '!$F107,IF('FS1 Kostnader '!$F$13&lt;12,12*(('FS1 Kostnader '!$F107+'FS1 Kostnader '!$G107)/('FS1 Kostnader '!$F$13+'FS1 Kostnader '!$G$13)),12*'FS1 Kostnader '!$F107/'FS1 Kostnader '!$F$13))))</f>
        <v>0</v>
      </c>
      <c r="V105" s="294" t="s">
        <v>232</v>
      </c>
    </row>
    <row r="106" spans="2:22" x14ac:dyDescent="0.2">
      <c r="B106" t="s">
        <v>829</v>
      </c>
      <c r="C106" s="329" t="s">
        <v>80</v>
      </c>
      <c r="D106" s="297"/>
      <c r="E106" s="295"/>
      <c r="F106" s="295">
        <f>U106</f>
        <v>0</v>
      </c>
      <c r="G106" s="295"/>
      <c r="H106" s="295"/>
      <c r="I106" s="295"/>
      <c r="J106" s="295"/>
      <c r="K106" s="295"/>
      <c r="L106" s="295"/>
      <c r="M106" s="295"/>
      <c r="N106" s="295"/>
      <c r="O106" s="295"/>
      <c r="P106" s="295"/>
      <c r="Q106" s="278">
        <f t="shared" si="46"/>
        <v>0</v>
      </c>
      <c r="R106" s="274"/>
      <c r="S106" s="1"/>
      <c r="T106" s="1534"/>
      <c r="U106" s="1533">
        <f>IF('K1 Kostnader'!$C$9&gt;0,(IF('K1 Kostnader'!$F$13=12,'K1 Kostnader'!$F108,IF('K1 Kostnader'!$F$13&lt;12,12*(('K1 Kostnader'!$F108+'K1 Kostnader'!$G108)/('K1 Kostnader'!$F$13+'K1 Kostnader'!$G$13)),12*'K1 Kostnader'!$F108/'K1 Kostnader'!$F$13))),(IF('FS1 Kostnader '!$F$13=12,'FS1 Kostnader '!$F108,IF('FS1 Kostnader '!$F$13&lt;12,12*(('FS1 Kostnader '!$F108+'FS1 Kostnader '!$G108)/('FS1 Kostnader '!$F$13+'FS1 Kostnader '!$G$13)),12*'FS1 Kostnader '!$F108/'FS1 Kostnader '!$F$13))))</f>
        <v>0</v>
      </c>
      <c r="V106" s="294" t="s">
        <v>232</v>
      </c>
    </row>
    <row r="107" spans="2:22" x14ac:dyDescent="0.2">
      <c r="B107" t="s">
        <v>829</v>
      </c>
      <c r="C107" s="329" t="s">
        <v>102</v>
      </c>
      <c r="D107" s="297"/>
      <c r="E107" s="295">
        <f t="shared" ref="E107:P108" si="47">$U107/12</f>
        <v>0</v>
      </c>
      <c r="F107" s="295">
        <f t="shared" si="47"/>
        <v>0</v>
      </c>
      <c r="G107" s="295">
        <f t="shared" si="47"/>
        <v>0</v>
      </c>
      <c r="H107" s="295">
        <f t="shared" si="47"/>
        <v>0</v>
      </c>
      <c r="I107" s="295">
        <f t="shared" si="47"/>
        <v>0</v>
      </c>
      <c r="J107" s="295">
        <f t="shared" si="47"/>
        <v>0</v>
      </c>
      <c r="K107" s="295">
        <f t="shared" si="47"/>
        <v>0</v>
      </c>
      <c r="L107" s="295">
        <f t="shared" si="47"/>
        <v>0</v>
      </c>
      <c r="M107" s="295">
        <f t="shared" si="47"/>
        <v>0</v>
      </c>
      <c r="N107" s="295">
        <f t="shared" si="47"/>
        <v>0</v>
      </c>
      <c r="O107" s="295">
        <f t="shared" si="47"/>
        <v>0</v>
      </c>
      <c r="P107" s="295">
        <f t="shared" si="47"/>
        <v>0</v>
      </c>
      <c r="Q107" s="278">
        <f t="shared" si="46"/>
        <v>0</v>
      </c>
      <c r="R107" s="274"/>
      <c r="S107" s="1"/>
      <c r="T107" s="1534"/>
      <c r="U107" s="1533">
        <f>IF('K1 Kostnader'!$C$9&gt;0,(IF('K1 Kostnader'!$F$13=12,'K1 Kostnader'!$F39,IF('K1 Kostnader'!$F$13&lt;12,12*(('K1 Kostnader'!$F39+'K1 Kostnader'!$G39)/('K1 Kostnader'!$F$13+'K1 Kostnader'!$G$13)),12*'K1 Kostnader'!$F39/'K1 Kostnader'!$F$13))),(IF('FS1 Kostnader '!$F$13=12,'FS1 Kostnader '!$F39,IF('FS1 Kostnader '!$F$13&lt;12,12*(('FS1 Kostnader '!$F39+'FS1 Kostnader '!$G39)/('FS1 Kostnader '!$F$13+'FS1 Kostnader '!$G$13)),12*'FS1 Kostnader '!$F39/'FS1 Kostnader '!$F$13))))</f>
        <v>0</v>
      </c>
      <c r="V107" s="294" t="s">
        <v>233</v>
      </c>
    </row>
    <row r="108" spans="2:22" x14ac:dyDescent="0.2">
      <c r="B108" t="s">
        <v>829</v>
      </c>
      <c r="C108" s="601" t="s">
        <v>101</v>
      </c>
      <c r="D108" s="297"/>
      <c r="E108" s="295">
        <f t="shared" si="47"/>
        <v>0</v>
      </c>
      <c r="F108" s="295">
        <f t="shared" si="47"/>
        <v>0</v>
      </c>
      <c r="G108" s="295">
        <f t="shared" si="47"/>
        <v>0</v>
      </c>
      <c r="H108" s="295">
        <f t="shared" si="47"/>
        <v>0</v>
      </c>
      <c r="I108" s="295">
        <f t="shared" si="47"/>
        <v>0</v>
      </c>
      <c r="J108" s="295">
        <f t="shared" si="47"/>
        <v>0</v>
      </c>
      <c r="K108" s="295">
        <f t="shared" si="47"/>
        <v>0</v>
      </c>
      <c r="L108" s="295">
        <f t="shared" si="47"/>
        <v>0</v>
      </c>
      <c r="M108" s="295">
        <f t="shared" si="47"/>
        <v>0</v>
      </c>
      <c r="N108" s="295">
        <f t="shared" si="47"/>
        <v>0</v>
      </c>
      <c r="O108" s="295">
        <f t="shared" si="47"/>
        <v>0</v>
      </c>
      <c r="P108" s="295">
        <f t="shared" si="47"/>
        <v>0</v>
      </c>
      <c r="Q108" s="278">
        <f t="shared" si="46"/>
        <v>0</v>
      </c>
      <c r="R108" s="274"/>
      <c r="S108" s="1"/>
      <c r="T108" s="1534"/>
      <c r="U108" s="1533">
        <f>IF('K1 Kostnader'!$C$9&gt;0,(IF('K1 Kostnader'!$F$13=12,'K1 Kostnader'!$F42+'K1 Kostnader'!F43+'K1 Kostnader'!F44+'K1 Kostnader'!F46,IF('K1 Kostnader'!$F$13&lt;12,12*(('K1 Kostnader'!$F42+'K1 Kostnader'!$G42+'K1 Kostnader'!F43+'K1 Kostnader'!G43+'K1 Kostnader'!F44+'K1 Kostnader'!G44+'K1 Kostnader'!F46+'K1 Kostnader'!G46)/('K1 Kostnader'!$F$13+'K1 Kostnader'!$G$13)),12*('K1 Kostnader'!$F42+'K1 Kostnader'!F43+'K1 Kostnader'!F44+'K1 Kostnader'!F46)/'K1 Kostnader'!$F$13))),(IF('FS1 Kostnader '!$F$13=12,'FS1 Kostnader '!$F42+'FS1 Kostnader '!F43+'FS1 Kostnader '!F44+'FS1 Kostnader '!F46,IF('FS1 Kostnader '!$F$13&lt;12,12*(('FS1 Kostnader '!$F42+'FS1 Kostnader '!$G42+'FS1 Kostnader '!F43+'FS1 Kostnader '!G43+'FS1 Kostnader '!F44+'FS1 Kostnader '!G44+'FS1 Kostnader '!F46+'FS1 Kostnader '!G46)/('FS1 Kostnader '!$F$13+'FS1 Kostnader '!$G$13)),12*('FS1 Kostnader '!$F42+'FS1 Kostnader '!F43+'FS1 Kostnader '!F44+'FS1 Kostnader '!F46)/'FS1 Kostnader '!$F$13))))</f>
        <v>0</v>
      </c>
      <c r="V108" s="294" t="s">
        <v>526</v>
      </c>
    </row>
    <row r="109" spans="2:22" x14ac:dyDescent="0.2">
      <c r="B109" t="s">
        <v>829</v>
      </c>
      <c r="C109" s="601" t="s">
        <v>134</v>
      </c>
      <c r="D109" s="220"/>
      <c r="E109" s="295">
        <f>$U109/12</f>
        <v>0</v>
      </c>
      <c r="F109" s="295">
        <f t="shared" ref="F109:P111" si="48">$U109/12</f>
        <v>0</v>
      </c>
      <c r="G109" s="295">
        <f t="shared" si="48"/>
        <v>0</v>
      </c>
      <c r="H109" s="295">
        <f t="shared" si="48"/>
        <v>0</v>
      </c>
      <c r="I109" s="295">
        <f t="shared" si="48"/>
        <v>0</v>
      </c>
      <c r="J109" s="295">
        <f t="shared" si="48"/>
        <v>0</v>
      </c>
      <c r="K109" s="295">
        <f t="shared" si="48"/>
        <v>0</v>
      </c>
      <c r="L109" s="295">
        <f t="shared" si="48"/>
        <v>0</v>
      </c>
      <c r="M109" s="295">
        <f t="shared" si="48"/>
        <v>0</v>
      </c>
      <c r="N109" s="295">
        <f t="shared" si="48"/>
        <v>0</v>
      </c>
      <c r="O109" s="295">
        <f t="shared" si="48"/>
        <v>0</v>
      </c>
      <c r="P109" s="295">
        <f t="shared" si="48"/>
        <v>0</v>
      </c>
      <c r="Q109" s="278">
        <f t="shared" si="46"/>
        <v>0</v>
      </c>
      <c r="T109" s="1535"/>
      <c r="U109" s="1533">
        <f>IF('K1 Kostnader'!$C$9&gt;0,(IF('K1 Kostnader'!$F$13=12,'K1 Kostnader'!$F88,IF('K1 Kostnader'!$F$13&lt;12,12*(('K1 Kostnader'!$F88+'K1 Kostnader'!$G88)/('K1 Kostnader'!$F$13+'K1 Kostnader'!$G$13)),12*'K1 Kostnader'!$F88/'K1 Kostnader'!$F$13))),(IF('FS1 Kostnader '!$F$13=12,'FS1 Kostnader '!$F88,IF('FS1 Kostnader '!$F$13&lt;12,12*(('FS1 Kostnader '!$F88+'FS1 Kostnader '!$G88)/('FS1 Kostnader '!$F$13+'FS1 Kostnader '!$G$13)),12*'FS1 Kostnader '!$F88/'FS1 Kostnader '!$F$13))))</f>
        <v>0</v>
      </c>
      <c r="V109" s="294" t="s">
        <v>234</v>
      </c>
    </row>
    <row r="110" spans="2:22" x14ac:dyDescent="0.2">
      <c r="B110" t="s">
        <v>829</v>
      </c>
      <c r="C110" s="1524" t="s">
        <v>818</v>
      </c>
      <c r="D110" s="1523"/>
      <c r="E110" s="1395">
        <f t="shared" ref="E110:P114" si="49">$U110/12</f>
        <v>0</v>
      </c>
      <c r="F110" s="1395">
        <f t="shared" si="48"/>
        <v>0</v>
      </c>
      <c r="G110" s="1395">
        <f t="shared" si="48"/>
        <v>0</v>
      </c>
      <c r="H110" s="1395">
        <f t="shared" si="48"/>
        <v>0</v>
      </c>
      <c r="I110" s="1395">
        <f t="shared" si="48"/>
        <v>0</v>
      </c>
      <c r="J110" s="1395">
        <f t="shared" si="48"/>
        <v>0</v>
      </c>
      <c r="K110" s="1395">
        <f t="shared" si="48"/>
        <v>0</v>
      </c>
      <c r="L110" s="1395">
        <f t="shared" si="48"/>
        <v>0</v>
      </c>
      <c r="M110" s="1395">
        <f t="shared" si="48"/>
        <v>0</v>
      </c>
      <c r="N110" s="1395">
        <f t="shared" si="48"/>
        <v>0</v>
      </c>
      <c r="O110" s="1395">
        <f t="shared" si="48"/>
        <v>0</v>
      </c>
      <c r="P110" s="1395">
        <f t="shared" si="48"/>
        <v>0</v>
      </c>
      <c r="Q110" s="1396">
        <f t="shared" ref="Q110:Q114" si="50">SUM(E110:P110)</f>
        <v>0</v>
      </c>
      <c r="R110" s="274"/>
      <c r="S110" s="286"/>
      <c r="T110" s="1534"/>
      <c r="U110" s="1533">
        <f>IF('K1 Kostnader'!$C$9&gt;0,(IF('K1 Kostnader'!$F$13=12,'K1 Kostnader'!$F66,IF('K1 Kostnader'!$F$13&lt;12,12*(('K1 Kostnader'!$F66+'K1 Kostnader'!$G66)/('K1 Kostnader'!$F$13+'K1 Kostnader'!$G$13)),12*'K1 Kostnader'!$F66/'K1 Kostnader'!$F$13))),(IF('FS1 Kostnader '!$F$13=12,'FS1 Kostnader '!$F66,IF('FS1 Kostnader '!$F$13&lt;12,12*(('FS1 Kostnader '!$F66+'FS1 Kostnader '!$G66)/('FS1 Kostnader '!$F$13+'FS1 Kostnader '!$G$13)),12*'FS1 Kostnader '!$F66/'FS1 Kostnader '!$F$13))))</f>
        <v>0</v>
      </c>
      <c r="V110" s="1520" t="s">
        <v>819</v>
      </c>
    </row>
    <row r="111" spans="2:22" x14ac:dyDescent="0.2">
      <c r="B111" t="s">
        <v>829</v>
      </c>
      <c r="C111" s="1518" t="s">
        <v>820</v>
      </c>
      <c r="D111" s="1525"/>
      <c r="E111" s="1395">
        <f t="shared" si="49"/>
        <v>0</v>
      </c>
      <c r="F111" s="1395">
        <f t="shared" si="48"/>
        <v>0</v>
      </c>
      <c r="G111" s="1395">
        <f t="shared" si="48"/>
        <v>0</v>
      </c>
      <c r="H111" s="1395">
        <f t="shared" si="48"/>
        <v>0</v>
      </c>
      <c r="I111" s="1395">
        <f t="shared" si="48"/>
        <v>0</v>
      </c>
      <c r="J111" s="1395">
        <f t="shared" si="48"/>
        <v>0</v>
      </c>
      <c r="K111" s="1395">
        <f t="shared" si="48"/>
        <v>0</v>
      </c>
      <c r="L111" s="1395">
        <f t="shared" si="48"/>
        <v>0</v>
      </c>
      <c r="M111" s="1395">
        <f t="shared" si="48"/>
        <v>0</v>
      </c>
      <c r="N111" s="1395">
        <f t="shared" si="48"/>
        <v>0</v>
      </c>
      <c r="O111" s="1395">
        <f t="shared" si="48"/>
        <v>0</v>
      </c>
      <c r="P111" s="1395">
        <f t="shared" si="48"/>
        <v>0</v>
      </c>
      <c r="Q111" s="1396">
        <f t="shared" si="50"/>
        <v>0</v>
      </c>
      <c r="T111" s="1534"/>
      <c r="U111" s="1533">
        <f>IF('K1 Kostnader'!$C$9&gt;0,(IF('K1 Kostnader'!$F$13=12,'K1 Kostnader'!$F96,IF('K1 Kostnader'!$F$13&lt;12,12*(('K1 Kostnader'!$F96+'K1 Kostnader'!$G92)/('K1 Kostnader'!$F$13+'K1 Kostnader'!$G$13)),12*'K1 Kostnader'!$F96/'K1 Kostnader'!$F$13))),(IF('FS1 Kostnader '!$F$13=12,'FS1 Kostnader '!$F96,IF('FS1 Kostnader '!$F$13&lt;12,12*(('FS1 Kostnader '!$F96+'FS1 Kostnader '!$G96)/('FS1 Kostnader '!$F$13+'FS1 Kostnader '!$G$13)),12*'FS1 Kostnader '!$F96/'FS1 Kostnader '!$F$13))))</f>
        <v>0</v>
      </c>
      <c r="V111" s="1520" t="s">
        <v>231</v>
      </c>
    </row>
    <row r="112" spans="2:22" x14ac:dyDescent="0.2">
      <c r="B112" t="s">
        <v>829</v>
      </c>
      <c r="C112" s="1518" t="s">
        <v>821</v>
      </c>
      <c r="D112" s="1525"/>
      <c r="E112" s="1395">
        <f t="shared" si="49"/>
        <v>0</v>
      </c>
      <c r="F112" s="1395">
        <f t="shared" si="49"/>
        <v>0</v>
      </c>
      <c r="G112" s="1395">
        <f t="shared" si="49"/>
        <v>0</v>
      </c>
      <c r="H112" s="1395">
        <f t="shared" si="49"/>
        <v>0</v>
      </c>
      <c r="I112" s="1395">
        <f t="shared" si="49"/>
        <v>0</v>
      </c>
      <c r="J112" s="1395">
        <f t="shared" si="49"/>
        <v>0</v>
      </c>
      <c r="K112" s="1395">
        <f t="shared" si="49"/>
        <v>0</v>
      </c>
      <c r="L112" s="1395">
        <f t="shared" si="49"/>
        <v>0</v>
      </c>
      <c r="M112" s="1395">
        <f t="shared" si="49"/>
        <v>0</v>
      </c>
      <c r="N112" s="1395">
        <f t="shared" si="49"/>
        <v>0</v>
      </c>
      <c r="O112" s="1395">
        <f t="shared" si="49"/>
        <v>0</v>
      </c>
      <c r="P112" s="1395">
        <f t="shared" si="49"/>
        <v>0</v>
      </c>
      <c r="Q112" s="1396">
        <f t="shared" si="50"/>
        <v>0</v>
      </c>
      <c r="T112" s="1534"/>
      <c r="U112" s="1533">
        <f>IF('K1 Kostnader'!$C$9&gt;0,(IF('K1 Kostnader'!$F$13=12,'K1 Kostnader'!$F112,IF('K1 Kostnader'!$F$13&lt;12,12*(('K1 Kostnader'!$F112+'K1 Kostnader'!$G112)/('K1 Kostnader'!$F$13+'K1 Kostnader'!$G$13)),12*'K1 Kostnader'!$F112/'K1 Kostnader'!$F$13))),(IF('FS1 Kostnader '!$F$13=12,'FS1 Kostnader '!$F112,IF('FS1 Kostnader '!$F$13&lt;12,12*(('FS1 Kostnader '!$F112+'FS1 Kostnader '!$G112)/('FS1 Kostnader '!$F$13+'FS1 Kostnader '!$G$13)),12*'FS1 Kostnader '!$F112/'FS1 Kostnader '!$F$13))))</f>
        <v>0</v>
      </c>
      <c r="V112" s="1520" t="s">
        <v>822</v>
      </c>
    </row>
    <row r="113" spans="2:22" x14ac:dyDescent="0.2">
      <c r="B113" t="s">
        <v>829</v>
      </c>
      <c r="C113" s="1522" t="s">
        <v>823</v>
      </c>
      <c r="D113" s="1525"/>
      <c r="E113" s="1395">
        <f t="shared" si="49"/>
        <v>0</v>
      </c>
      <c r="F113" s="1395">
        <f t="shared" si="49"/>
        <v>0</v>
      </c>
      <c r="G113" s="1395">
        <f t="shared" si="49"/>
        <v>0</v>
      </c>
      <c r="H113" s="1395">
        <f t="shared" si="49"/>
        <v>0</v>
      </c>
      <c r="I113" s="1395">
        <f t="shared" si="49"/>
        <v>0</v>
      </c>
      <c r="J113" s="1395">
        <f t="shared" si="49"/>
        <v>0</v>
      </c>
      <c r="K113" s="1395">
        <f t="shared" si="49"/>
        <v>0</v>
      </c>
      <c r="L113" s="1395">
        <f t="shared" si="49"/>
        <v>0</v>
      </c>
      <c r="M113" s="1395">
        <f t="shared" si="49"/>
        <v>0</v>
      </c>
      <c r="N113" s="1395">
        <f t="shared" si="49"/>
        <v>0</v>
      </c>
      <c r="O113" s="1395">
        <f t="shared" si="49"/>
        <v>0</v>
      </c>
      <c r="P113" s="1395">
        <f t="shared" si="49"/>
        <v>0</v>
      </c>
      <c r="Q113" s="1396">
        <f t="shared" si="50"/>
        <v>0</v>
      </c>
      <c r="T113" s="1534"/>
      <c r="U113" s="1533">
        <f>IF('K1 Kostnader'!$C$9&gt;0,(IF('K1 Kostnader'!$F$13=12,'K1 Kostnader'!$F113,IF('K1 Kostnader'!$F$13&lt;12,12*(('K1 Kostnader'!$F113+'K1 Kostnader'!$G113)/('K1 Kostnader'!$F$13+'K1 Kostnader'!$G$13)),12*'K1 Kostnader'!$F113/'K1 Kostnader'!$F$13))),(IF('FS1 Kostnader '!$F$13=12,'FS1 Kostnader '!$F113,IF('FS1 Kostnader '!$F$13&lt;12,12*(('FS1 Kostnader '!$F113+'FS1 Kostnader '!$G113)/('FS1 Kostnader '!$F$13+'FS1 Kostnader '!$G$13)),12*'FS1 Kostnader '!$F113/'FS1 Kostnader '!$F$13))))</f>
        <v>0</v>
      </c>
      <c r="V113" s="1520" t="s">
        <v>822</v>
      </c>
    </row>
    <row r="114" spans="2:22" ht="13.5" thickBot="1" x14ac:dyDescent="0.25">
      <c r="B114" t="s">
        <v>829</v>
      </c>
      <c r="C114" s="1526" t="s">
        <v>824</v>
      </c>
      <c r="D114" s="1525"/>
      <c r="E114" s="1395">
        <f t="shared" si="49"/>
        <v>0</v>
      </c>
      <c r="F114" s="1395">
        <f t="shared" si="49"/>
        <v>0</v>
      </c>
      <c r="G114" s="1395">
        <f t="shared" si="49"/>
        <v>0</v>
      </c>
      <c r="H114" s="1395">
        <f t="shared" si="49"/>
        <v>0</v>
      </c>
      <c r="I114" s="1395">
        <f t="shared" si="49"/>
        <v>0</v>
      </c>
      <c r="J114" s="1395">
        <f t="shared" si="49"/>
        <v>0</v>
      </c>
      <c r="K114" s="1395">
        <f t="shared" si="49"/>
        <v>0</v>
      </c>
      <c r="L114" s="1395">
        <f t="shared" si="49"/>
        <v>0</v>
      </c>
      <c r="M114" s="1395">
        <f t="shared" si="49"/>
        <v>0</v>
      </c>
      <c r="N114" s="1395">
        <f t="shared" si="49"/>
        <v>0</v>
      </c>
      <c r="O114" s="1395">
        <f t="shared" si="49"/>
        <v>0</v>
      </c>
      <c r="P114" s="1395">
        <f t="shared" si="49"/>
        <v>0</v>
      </c>
      <c r="Q114" s="1396">
        <f t="shared" si="50"/>
        <v>0</v>
      </c>
      <c r="T114" s="1534"/>
      <c r="U114" s="1533">
        <f>IF('K1 Kostnader'!$C$9&gt;0,(IF('K1 Kostnader'!$F$13=12,'K1 Kostnader'!$F121,IF('K1 Kostnader'!$F$13&lt;12,12*(('K1 Kostnader'!$F121+'K1 Kostnader'!$G121)/('K1 Kostnader'!$F$13+'K1 Kostnader'!$G$13)),12*'K1 Kostnader'!$F121/'K1 Kostnader'!$F$13))),(IF('FS1 Kostnader '!$F$13=12,'FS1 Kostnader '!$F121,IF('FS1 Kostnader '!$F$13&lt;12,12*(('FS1 Kostnader '!$F121+'FS1 Kostnader '!$G121)/('FS1 Kostnader '!$F$13+'FS1 Kostnader '!$G$13)),12*'FS1 Kostnader '!$F121/'FS1 Kostnader '!$F$13))))</f>
        <v>0</v>
      </c>
      <c r="V114" s="1520" t="s">
        <v>525</v>
      </c>
    </row>
    <row r="115" spans="2:22" ht="24.6" customHeight="1" thickBot="1" x14ac:dyDescent="0.25">
      <c r="B115" t="s">
        <v>829</v>
      </c>
      <c r="C115" s="1572" t="s">
        <v>645</v>
      </c>
      <c r="D115" s="1573"/>
      <c r="E115" s="298">
        <f>'2 AT Palkat, alv'!$U115/12*(1+$D115/100)</f>
        <v>0</v>
      </c>
      <c r="F115" s="298">
        <f>'2 AT Palkat, alv'!$U115/12*(1+$D115/100)</f>
        <v>0</v>
      </c>
      <c r="G115" s="298">
        <f>'2 AT Palkat, alv'!$U115/12*(1+$D115/100)</f>
        <v>0</v>
      </c>
      <c r="H115" s="298">
        <f>'2 AT Palkat, alv'!$U115/12*(1+$D115/100)</f>
        <v>0</v>
      </c>
      <c r="I115" s="298">
        <f>'2 AT Palkat, alv'!$U115/12*(1+$D115/100)</f>
        <v>0</v>
      </c>
      <c r="J115" s="298">
        <f>'2 AT Palkat, alv'!$U115/12*(1+$D115/100)</f>
        <v>0</v>
      </c>
      <c r="K115" s="298">
        <f>'2 AT Palkat, alv'!$U115/12*(1+$D115/100)</f>
        <v>0</v>
      </c>
      <c r="L115" s="298">
        <f>'2 AT Palkat, alv'!$U115/12*(1+$D115/100)</f>
        <v>0</v>
      </c>
      <c r="M115" s="298">
        <f>'2 AT Palkat, alv'!$U115/12*(1+$D115/100)</f>
        <v>0</v>
      </c>
      <c r="N115" s="298">
        <f>'2 AT Palkat, alv'!$U115/12*(1+$D115/100)</f>
        <v>0</v>
      </c>
      <c r="O115" s="298">
        <f>'2 AT Palkat, alv'!$U115/12*(1+$D115/100)</f>
        <v>0</v>
      </c>
      <c r="P115" s="298">
        <f>'2 AT Palkat, alv'!$U115/12*(1+$D115/100)</f>
        <v>0</v>
      </c>
      <c r="Q115" s="1396">
        <f>SUM(E115:P115)</f>
        <v>0</v>
      </c>
      <c r="S115" s="130"/>
      <c r="T115" s="1574"/>
      <c r="U115" s="1507">
        <f>IF('K1 Kostnader'!$C$9&gt;0,(IF('K1 Kostnader'!$F$13=12,'K1 Kostnader'!$F119,IF('K1 Kostnader'!$F$13&lt;12,12*(('K1 Kostnader'!$F119+'K1 Kostnader'!$G119)/('K1 Kostnader'!$F$13+'K1 Kostnader'!$G$13)),12*'K1 Kostnader'!$F119/'K1 Kostnader'!$F$13))),(IF('FS1 Kostnader '!$F$13=12,'FS1 Kostnader '!$F119,IF('FS1 Kostnader '!$F$13&lt;12,12*(('FS1 Kostnader '!$F119+'FS1 Kostnader '!$G119)/('FS1 Kostnader '!$F$13+'FS1 Kostnader '!$G$13)),12*'FS1 Kostnader '!$F119/'FS1 Kostnader '!$F$13))))</f>
        <v>0</v>
      </c>
      <c r="V115" s="1397" t="s">
        <v>524</v>
      </c>
    </row>
  </sheetData>
  <sheetProtection algorithmName="SHA-512" hashValue="wFvilw2idoan7O40oHOEZSzf61sbULB9r37algkz64iiAJ4X5pAcaclnXHXMLkxjwAOrmCdBMcyYRRv8D54IRA==" saltValue="W0t3Jvd0jNAlyqX8EfB9hQ==" spinCount="100000" sheet="1" objects="1" scenarios="1" selectLockedCells="1" selectUnlockedCells="1"/>
  <mergeCells count="9">
    <mergeCell ref="E31:F31"/>
    <mergeCell ref="H31:I31"/>
    <mergeCell ref="R30:S30"/>
    <mergeCell ref="T30:U30"/>
    <mergeCell ref="E1:G1"/>
    <mergeCell ref="E15:F15"/>
    <mergeCell ref="H15:I15"/>
    <mergeCell ref="R14:S14"/>
    <mergeCell ref="T14:U14"/>
  </mergeCells>
  <phoneticPr fontId="124" type="noConversion"/>
  <pageMargins left="0.7" right="0.7" top="0.75" bottom="0.75" header="0.3" footer="0.3"/>
  <pageSetup paperSize="9" orientation="portrait" verticalDpi="4"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ul15"/>
  <dimension ref="A2:N25"/>
  <sheetViews>
    <sheetView workbookViewId="0"/>
  </sheetViews>
  <sheetFormatPr defaultRowHeight="12.75" x14ac:dyDescent="0.2"/>
  <cols>
    <col min="1" max="1" width="11.28515625" customWidth="1"/>
    <col min="2" max="2" width="20" customWidth="1"/>
  </cols>
  <sheetData>
    <row r="2" spans="1:14" x14ac:dyDescent="0.2">
      <c r="B2" s="63"/>
      <c r="C2" s="463" t="str">
        <f>Kassabudget!G6</f>
        <v>JAN</v>
      </c>
      <c r="D2" s="463" t="str">
        <f>Kassabudget!H6</f>
        <v>FEB</v>
      </c>
      <c r="E2" s="463" t="str">
        <f>Kassabudget!I6</f>
        <v>MARS</v>
      </c>
      <c r="F2" s="463" t="str">
        <f>Kassabudget!J6</f>
        <v>APR</v>
      </c>
      <c r="G2" s="463" t="str">
        <f>Kassabudget!K6</f>
        <v>MAJ</v>
      </c>
      <c r="H2" s="463" t="str">
        <f>Kassabudget!L6</f>
        <v>JUNI</v>
      </c>
      <c r="I2" s="463" t="str">
        <f>Kassabudget!M6</f>
        <v>JULI</v>
      </c>
      <c r="J2" s="463" t="str">
        <f>Kassabudget!N6</f>
        <v>AUG</v>
      </c>
      <c r="K2" s="463" t="str">
        <f>Kassabudget!O6</f>
        <v>SEP</v>
      </c>
      <c r="L2" s="463" t="str">
        <f>Kassabudget!P6</f>
        <v>OKT</v>
      </c>
      <c r="M2" s="463" t="str">
        <f>Kassabudget!Q6</f>
        <v>NOV</v>
      </c>
      <c r="N2" s="463" t="str">
        <f>Kassabudget!R6</f>
        <v>DEC</v>
      </c>
    </row>
    <row r="3" spans="1:14" x14ac:dyDescent="0.2">
      <c r="B3" s="63" t="s">
        <v>147</v>
      </c>
      <c r="C3" s="464">
        <f>Kassabudget!E12</f>
        <v>14</v>
      </c>
      <c r="D3" s="464">
        <f>C3</f>
        <v>14</v>
      </c>
      <c r="E3" s="464">
        <f t="shared" ref="E3:N3" si="0">D3</f>
        <v>14</v>
      </c>
      <c r="F3" s="464">
        <f t="shared" si="0"/>
        <v>14</v>
      </c>
      <c r="G3" s="464">
        <f t="shared" si="0"/>
        <v>14</v>
      </c>
      <c r="H3" s="464">
        <f t="shared" si="0"/>
        <v>14</v>
      </c>
      <c r="I3" s="464">
        <f t="shared" si="0"/>
        <v>14</v>
      </c>
      <c r="J3" s="464">
        <f t="shared" si="0"/>
        <v>14</v>
      </c>
      <c r="K3" s="464">
        <f t="shared" si="0"/>
        <v>14</v>
      </c>
      <c r="L3" s="464">
        <f t="shared" si="0"/>
        <v>14</v>
      </c>
      <c r="M3" s="464">
        <f t="shared" si="0"/>
        <v>14</v>
      </c>
      <c r="N3" s="464">
        <f t="shared" si="0"/>
        <v>14</v>
      </c>
    </row>
    <row r="4" spans="1:14" x14ac:dyDescent="0.2">
      <c r="A4" s="63" t="s">
        <v>0</v>
      </c>
      <c r="B4" s="63" t="s">
        <v>163</v>
      </c>
      <c r="C4" s="406">
        <f>Kassabudget!G10</f>
        <v>0</v>
      </c>
      <c r="D4" s="406">
        <f>Kassabudget!H10</f>
        <v>0</v>
      </c>
      <c r="E4" s="406">
        <f>Kassabudget!I10</f>
        <v>0</v>
      </c>
      <c r="F4" s="406">
        <f>Kassabudget!J10</f>
        <v>0</v>
      </c>
      <c r="G4" s="406">
        <f>Kassabudget!K10</f>
        <v>0</v>
      </c>
      <c r="H4" s="406">
        <f>Kassabudget!L10</f>
        <v>0</v>
      </c>
      <c r="I4" s="406">
        <f>Kassabudget!M10</f>
        <v>0</v>
      </c>
      <c r="J4" s="406">
        <f>Kassabudget!N10</f>
        <v>0</v>
      </c>
      <c r="K4" s="406">
        <f>Kassabudget!O10</f>
        <v>0</v>
      </c>
      <c r="L4" s="406">
        <f>Kassabudget!P10</f>
        <v>0</v>
      </c>
      <c r="M4" s="406">
        <f>Kassabudget!Q10</f>
        <v>0</v>
      </c>
      <c r="N4" s="406">
        <f>Kassabudget!R10</f>
        <v>0</v>
      </c>
    </row>
    <row r="5" spans="1:14" x14ac:dyDescent="0.2">
      <c r="A5" s="465" t="s">
        <v>148</v>
      </c>
      <c r="B5" s="465" t="s">
        <v>149</v>
      </c>
      <c r="C5" s="466">
        <f>IF(C$3&lt;31,C$4*(30-C3)/30,0)</f>
        <v>0</v>
      </c>
      <c r="D5" s="466">
        <f t="shared" ref="D5:N5" si="1">IF(D$3&lt;31,D$4*(30-D3)/30,0)</f>
        <v>0</v>
      </c>
      <c r="E5" s="466">
        <f t="shared" si="1"/>
        <v>0</v>
      </c>
      <c r="F5" s="466">
        <f t="shared" si="1"/>
        <v>0</v>
      </c>
      <c r="G5" s="466">
        <f t="shared" si="1"/>
        <v>0</v>
      </c>
      <c r="H5" s="466">
        <f t="shared" si="1"/>
        <v>0</v>
      </c>
      <c r="I5" s="466">
        <f t="shared" si="1"/>
        <v>0</v>
      </c>
      <c r="J5" s="466">
        <f t="shared" si="1"/>
        <v>0</v>
      </c>
      <c r="K5" s="466">
        <f t="shared" si="1"/>
        <v>0</v>
      </c>
      <c r="L5" s="466">
        <f t="shared" si="1"/>
        <v>0</v>
      </c>
      <c r="M5" s="466">
        <f t="shared" si="1"/>
        <v>0</v>
      </c>
      <c r="N5" s="466">
        <f t="shared" si="1"/>
        <v>0</v>
      </c>
    </row>
    <row r="6" spans="1:14" x14ac:dyDescent="0.2">
      <c r="A6" s="8" t="s">
        <v>150</v>
      </c>
      <c r="B6" s="8" t="s">
        <v>151</v>
      </c>
      <c r="C6" s="69">
        <f>IF(C3&gt;30,0,C4-C5)</f>
        <v>0</v>
      </c>
      <c r="D6" s="69">
        <f t="shared" ref="D6:N6" si="2">IF(D3&gt;30,0,D4-D5)</f>
        <v>0</v>
      </c>
      <c r="E6" s="69">
        <f t="shared" si="2"/>
        <v>0</v>
      </c>
      <c r="F6" s="69">
        <f t="shared" si="2"/>
        <v>0</v>
      </c>
      <c r="G6" s="69">
        <f t="shared" si="2"/>
        <v>0</v>
      </c>
      <c r="H6" s="69">
        <f t="shared" si="2"/>
        <v>0</v>
      </c>
      <c r="I6" s="69">
        <f t="shared" si="2"/>
        <v>0</v>
      </c>
      <c r="J6" s="69">
        <f t="shared" si="2"/>
        <v>0</v>
      </c>
      <c r="K6" s="69">
        <f t="shared" si="2"/>
        <v>0</v>
      </c>
      <c r="L6" s="69">
        <f t="shared" si="2"/>
        <v>0</v>
      </c>
      <c r="M6" s="69">
        <f t="shared" si="2"/>
        <v>0</v>
      </c>
      <c r="N6" s="69">
        <f t="shared" si="2"/>
        <v>0</v>
      </c>
    </row>
    <row r="7" spans="1:14" x14ac:dyDescent="0.2">
      <c r="A7" s="465" t="s">
        <v>150</v>
      </c>
      <c r="B7" s="465" t="s">
        <v>151</v>
      </c>
      <c r="C7" s="466">
        <f>IF(C$3&lt;31,0,IF(C$3&gt;60,0,C$4*(60-C$3))/30)</f>
        <v>0</v>
      </c>
      <c r="D7" s="466">
        <f t="shared" ref="D7:N7" si="3">IF(D$3&lt;31,0,IF(D$3&gt;60,0,D$4*(60-D$3))/30)</f>
        <v>0</v>
      </c>
      <c r="E7" s="466">
        <f t="shared" si="3"/>
        <v>0</v>
      </c>
      <c r="F7" s="466">
        <f t="shared" si="3"/>
        <v>0</v>
      </c>
      <c r="G7" s="466">
        <f t="shared" si="3"/>
        <v>0</v>
      </c>
      <c r="H7" s="466">
        <f t="shared" si="3"/>
        <v>0</v>
      </c>
      <c r="I7" s="466">
        <f t="shared" si="3"/>
        <v>0</v>
      </c>
      <c r="J7" s="466">
        <f t="shared" si="3"/>
        <v>0</v>
      </c>
      <c r="K7" s="466">
        <f t="shared" si="3"/>
        <v>0</v>
      </c>
      <c r="L7" s="466">
        <f t="shared" si="3"/>
        <v>0</v>
      </c>
      <c r="M7" s="466">
        <f t="shared" si="3"/>
        <v>0</v>
      </c>
      <c r="N7" s="466">
        <f t="shared" si="3"/>
        <v>0</v>
      </c>
    </row>
    <row r="8" spans="1:14" x14ac:dyDescent="0.2">
      <c r="A8" s="8" t="s">
        <v>152</v>
      </c>
      <c r="B8" s="8" t="s">
        <v>153</v>
      </c>
      <c r="C8" s="69">
        <f>IF(C$3&lt;31,0,IF(C$3&gt;60,0,C4-C7))</f>
        <v>0</v>
      </c>
      <c r="D8" s="69">
        <f t="shared" ref="D8:N8" si="4">IF(D$3&lt;31,0,IF(D$3&gt;60,0,D4-D7))</f>
        <v>0</v>
      </c>
      <c r="E8" s="69">
        <f t="shared" si="4"/>
        <v>0</v>
      </c>
      <c r="F8" s="69">
        <f t="shared" si="4"/>
        <v>0</v>
      </c>
      <c r="G8" s="69">
        <f t="shared" si="4"/>
        <v>0</v>
      </c>
      <c r="H8" s="69">
        <f t="shared" si="4"/>
        <v>0</v>
      </c>
      <c r="I8" s="69">
        <f t="shared" si="4"/>
        <v>0</v>
      </c>
      <c r="J8" s="69">
        <f t="shared" si="4"/>
        <v>0</v>
      </c>
      <c r="K8" s="69">
        <f t="shared" si="4"/>
        <v>0</v>
      </c>
      <c r="L8" s="69">
        <f t="shared" si="4"/>
        <v>0</v>
      </c>
      <c r="M8" s="69">
        <f t="shared" si="4"/>
        <v>0</v>
      </c>
      <c r="N8" s="69">
        <f t="shared" si="4"/>
        <v>0</v>
      </c>
    </row>
    <row r="9" spans="1:14" x14ac:dyDescent="0.2">
      <c r="A9" s="465" t="s">
        <v>152</v>
      </c>
      <c r="B9" s="465" t="s">
        <v>153</v>
      </c>
      <c r="C9" s="466">
        <f>IF(C$3&lt;61,0,IF(C$3&gt;90,0,C$4*(90-C$3))/30)</f>
        <v>0</v>
      </c>
      <c r="D9" s="466">
        <f t="shared" ref="D9:N9" si="5">IF(D$3&lt;61,0,IF(D$3&gt;90,0,D$4*(90-D$3))/30)</f>
        <v>0</v>
      </c>
      <c r="E9" s="466">
        <f t="shared" si="5"/>
        <v>0</v>
      </c>
      <c r="F9" s="466">
        <f t="shared" si="5"/>
        <v>0</v>
      </c>
      <c r="G9" s="466">
        <f t="shared" si="5"/>
        <v>0</v>
      </c>
      <c r="H9" s="466">
        <f t="shared" si="5"/>
        <v>0</v>
      </c>
      <c r="I9" s="466">
        <f t="shared" si="5"/>
        <v>0</v>
      </c>
      <c r="J9" s="466">
        <f t="shared" si="5"/>
        <v>0</v>
      </c>
      <c r="K9" s="466">
        <f t="shared" si="5"/>
        <v>0</v>
      </c>
      <c r="L9" s="466">
        <f t="shared" si="5"/>
        <v>0</v>
      </c>
      <c r="M9" s="466">
        <f t="shared" si="5"/>
        <v>0</v>
      </c>
      <c r="N9" s="466">
        <f t="shared" si="5"/>
        <v>0</v>
      </c>
    </row>
    <row r="10" spans="1:14" x14ac:dyDescent="0.2">
      <c r="A10" s="8" t="s">
        <v>154</v>
      </c>
      <c r="B10" s="8" t="s">
        <v>155</v>
      </c>
      <c r="C10" s="69">
        <f>IF(C$3&lt;61,0,IF(C$3&gt;90,0,C4-C9))</f>
        <v>0</v>
      </c>
      <c r="D10" s="69">
        <f t="shared" ref="D10:N10" si="6">IF(D$3&lt;61,0,IF(D$3&gt;90,0,D4-D9))</f>
        <v>0</v>
      </c>
      <c r="E10" s="69">
        <f t="shared" si="6"/>
        <v>0</v>
      </c>
      <c r="F10" s="69">
        <f t="shared" si="6"/>
        <v>0</v>
      </c>
      <c r="G10" s="69">
        <f t="shared" si="6"/>
        <v>0</v>
      </c>
      <c r="H10" s="69">
        <f t="shared" si="6"/>
        <v>0</v>
      </c>
      <c r="I10" s="69">
        <f t="shared" si="6"/>
        <v>0</v>
      </c>
      <c r="J10" s="69">
        <f t="shared" si="6"/>
        <v>0</v>
      </c>
      <c r="K10" s="69">
        <f t="shared" si="6"/>
        <v>0</v>
      </c>
      <c r="L10" s="69">
        <f t="shared" si="6"/>
        <v>0</v>
      </c>
      <c r="M10" s="69">
        <f t="shared" si="6"/>
        <v>0</v>
      </c>
      <c r="N10" s="69">
        <f t="shared" si="6"/>
        <v>0</v>
      </c>
    </row>
    <row r="11" spans="1:14" x14ac:dyDescent="0.2">
      <c r="A11" s="465" t="s">
        <v>154</v>
      </c>
      <c r="B11" s="465" t="s">
        <v>155</v>
      </c>
      <c r="C11" s="466">
        <f>IF(C$3&lt;91,0,IF(C$3&gt;120,0,C$4*(120-C$3))/30)</f>
        <v>0</v>
      </c>
      <c r="D11" s="466">
        <f t="shared" ref="D11:N11" si="7">IF(D$3&lt;91,0,IF(D$3&gt;120,0,D$4*(120-D$3))/30)</f>
        <v>0</v>
      </c>
      <c r="E11" s="466">
        <f t="shared" si="7"/>
        <v>0</v>
      </c>
      <c r="F11" s="466">
        <f t="shared" si="7"/>
        <v>0</v>
      </c>
      <c r="G11" s="466">
        <f t="shared" si="7"/>
        <v>0</v>
      </c>
      <c r="H11" s="466">
        <f t="shared" si="7"/>
        <v>0</v>
      </c>
      <c r="I11" s="466">
        <f t="shared" si="7"/>
        <v>0</v>
      </c>
      <c r="J11" s="466">
        <f t="shared" si="7"/>
        <v>0</v>
      </c>
      <c r="K11" s="466">
        <f t="shared" si="7"/>
        <v>0</v>
      </c>
      <c r="L11" s="466">
        <f t="shared" si="7"/>
        <v>0</v>
      </c>
      <c r="M11" s="466">
        <f t="shared" si="7"/>
        <v>0</v>
      </c>
      <c r="N11" s="466">
        <f t="shared" si="7"/>
        <v>0</v>
      </c>
    </row>
    <row r="12" spans="1:14" x14ac:dyDescent="0.2">
      <c r="A12" s="8" t="s">
        <v>156</v>
      </c>
      <c r="B12" s="8" t="s">
        <v>157</v>
      </c>
      <c r="C12" s="69">
        <f>IF(C$3&lt;91,0,IF(C$3&gt;120,0,C4-C11))</f>
        <v>0</v>
      </c>
      <c r="D12" s="69">
        <f t="shared" ref="D12:N12" si="8">IF(D$3&lt;91,0,IF(D$3&gt;120,0,D4-D11))</f>
        <v>0</v>
      </c>
      <c r="E12" s="69">
        <f t="shared" si="8"/>
        <v>0</v>
      </c>
      <c r="F12" s="69">
        <f t="shared" si="8"/>
        <v>0</v>
      </c>
      <c r="G12" s="69">
        <f t="shared" si="8"/>
        <v>0</v>
      </c>
      <c r="H12" s="69">
        <f t="shared" si="8"/>
        <v>0</v>
      </c>
      <c r="I12" s="69">
        <f t="shared" si="8"/>
        <v>0</v>
      </c>
      <c r="J12" s="69">
        <f t="shared" si="8"/>
        <v>0</v>
      </c>
      <c r="K12" s="69">
        <f t="shared" si="8"/>
        <v>0</v>
      </c>
      <c r="L12" s="69">
        <f t="shared" si="8"/>
        <v>0</v>
      </c>
      <c r="M12" s="69">
        <f t="shared" si="8"/>
        <v>0</v>
      </c>
      <c r="N12" s="69">
        <f t="shared" si="8"/>
        <v>0</v>
      </c>
    </row>
    <row r="13" spans="1:14" x14ac:dyDescent="0.2">
      <c r="A13" s="465" t="s">
        <v>156</v>
      </c>
      <c r="B13" s="465" t="s">
        <v>157</v>
      </c>
      <c r="C13" s="466">
        <f>IF(C$3&lt;121,0,IF(C$3&gt;150,0,C$4*(150-C$3))/30)</f>
        <v>0</v>
      </c>
      <c r="D13" s="466">
        <f t="shared" ref="D13:N13" si="9">IF(D$3&lt;121,0,IF(D$3&gt;150,0,D$4*(150-D$3))/30)</f>
        <v>0</v>
      </c>
      <c r="E13" s="466">
        <f t="shared" si="9"/>
        <v>0</v>
      </c>
      <c r="F13" s="466">
        <f t="shared" si="9"/>
        <v>0</v>
      </c>
      <c r="G13" s="466">
        <f t="shared" si="9"/>
        <v>0</v>
      </c>
      <c r="H13" s="466">
        <f t="shared" si="9"/>
        <v>0</v>
      </c>
      <c r="I13" s="466">
        <f t="shared" si="9"/>
        <v>0</v>
      </c>
      <c r="J13" s="466">
        <f t="shared" si="9"/>
        <v>0</v>
      </c>
      <c r="K13" s="466">
        <f t="shared" si="9"/>
        <v>0</v>
      </c>
      <c r="L13" s="466">
        <f t="shared" si="9"/>
        <v>0</v>
      </c>
      <c r="M13" s="466">
        <f t="shared" si="9"/>
        <v>0</v>
      </c>
      <c r="N13" s="466">
        <f t="shared" si="9"/>
        <v>0</v>
      </c>
    </row>
    <row r="14" spans="1:14" x14ac:dyDescent="0.2">
      <c r="A14" s="8" t="s">
        <v>158</v>
      </c>
      <c r="B14" s="8" t="s">
        <v>159</v>
      </c>
      <c r="C14" s="69">
        <f>IF(C$3&lt;121,0,IF(C$3&gt;150,0,C4-C13))</f>
        <v>0</v>
      </c>
      <c r="D14" s="69">
        <f t="shared" ref="D14:N14" si="10">IF(D$3&lt;121,0,IF(D$3&gt;150,0,D4-D13))</f>
        <v>0</v>
      </c>
      <c r="E14" s="69">
        <f t="shared" si="10"/>
        <v>0</v>
      </c>
      <c r="F14" s="69">
        <f t="shared" si="10"/>
        <v>0</v>
      </c>
      <c r="G14" s="69">
        <f t="shared" si="10"/>
        <v>0</v>
      </c>
      <c r="H14" s="69">
        <f t="shared" si="10"/>
        <v>0</v>
      </c>
      <c r="I14" s="69">
        <f t="shared" si="10"/>
        <v>0</v>
      </c>
      <c r="J14" s="69">
        <f t="shared" si="10"/>
        <v>0</v>
      </c>
      <c r="K14" s="69">
        <f t="shared" si="10"/>
        <v>0</v>
      </c>
      <c r="L14" s="69">
        <f t="shared" si="10"/>
        <v>0</v>
      </c>
      <c r="M14" s="69">
        <f t="shared" si="10"/>
        <v>0</v>
      </c>
      <c r="N14" s="69">
        <f t="shared" si="10"/>
        <v>0</v>
      </c>
    </row>
    <row r="15" spans="1:14" x14ac:dyDescent="0.2">
      <c r="A15" s="465" t="s">
        <v>158</v>
      </c>
      <c r="B15" s="465" t="s">
        <v>159</v>
      </c>
      <c r="C15" s="466">
        <f>IF(C$3&lt;151,0,IF(C$3&gt;180,0,C$4*(180-C$3))/30)</f>
        <v>0</v>
      </c>
      <c r="D15" s="466">
        <f t="shared" ref="D15:N15" si="11">IF(D$3&lt;151,0,IF(D$3&gt;180,0,D$4*(180-D$3))/30)</f>
        <v>0</v>
      </c>
      <c r="E15" s="466">
        <f t="shared" si="11"/>
        <v>0</v>
      </c>
      <c r="F15" s="466">
        <f t="shared" si="11"/>
        <v>0</v>
      </c>
      <c r="G15" s="466">
        <f t="shared" si="11"/>
        <v>0</v>
      </c>
      <c r="H15" s="466">
        <f t="shared" si="11"/>
        <v>0</v>
      </c>
      <c r="I15" s="466">
        <f t="shared" si="11"/>
        <v>0</v>
      </c>
      <c r="J15" s="466">
        <f t="shared" si="11"/>
        <v>0</v>
      </c>
      <c r="K15" s="466">
        <f t="shared" si="11"/>
        <v>0</v>
      </c>
      <c r="L15" s="466">
        <f t="shared" si="11"/>
        <v>0</v>
      </c>
      <c r="M15" s="466">
        <f t="shared" si="11"/>
        <v>0</v>
      </c>
      <c r="N15" s="466">
        <f t="shared" si="11"/>
        <v>0</v>
      </c>
    </row>
    <row r="16" spans="1:14" x14ac:dyDescent="0.2">
      <c r="A16" s="8"/>
      <c r="B16" s="8" t="s">
        <v>160</v>
      </c>
      <c r="C16" s="69">
        <f>IF(C$3&lt;151,0,IF(C$3&gt;180,0,C4-C15))</f>
        <v>0</v>
      </c>
      <c r="D16" s="69">
        <f t="shared" ref="D16:N16" si="12">IF(D$3&lt;151,0,IF(D$3&gt;180,0,D4-D15))</f>
        <v>0</v>
      </c>
      <c r="E16" s="69">
        <f t="shared" si="12"/>
        <v>0</v>
      </c>
      <c r="F16" s="69">
        <f t="shared" si="12"/>
        <v>0</v>
      </c>
      <c r="G16" s="69">
        <f t="shared" si="12"/>
        <v>0</v>
      </c>
      <c r="H16" s="69">
        <f t="shared" si="12"/>
        <v>0</v>
      </c>
      <c r="I16" s="69">
        <f t="shared" si="12"/>
        <v>0</v>
      </c>
      <c r="J16" s="69">
        <f t="shared" si="12"/>
        <v>0</v>
      </c>
      <c r="K16" s="69">
        <f t="shared" si="12"/>
        <v>0</v>
      </c>
      <c r="L16" s="69">
        <f t="shared" si="12"/>
        <v>0</v>
      </c>
      <c r="M16" s="69">
        <f t="shared" si="12"/>
        <v>0</v>
      </c>
      <c r="N16" s="69">
        <f t="shared" si="12"/>
        <v>0</v>
      </c>
    </row>
    <row r="17" spans="1:14" x14ac:dyDescent="0.2">
      <c r="A17" s="63"/>
      <c r="B17" s="63" t="s">
        <v>161</v>
      </c>
      <c r="C17" s="463" t="str">
        <f>C2</f>
        <v>JAN</v>
      </c>
      <c r="D17" s="463" t="str">
        <f t="shared" ref="D17:N17" si="13">D2</f>
        <v>FEB</v>
      </c>
      <c r="E17" s="463" t="str">
        <f t="shared" si="13"/>
        <v>MARS</v>
      </c>
      <c r="F17" s="463" t="str">
        <f t="shared" si="13"/>
        <v>APR</v>
      </c>
      <c r="G17" s="463" t="str">
        <f t="shared" si="13"/>
        <v>MAJ</v>
      </c>
      <c r="H17" s="463" t="str">
        <f t="shared" si="13"/>
        <v>JUNI</v>
      </c>
      <c r="I17" s="463" t="str">
        <f t="shared" si="13"/>
        <v>JULI</v>
      </c>
      <c r="J17" s="463" t="str">
        <f t="shared" si="13"/>
        <v>AUG</v>
      </c>
      <c r="K17" s="463" t="str">
        <f t="shared" si="13"/>
        <v>SEP</v>
      </c>
      <c r="L17" s="463" t="str">
        <f t="shared" si="13"/>
        <v>OKT</v>
      </c>
      <c r="M17" s="463" t="str">
        <f t="shared" si="13"/>
        <v>NOV</v>
      </c>
      <c r="N17" s="463" t="str">
        <f t="shared" si="13"/>
        <v>DEC</v>
      </c>
    </row>
    <row r="18" spans="1:14" x14ac:dyDescent="0.2">
      <c r="A18" s="8"/>
      <c r="B18" s="8" t="s">
        <v>164</v>
      </c>
      <c r="C18" s="69">
        <f>+C5</f>
        <v>0</v>
      </c>
      <c r="D18" s="69">
        <f t="shared" ref="D18:N18" si="14">+D5</f>
        <v>0</v>
      </c>
      <c r="E18" s="69">
        <f t="shared" si="14"/>
        <v>0</v>
      </c>
      <c r="F18" s="69">
        <f t="shared" si="14"/>
        <v>0</v>
      </c>
      <c r="G18" s="69">
        <f t="shared" si="14"/>
        <v>0</v>
      </c>
      <c r="H18" s="69">
        <f t="shared" si="14"/>
        <v>0</v>
      </c>
      <c r="I18" s="69">
        <f t="shared" si="14"/>
        <v>0</v>
      </c>
      <c r="J18" s="69">
        <f t="shared" si="14"/>
        <v>0</v>
      </c>
      <c r="K18" s="69">
        <f t="shared" si="14"/>
        <v>0</v>
      </c>
      <c r="L18" s="69">
        <f t="shared" si="14"/>
        <v>0</v>
      </c>
      <c r="M18" s="69">
        <f t="shared" si="14"/>
        <v>0</v>
      </c>
      <c r="N18" s="69">
        <f t="shared" si="14"/>
        <v>0</v>
      </c>
    </row>
    <row r="19" spans="1:14" x14ac:dyDescent="0.2">
      <c r="A19" s="8"/>
      <c r="B19" s="8" t="s">
        <v>151</v>
      </c>
      <c r="C19" s="69"/>
      <c r="D19" s="69">
        <f>C6+C7</f>
        <v>0</v>
      </c>
      <c r="E19" s="69">
        <f t="shared" ref="E19:N19" si="15">D6+D7</f>
        <v>0</v>
      </c>
      <c r="F19" s="69">
        <f t="shared" si="15"/>
        <v>0</v>
      </c>
      <c r="G19" s="69">
        <f t="shared" si="15"/>
        <v>0</v>
      </c>
      <c r="H19" s="69">
        <f t="shared" si="15"/>
        <v>0</v>
      </c>
      <c r="I19" s="69">
        <f t="shared" si="15"/>
        <v>0</v>
      </c>
      <c r="J19" s="69">
        <f t="shared" si="15"/>
        <v>0</v>
      </c>
      <c r="K19" s="69">
        <f t="shared" si="15"/>
        <v>0</v>
      </c>
      <c r="L19" s="69">
        <f t="shared" si="15"/>
        <v>0</v>
      </c>
      <c r="M19" s="69">
        <f t="shared" si="15"/>
        <v>0</v>
      </c>
      <c r="N19" s="69">
        <f t="shared" si="15"/>
        <v>0</v>
      </c>
    </row>
    <row r="20" spans="1:14" x14ac:dyDescent="0.2">
      <c r="A20" s="8"/>
      <c r="B20" s="8" t="s">
        <v>153</v>
      </c>
      <c r="C20" s="69"/>
      <c r="D20" s="69"/>
      <c r="E20" s="69">
        <f>C8+C9</f>
        <v>0</v>
      </c>
      <c r="F20" s="69">
        <f t="shared" ref="F20:N20" si="16">D8+D9</f>
        <v>0</v>
      </c>
      <c r="G20" s="69">
        <f t="shared" si="16"/>
        <v>0</v>
      </c>
      <c r="H20" s="69">
        <f t="shared" si="16"/>
        <v>0</v>
      </c>
      <c r="I20" s="69">
        <f t="shared" si="16"/>
        <v>0</v>
      </c>
      <c r="J20" s="69">
        <f t="shared" si="16"/>
        <v>0</v>
      </c>
      <c r="K20" s="69">
        <f t="shared" si="16"/>
        <v>0</v>
      </c>
      <c r="L20" s="69">
        <f t="shared" si="16"/>
        <v>0</v>
      </c>
      <c r="M20" s="69">
        <f t="shared" si="16"/>
        <v>0</v>
      </c>
      <c r="N20" s="69">
        <f t="shared" si="16"/>
        <v>0</v>
      </c>
    </row>
    <row r="21" spans="1:14" x14ac:dyDescent="0.2">
      <c r="A21" s="8"/>
      <c r="B21" s="8" t="s">
        <v>155</v>
      </c>
      <c r="C21" s="69"/>
      <c r="D21" s="69"/>
      <c r="E21" s="69"/>
      <c r="F21" s="69">
        <f>C10+C11</f>
        <v>0</v>
      </c>
      <c r="G21" s="69">
        <f t="shared" ref="G21:N21" si="17">D10+D11</f>
        <v>0</v>
      </c>
      <c r="H21" s="69">
        <f t="shared" si="17"/>
        <v>0</v>
      </c>
      <c r="I21" s="69">
        <f t="shared" si="17"/>
        <v>0</v>
      </c>
      <c r="J21" s="69">
        <f t="shared" si="17"/>
        <v>0</v>
      </c>
      <c r="K21" s="69">
        <f t="shared" si="17"/>
        <v>0</v>
      </c>
      <c r="L21" s="69">
        <f t="shared" si="17"/>
        <v>0</v>
      </c>
      <c r="M21" s="69">
        <f t="shared" si="17"/>
        <v>0</v>
      </c>
      <c r="N21" s="69">
        <f t="shared" si="17"/>
        <v>0</v>
      </c>
    </row>
    <row r="22" spans="1:14" x14ac:dyDescent="0.2">
      <c r="A22" s="8"/>
      <c r="B22" s="8" t="s">
        <v>157</v>
      </c>
      <c r="C22" s="69"/>
      <c r="D22" s="69"/>
      <c r="E22" s="69"/>
      <c r="F22" s="69"/>
      <c r="G22" s="69">
        <f>C12+C13</f>
        <v>0</v>
      </c>
      <c r="H22" s="69">
        <f t="shared" ref="H22:N22" si="18">D12+D13</f>
        <v>0</v>
      </c>
      <c r="I22" s="69">
        <f t="shared" si="18"/>
        <v>0</v>
      </c>
      <c r="J22" s="69">
        <f t="shared" si="18"/>
        <v>0</v>
      </c>
      <c r="K22" s="69">
        <f t="shared" si="18"/>
        <v>0</v>
      </c>
      <c r="L22" s="69">
        <f t="shared" si="18"/>
        <v>0</v>
      </c>
      <c r="M22" s="69">
        <f t="shared" si="18"/>
        <v>0</v>
      </c>
      <c r="N22" s="69">
        <f t="shared" si="18"/>
        <v>0</v>
      </c>
    </row>
    <row r="23" spans="1:14" x14ac:dyDescent="0.2">
      <c r="A23" s="8"/>
      <c r="B23" s="8" t="s">
        <v>159</v>
      </c>
      <c r="C23" s="69"/>
      <c r="D23" s="69"/>
      <c r="E23" s="69"/>
      <c r="F23" s="69"/>
      <c r="G23" s="69"/>
      <c r="H23" s="69">
        <f>C14+C15</f>
        <v>0</v>
      </c>
      <c r="I23" s="69">
        <f t="shared" ref="I23:N23" si="19">D14+D15</f>
        <v>0</v>
      </c>
      <c r="J23" s="69">
        <f t="shared" si="19"/>
        <v>0</v>
      </c>
      <c r="K23" s="69">
        <f t="shared" si="19"/>
        <v>0</v>
      </c>
      <c r="L23" s="69">
        <f t="shared" si="19"/>
        <v>0</v>
      </c>
      <c r="M23" s="69">
        <f t="shared" si="19"/>
        <v>0</v>
      </c>
      <c r="N23" s="69">
        <f t="shared" si="19"/>
        <v>0</v>
      </c>
    </row>
    <row r="24" spans="1:14" x14ac:dyDescent="0.2">
      <c r="A24" s="8"/>
      <c r="B24" s="8" t="s">
        <v>160</v>
      </c>
      <c r="C24" s="69"/>
      <c r="D24" s="69"/>
      <c r="E24" s="69"/>
      <c r="F24" s="69"/>
      <c r="G24" s="69"/>
      <c r="H24" s="69"/>
      <c r="I24" s="69">
        <f t="shared" ref="I24:N24" si="20">C16</f>
        <v>0</v>
      </c>
      <c r="J24" s="69">
        <f t="shared" si="20"/>
        <v>0</v>
      </c>
      <c r="K24" s="69">
        <f t="shared" si="20"/>
        <v>0</v>
      </c>
      <c r="L24" s="69">
        <f t="shared" si="20"/>
        <v>0</v>
      </c>
      <c r="M24" s="69">
        <f t="shared" si="20"/>
        <v>0</v>
      </c>
      <c r="N24" s="69">
        <f t="shared" si="20"/>
        <v>0</v>
      </c>
    </row>
    <row r="25" spans="1:14" x14ac:dyDescent="0.2">
      <c r="A25" s="63"/>
      <c r="B25" s="63" t="s">
        <v>162</v>
      </c>
      <c r="C25" s="406">
        <f>SUM(C18:C24)</f>
        <v>0</v>
      </c>
      <c r="D25" s="406">
        <f t="shared" ref="D25:N25" si="21">SUM(D18:D24)</f>
        <v>0</v>
      </c>
      <c r="E25" s="406">
        <f t="shared" si="21"/>
        <v>0</v>
      </c>
      <c r="F25" s="406">
        <f t="shared" si="21"/>
        <v>0</v>
      </c>
      <c r="G25" s="406">
        <f t="shared" si="21"/>
        <v>0</v>
      </c>
      <c r="H25" s="406">
        <f t="shared" si="21"/>
        <v>0</v>
      </c>
      <c r="I25" s="406">
        <f t="shared" si="21"/>
        <v>0</v>
      </c>
      <c r="J25" s="406">
        <f t="shared" si="21"/>
        <v>0</v>
      </c>
      <c r="K25" s="406">
        <f t="shared" si="21"/>
        <v>0</v>
      </c>
      <c r="L25" s="406">
        <f t="shared" si="21"/>
        <v>0</v>
      </c>
      <c r="M25" s="406">
        <f t="shared" si="21"/>
        <v>0</v>
      </c>
      <c r="N25" s="406">
        <f t="shared" si="21"/>
        <v>0</v>
      </c>
    </row>
  </sheetData>
  <sheetProtection password="9675" sheet="1" objects="1" scenarios="1" selectLockedCells="1" selectUnlockedCell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ul12"/>
  <dimension ref="A2:J46"/>
  <sheetViews>
    <sheetView workbookViewId="0"/>
  </sheetViews>
  <sheetFormatPr defaultRowHeight="12.75" x14ac:dyDescent="0.2"/>
  <cols>
    <col min="1" max="1" width="25.85546875" customWidth="1"/>
    <col min="2" max="2" width="13.28515625" customWidth="1"/>
    <col min="8" max="10" width="14.85546875" customWidth="1"/>
  </cols>
  <sheetData>
    <row r="2" spans="1:10" ht="13.5" thickBot="1" x14ac:dyDescent="0.25"/>
    <row r="3" spans="1:10" ht="13.5" thickBot="1" x14ac:dyDescent="0.25">
      <c r="A3" s="6" t="s">
        <v>3</v>
      </c>
      <c r="G3" s="11">
        <v>0</v>
      </c>
      <c r="H3" s="11">
        <v>0</v>
      </c>
      <c r="I3" s="11">
        <v>958.61685826359553</v>
      </c>
    </row>
    <row r="4" spans="1:10" x14ac:dyDescent="0.2">
      <c r="A4" s="2" t="s">
        <v>15</v>
      </c>
      <c r="B4" s="2"/>
      <c r="C4" s="2"/>
      <c r="D4" s="2"/>
      <c r="E4" s="2"/>
      <c r="F4" s="2"/>
      <c r="G4" s="2" t="s">
        <v>16</v>
      </c>
      <c r="H4" s="2"/>
    </row>
    <row r="5" spans="1:10" x14ac:dyDescent="0.2">
      <c r="A5" s="286" t="s">
        <v>665</v>
      </c>
      <c r="G5" s="286" t="s">
        <v>665</v>
      </c>
    </row>
    <row r="6" spans="1:10" ht="13.5" thickBot="1" x14ac:dyDescent="0.25">
      <c r="A6" t="s">
        <v>0</v>
      </c>
    </row>
    <row r="7" spans="1:10" x14ac:dyDescent="0.2">
      <c r="B7" s="15" t="s">
        <v>1</v>
      </c>
      <c r="C7" s="16" t="s">
        <v>2</v>
      </c>
      <c r="D7" s="16" t="s">
        <v>14</v>
      </c>
      <c r="H7" s="15" t="s">
        <v>1</v>
      </c>
      <c r="I7" s="16" t="s">
        <v>2</v>
      </c>
      <c r="J7" s="16" t="s">
        <v>14</v>
      </c>
    </row>
    <row r="8" spans="1:10" x14ac:dyDescent="0.2">
      <c r="A8" s="9" t="s">
        <v>4</v>
      </c>
      <c r="B8" s="31">
        <f>('K2 Försäljning'!C18*'K2 Försäljning'!C15)</f>
        <v>0</v>
      </c>
      <c r="C8" s="31">
        <f>('K2 Försäljning'!D18*'K2 Försäljning'!D15)</f>
        <v>0</v>
      </c>
      <c r="D8" s="31">
        <f>('K2 Försäljning'!E18*'K2 Försäljning'!E15)</f>
        <v>0</v>
      </c>
      <c r="G8" s="9" t="s">
        <v>4</v>
      </c>
      <c r="H8" s="31">
        <f>'FS2 Försäljning '!C16*'FS2 Försäljning '!C15</f>
        <v>0</v>
      </c>
      <c r="I8" s="31">
        <f>'FS2 Försäljning '!D16*'FS2 Försäljning '!D15</f>
        <v>0</v>
      </c>
      <c r="J8" s="31">
        <f>'FS2 Försäljning '!E16*'FS2 Försäljning '!E15</f>
        <v>0</v>
      </c>
    </row>
    <row r="9" spans="1:10" x14ac:dyDescent="0.2">
      <c r="A9" s="10" t="s">
        <v>5</v>
      </c>
      <c r="B9" s="31">
        <f>('K2 Försäljning'!C28)*'K2 Försäljning'!C25</f>
        <v>0</v>
      </c>
      <c r="C9" s="31">
        <f>('K2 Försäljning'!D28)*'K2 Försäljning'!D25</f>
        <v>0</v>
      </c>
      <c r="D9" s="31">
        <f>('K2 Försäljning'!E28)*'K2 Försäljning'!E25</f>
        <v>0</v>
      </c>
      <c r="G9" s="10" t="s">
        <v>5</v>
      </c>
      <c r="H9" s="31">
        <f>'FS2 Försäljning '!C21*'FS2 Försäljning '!C20</f>
        <v>0</v>
      </c>
      <c r="I9" s="31">
        <f>'FS2 Försäljning '!D21*'FS2 Försäljning '!D20</f>
        <v>0</v>
      </c>
      <c r="J9" s="31">
        <f>'FS2 Försäljning '!E21*'FS2 Försäljning '!E20</f>
        <v>0</v>
      </c>
    </row>
    <row r="10" spans="1:10" x14ac:dyDescent="0.2">
      <c r="A10" s="10" t="s">
        <v>6</v>
      </c>
      <c r="B10" s="31">
        <f>('K2 Försäljning'!C38)*'K2 Försäljning'!C35</f>
        <v>0</v>
      </c>
      <c r="C10" s="31">
        <f>('K2 Försäljning'!D38)*'K2 Försäljning'!D35</f>
        <v>0</v>
      </c>
      <c r="D10" s="31">
        <f>('K2 Försäljning'!E38)*'K2 Försäljning'!E35</f>
        <v>0</v>
      </c>
      <c r="G10" s="10" t="s">
        <v>6</v>
      </c>
      <c r="H10" s="31">
        <f>'FS2 Försäljning '!C26*'FS2 Försäljning '!C25</f>
        <v>0</v>
      </c>
      <c r="I10" s="31">
        <f>'FS2 Försäljning '!D26*'FS2 Försäljning '!D25</f>
        <v>0</v>
      </c>
      <c r="J10" s="31">
        <f>'FS2 Försäljning '!E26*'FS2 Försäljning '!E25</f>
        <v>0</v>
      </c>
    </row>
    <row r="11" spans="1:10" x14ac:dyDescent="0.2">
      <c r="A11" s="10" t="s">
        <v>7</v>
      </c>
      <c r="B11" s="31">
        <f>('K2 Försäljning'!C48)*'K2 Försäljning'!C45</f>
        <v>0</v>
      </c>
      <c r="C11" s="31">
        <f>('K2 Försäljning'!D48)*'K2 Försäljning'!D45</f>
        <v>0</v>
      </c>
      <c r="D11" s="31">
        <f>('K2 Försäljning'!E48)*'K2 Försäljning'!E45</f>
        <v>0</v>
      </c>
      <c r="G11" s="10" t="s">
        <v>7</v>
      </c>
      <c r="H11" s="31">
        <f>'FS2 Försäljning '!C31*'FS2 Försäljning '!C20</f>
        <v>0</v>
      </c>
      <c r="I11" s="31">
        <f>'FS2 Försäljning '!D31*'FS2 Försäljning '!D20</f>
        <v>0</v>
      </c>
      <c r="J11" s="31">
        <f>'FS2 Försäljning '!E31*'FS2 Försäljning '!E20</f>
        <v>0</v>
      </c>
    </row>
    <row r="12" spans="1:10" ht="13.5" thickBot="1" x14ac:dyDescent="0.25">
      <c r="A12" s="107" t="s">
        <v>633</v>
      </c>
      <c r="B12" s="31">
        <f>B33*'K2 Försäljning'!C55</f>
        <v>0</v>
      </c>
      <c r="C12" s="31">
        <f>C33*'K2 Försäljning'!D55</f>
        <v>0</v>
      </c>
      <c r="D12" s="31">
        <f>D33*'K2 Försäljning'!E55</f>
        <v>0</v>
      </c>
      <c r="G12" s="10" t="s">
        <v>8</v>
      </c>
      <c r="H12" s="31">
        <f>'FS2 Försäljning '!C36*'FS2 Försäljning '!C35</f>
        <v>0</v>
      </c>
      <c r="I12" s="31">
        <f>'FS2 Försäljning '!D36*'FS2 Försäljning '!D35</f>
        <v>0</v>
      </c>
      <c r="J12" s="31">
        <f>'FS2 Försäljning '!E36*'FS2 Försäljning '!E35</f>
        <v>0</v>
      </c>
    </row>
    <row r="13" spans="1:10" ht="13.5" thickBot="1" x14ac:dyDescent="0.25">
      <c r="A13" s="109" t="s">
        <v>41</v>
      </c>
      <c r="B13" s="105">
        <f>SUM(B8:B12)</f>
        <v>0</v>
      </c>
      <c r="C13" s="105">
        <f>SUM(C8:C12)</f>
        <v>0</v>
      </c>
      <c r="D13" s="106">
        <f>SUM(D8:D12)</f>
        <v>0</v>
      </c>
      <c r="G13" s="10" t="s">
        <v>48</v>
      </c>
      <c r="H13" s="31">
        <f>'FS2 Försäljning '!C40*'FS2 Försäljning '!C41</f>
        <v>0</v>
      </c>
      <c r="I13" s="31">
        <f>'FS2 Försäljning '!D40*'FS2 Försäljning '!D41</f>
        <v>0</v>
      </c>
      <c r="J13" s="31">
        <f>'FS2 Försäljning '!E40*'FS2 Försäljning '!E41</f>
        <v>0</v>
      </c>
    </row>
    <row r="14" spans="1:10" x14ac:dyDescent="0.2">
      <c r="A14" s="108" t="s">
        <v>9</v>
      </c>
      <c r="B14" s="31">
        <f>('K2 Försäljning'!C78)*'K2 Försäljning'!C75</f>
        <v>0</v>
      </c>
      <c r="C14" s="31">
        <f>('K2 Försäljning'!D78)*'K2 Försäljning'!D75</f>
        <v>0</v>
      </c>
      <c r="D14" s="31">
        <f>('K2 Försäljning'!E78)*'K2 Försäljning'!E75</f>
        <v>0</v>
      </c>
      <c r="G14" s="10" t="s">
        <v>5</v>
      </c>
      <c r="H14" s="31">
        <f>'FS2 Försäljning '!C47*'FS2 Försäljning '!C48</f>
        <v>0</v>
      </c>
      <c r="I14" s="31">
        <f>'FS2 Försäljning '!D47*'FS2 Försäljning '!D48</f>
        <v>0</v>
      </c>
      <c r="J14" s="31">
        <f>'FS2 Försäljning '!E47*'FS2 Försäljning '!E48</f>
        <v>0</v>
      </c>
    </row>
    <row r="15" spans="1:10" x14ac:dyDescent="0.2">
      <c r="A15" s="10" t="s">
        <v>10</v>
      </c>
      <c r="B15" s="31">
        <f>('K2 Försäljning'!C88)*'K2 Försäljning'!C85</f>
        <v>0</v>
      </c>
      <c r="C15" s="31">
        <f>('K2 Försäljning'!D88)*'K2 Försäljning'!D85</f>
        <v>0</v>
      </c>
      <c r="D15" s="31">
        <f>('K2 Försäljning'!E88)*'K2 Försäljning'!E85</f>
        <v>0</v>
      </c>
      <c r="G15" s="10" t="s">
        <v>6</v>
      </c>
      <c r="H15" s="31">
        <f>'FS2 Försäljning '!C54*'FS2 Försäljning '!C55</f>
        <v>0</v>
      </c>
      <c r="I15" s="31">
        <f>'FS2 Försäljning '!D54*'FS2 Försäljning '!D55</f>
        <v>0</v>
      </c>
      <c r="J15" s="31">
        <f>'FS2 Försäljning '!E54*'FS2 Försäljning '!E55</f>
        <v>0</v>
      </c>
    </row>
    <row r="16" spans="1:10" x14ac:dyDescent="0.2">
      <c r="A16" s="10" t="s">
        <v>11</v>
      </c>
      <c r="B16" s="31">
        <f>('K2 Försäljning'!C98)*'K2 Försäljning'!C95</f>
        <v>0</v>
      </c>
      <c r="C16" s="31">
        <f>('K2 Försäljning'!D98)*'K2 Försäljning'!D95</f>
        <v>0</v>
      </c>
      <c r="D16" s="31">
        <f>('K2 Försäljning'!E98)*'K2 Försäljning'!E95</f>
        <v>0</v>
      </c>
      <c r="G16" s="10" t="s">
        <v>7</v>
      </c>
      <c r="H16" s="31">
        <f>'FS2 Försäljning '!C61*'FS2 Försäljning '!C62</f>
        <v>0</v>
      </c>
      <c r="I16" s="31">
        <f>'FS2 Försäljning '!D61*'FS2 Försäljning '!D62</f>
        <v>0</v>
      </c>
      <c r="J16" s="31">
        <f>'FS2 Försäljning '!E61*'FS2 Försäljning '!E62</f>
        <v>0</v>
      </c>
    </row>
    <row r="17" spans="1:10" ht="13.5" thickBot="1" x14ac:dyDescent="0.25">
      <c r="A17" s="10" t="s">
        <v>12</v>
      </c>
      <c r="B17" s="31">
        <f>('K2 Försäljning'!C108)*'K2 Försäljning'!C105</f>
        <v>0</v>
      </c>
      <c r="C17" s="31">
        <f>('K2 Försäljning'!D108)*'K2 Försäljning'!D105</f>
        <v>0</v>
      </c>
      <c r="D17" s="31">
        <f>('K2 Försäljning'!E108)*'K2 Försäljning'!E105</f>
        <v>0</v>
      </c>
      <c r="G17" s="18" t="s">
        <v>8</v>
      </c>
      <c r="H17" s="31">
        <f>'FS2 Försäljning '!C68*'FS2 Försäljning '!C69</f>
        <v>0</v>
      </c>
      <c r="I17" s="31">
        <f>'FS2 Försäljning '!D68*'FS2 Försäljning '!D69</f>
        <v>0</v>
      </c>
      <c r="J17" s="31">
        <f>'FS2 Försäljning '!E68*'FS2 Försäljning '!E69</f>
        <v>0</v>
      </c>
    </row>
    <row r="18" spans="1:10" ht="13.5" thickBot="1" x14ac:dyDescent="0.25">
      <c r="A18" s="18" t="s">
        <v>13</v>
      </c>
      <c r="B18" s="31">
        <f>('K2 Försäljning'!C118)*'K2 Försäljning'!C115</f>
        <v>0</v>
      </c>
      <c r="C18" s="31">
        <f>('K2 Försäljning'!D118)*'K2 Försäljning'!D115</f>
        <v>0</v>
      </c>
      <c r="D18" s="31">
        <f>('K2 Försäljning'!E118)*'K2 Försäljning'!E115</f>
        <v>0</v>
      </c>
      <c r="G18" s="104" t="s">
        <v>46</v>
      </c>
      <c r="H18" s="105">
        <f>SUM(H8:H17)</f>
        <v>0</v>
      </c>
      <c r="I18" s="105">
        <f>SUM(I8:I17)</f>
        <v>0</v>
      </c>
      <c r="J18" s="106">
        <f>SUM(J8:J17)</f>
        <v>0</v>
      </c>
    </row>
    <row r="19" spans="1:10" ht="13.5" thickBot="1" x14ac:dyDescent="0.25">
      <c r="A19" s="18" t="s">
        <v>634</v>
      </c>
      <c r="B19" s="31">
        <f>B36*'K2 Försäljning'!C125</f>
        <v>0</v>
      </c>
      <c r="C19" s="31">
        <f>C36*'K2 Försäljning'!D125</f>
        <v>0</v>
      </c>
      <c r="D19" s="31">
        <f>D36*'K2 Försäljning'!E125</f>
        <v>0</v>
      </c>
      <c r="G19" s="18" t="s">
        <v>44</v>
      </c>
      <c r="H19" s="31">
        <f>'FS2 Försäljning '!C84*'FS2 Försäljning '!C85</f>
        <v>0</v>
      </c>
      <c r="I19" s="31">
        <f>'FS2 Försäljning '!D84*'FS2 Försäljning '!D85</f>
        <v>0</v>
      </c>
      <c r="J19" s="31">
        <f>'FS2 Försäljning '!E84*'FS2 Försäljning '!E85</f>
        <v>0</v>
      </c>
    </row>
    <row r="20" spans="1:10" ht="13.5" thickBot="1" x14ac:dyDescent="0.25">
      <c r="A20" s="110" t="s">
        <v>42</v>
      </c>
      <c r="B20" s="105">
        <f>B13+B14+B15+B16+B17+B18+B19</f>
        <v>0</v>
      </c>
      <c r="C20" s="105">
        <f>C13+C14+C15+C16+C17+C18+C19</f>
        <v>0</v>
      </c>
      <c r="D20" s="106">
        <f>D13+D14+D15+D16+D17+D18+D19</f>
        <v>0</v>
      </c>
      <c r="G20" s="18">
        <v>7</v>
      </c>
      <c r="H20" s="31">
        <f>'FS2 Försäljning '!C89*'FS2 Försäljning '!C90</f>
        <v>0</v>
      </c>
      <c r="I20" s="31">
        <f>'FS2 Försäljning '!D89*'FS2 Försäljning '!D90</f>
        <v>0</v>
      </c>
      <c r="J20" s="31">
        <f>'FS2 Försäljning '!E89*'FS2 Försäljning '!E90</f>
        <v>0</v>
      </c>
    </row>
    <row r="21" spans="1:10" x14ac:dyDescent="0.2">
      <c r="A21" s="18">
        <v>12</v>
      </c>
      <c r="B21" s="31">
        <f>('K2 Försäljning'!C148)*'K2 Försäljning'!C145</f>
        <v>0</v>
      </c>
      <c r="C21" s="31">
        <f>('K2 Försäljning'!D148)*'K2 Försäljning'!D145</f>
        <v>0</v>
      </c>
      <c r="D21" s="31">
        <f>('K2 Försäljning'!E148)*'K2 Försäljning'!E145</f>
        <v>0</v>
      </c>
      <c r="G21" s="18">
        <v>8</v>
      </c>
      <c r="H21" s="31">
        <f>'FS2 Försäljning '!C94*'FS2 Försäljning '!C95</f>
        <v>0</v>
      </c>
      <c r="I21" s="31">
        <f>'FS2 Försäljning '!D94*'FS2 Försäljning '!D95</f>
        <v>0</v>
      </c>
      <c r="J21" s="31">
        <f>'FS2 Försäljning '!E94*'FS2 Försäljning '!E95</f>
        <v>0</v>
      </c>
    </row>
    <row r="22" spans="1:10" x14ac:dyDescent="0.2">
      <c r="A22" s="18">
        <v>13</v>
      </c>
      <c r="B22" s="31">
        <f>('K2 Försäljning'!C158)*'K2 Försäljning'!C155</f>
        <v>0</v>
      </c>
      <c r="C22" s="31">
        <f>('K2 Försäljning'!D158)*'K2 Försäljning'!D155</f>
        <v>0</v>
      </c>
      <c r="D22" s="31">
        <f>('K2 Försäljning'!E158)*'K2 Försäljning'!E155</f>
        <v>0</v>
      </c>
      <c r="G22" s="18">
        <v>9</v>
      </c>
      <c r="H22" s="31">
        <f>'FS2 Försäljning '!C99*'FS2 Försäljning '!C100</f>
        <v>0</v>
      </c>
      <c r="I22" s="31">
        <f>'FS2 Försäljning '!D99*'FS2 Försäljning '!D100</f>
        <v>0</v>
      </c>
      <c r="J22" s="31">
        <f>'FS2 Försäljning '!E99*'FS2 Försäljning '!E100</f>
        <v>0</v>
      </c>
    </row>
    <row r="23" spans="1:10" x14ac:dyDescent="0.2">
      <c r="A23" s="18">
        <v>14</v>
      </c>
      <c r="B23" s="31">
        <f>('K2 Försäljning'!C168)*'K2 Försäljning'!C165</f>
        <v>0</v>
      </c>
      <c r="C23" s="31">
        <f>('K2 Försäljning'!D168)*'K2 Försäljning'!D165</f>
        <v>0</v>
      </c>
      <c r="D23" s="31">
        <f>('K2 Försäljning'!E168)*'K2 Försäljning'!E165</f>
        <v>0</v>
      </c>
      <c r="G23" s="18">
        <v>10</v>
      </c>
      <c r="H23" s="31">
        <f>'FS2 Försäljning '!C104*'FS2 Försäljning '!C105</f>
        <v>0</v>
      </c>
      <c r="I23" s="31">
        <f>'FS2 Försäljning '!D104*'FS2 Försäljning '!D105</f>
        <v>0</v>
      </c>
      <c r="J23" s="31">
        <f>'FS2 Försäljning '!E104*'FS2 Försäljning '!E105</f>
        <v>0</v>
      </c>
    </row>
    <row r="24" spans="1:10" x14ac:dyDescent="0.2">
      <c r="A24" s="18">
        <v>15</v>
      </c>
      <c r="B24" s="31">
        <f>('K2 Försäljning'!C178)*'K2 Försäljning'!C175</f>
        <v>0</v>
      </c>
      <c r="C24" s="31">
        <f>('K2 Försäljning'!D178)*'K2 Försäljning'!D175</f>
        <v>0</v>
      </c>
      <c r="D24" s="31">
        <f>('K2 Försäljning'!E178)*'K2 Försäljning'!E175</f>
        <v>0</v>
      </c>
      <c r="G24" s="18">
        <v>11</v>
      </c>
      <c r="H24" s="31">
        <f>'FS2 Försäljning '!C109*'FS2 Försäljning '!C110</f>
        <v>0</v>
      </c>
      <c r="I24" s="31">
        <f>'FS2 Försäljning '!D109*'FS2 Försäljning '!D110</f>
        <v>0</v>
      </c>
      <c r="J24" s="31">
        <f>'FS2 Försäljning '!E109*'FS2 Försäljning '!E110</f>
        <v>0</v>
      </c>
    </row>
    <row r="25" spans="1:10" x14ac:dyDescent="0.2">
      <c r="A25" s="18">
        <v>16</v>
      </c>
      <c r="B25" s="31">
        <f>('K2 Försäljning'!C188)*'K2 Försäljning'!C185</f>
        <v>0</v>
      </c>
      <c r="C25" s="31">
        <f>('K2 Försäljning'!D188)*'K2 Försäljning'!D185</f>
        <v>0</v>
      </c>
      <c r="D25" s="31">
        <f>('K2 Försäljning'!E188)*'K2 Försäljning'!E185</f>
        <v>0</v>
      </c>
      <c r="G25" s="18" t="s">
        <v>49</v>
      </c>
      <c r="H25" s="31">
        <f>'FS2 Försäljning '!C114*'FS2 Försäljning '!C115</f>
        <v>0</v>
      </c>
      <c r="I25" s="31">
        <f>'FS2 Försäljning '!D114*'FS2 Försäljning '!D115</f>
        <v>0</v>
      </c>
      <c r="J25" s="31">
        <f>'FS2 Försäljning '!E114*'FS2 Försäljning '!E115</f>
        <v>0</v>
      </c>
    </row>
    <row r="26" spans="1:10" ht="13.5" thickBot="1" x14ac:dyDescent="0.25">
      <c r="A26" s="18" t="s">
        <v>635</v>
      </c>
      <c r="B26" s="31">
        <f>B39*'K2 Försäljning'!C195</f>
        <v>0</v>
      </c>
      <c r="C26" s="31">
        <f>C39*'K2 Försäljning'!D195</f>
        <v>0</v>
      </c>
      <c r="D26" s="31">
        <f>D39*'K2 Försäljning'!E195</f>
        <v>0</v>
      </c>
      <c r="G26" s="18">
        <v>7</v>
      </c>
      <c r="H26" s="31">
        <f>'FS2 Försäljning '!C121*'FS2 Försäljning '!C122</f>
        <v>0</v>
      </c>
      <c r="I26" s="31">
        <f>'FS2 Försäljning '!D121*'FS2 Försäljning '!D122</f>
        <v>0</v>
      </c>
      <c r="J26" s="31">
        <f>'FS2 Försäljning '!E121*'FS2 Försäljning '!E122</f>
        <v>0</v>
      </c>
    </row>
    <row r="27" spans="1:10" ht="13.5" thickBot="1" x14ac:dyDescent="0.25">
      <c r="A27" s="110" t="s">
        <v>43</v>
      </c>
      <c r="B27" s="105">
        <f>B20+B21+B22+B23+B24+B25+B26</f>
        <v>0</v>
      </c>
      <c r="C27" s="105">
        <f>C20+C21+C22+C23+C24+C25+C26</f>
        <v>0</v>
      </c>
      <c r="D27" s="106">
        <f>D20+D21+D22+D23+D24+D25+D26</f>
        <v>0</v>
      </c>
      <c r="G27" s="18">
        <v>8</v>
      </c>
      <c r="H27" s="31">
        <f>'FS2 Försäljning '!C128*'FS2 Försäljning '!C129</f>
        <v>0</v>
      </c>
      <c r="I27" s="31">
        <f>'FS2 Försäljning '!D128*'FS2 Försäljning '!D129</f>
        <v>0</v>
      </c>
      <c r="J27" s="31">
        <f>'FS2 Försäljning '!E128*'FS2 Försäljning '!E129</f>
        <v>0</v>
      </c>
    </row>
    <row r="28" spans="1:10" x14ac:dyDescent="0.2">
      <c r="A28" s="18" t="s">
        <v>0</v>
      </c>
      <c r="G28" s="18">
        <v>9</v>
      </c>
      <c r="H28" s="31">
        <f>'FS2 Försäljning '!C135*'FS2 Försäljning '!C136</f>
        <v>0</v>
      </c>
      <c r="I28" s="31">
        <f>'FS2 Försäljning '!D135*'FS2 Försäljning '!D136</f>
        <v>0</v>
      </c>
      <c r="J28" s="31">
        <f>'FS2 Försäljning '!E135*'FS2 Försäljning '!E136</f>
        <v>0</v>
      </c>
    </row>
    <row r="29" spans="1:10" x14ac:dyDescent="0.2">
      <c r="A29" s="1076" t="s">
        <v>636</v>
      </c>
      <c r="B29" s="50">
        <f>'K2 Försäljning'!C205</f>
        <v>0</v>
      </c>
      <c r="C29" s="50">
        <f>'K2 Försäljning'!D205</f>
        <v>0</v>
      </c>
      <c r="D29" s="50">
        <f>'K2 Försäljning'!E205</f>
        <v>0</v>
      </c>
      <c r="G29" s="18">
        <v>10</v>
      </c>
      <c r="H29" s="31">
        <f>'FS2 Försäljning '!C142*'FS2 Försäljning '!C143</f>
        <v>0</v>
      </c>
      <c r="I29" s="31">
        <f>'FS2 Försäljning '!D142*'FS2 Försäljning '!D143</f>
        <v>0</v>
      </c>
      <c r="J29" s="31">
        <f>'FS2 Försäljning '!E142*'FS2 Försäljning '!E143</f>
        <v>0</v>
      </c>
    </row>
    <row r="30" spans="1:10" ht="13.5" thickBot="1" x14ac:dyDescent="0.25">
      <c r="A30" s="18" t="s">
        <v>582</v>
      </c>
      <c r="B30" s="117">
        <f>IF(B27=0,0,'4 AT  Myynnin alv'!B27/'K2 Försäljning'!C205)</f>
        <v>0</v>
      </c>
      <c r="C30" s="117">
        <f>IF(C27=0,0,'4 AT  Myynnin alv'!C27/'K2 Försäljning'!D205)</f>
        <v>0</v>
      </c>
      <c r="D30" s="117">
        <f>IF(D27=0,0,'4 AT  Myynnin alv'!D27/'K2 Försäljning'!E205)</f>
        <v>0</v>
      </c>
      <c r="G30" s="103">
        <v>11</v>
      </c>
      <c r="H30" s="31">
        <f>'FS2 Försäljning '!C149*'FS2 Försäljning '!C150</f>
        <v>0</v>
      </c>
      <c r="I30" s="31">
        <f>'FS2 Försäljning '!D149*'FS2 Försäljning '!D150</f>
        <v>0</v>
      </c>
      <c r="J30" s="31">
        <f>'FS2 Försäljning '!E149*'FS2 Försäljning '!E150</f>
        <v>0</v>
      </c>
    </row>
    <row r="31" spans="1:10" ht="13.5" thickBot="1" x14ac:dyDescent="0.25">
      <c r="A31" t="s">
        <v>637</v>
      </c>
      <c r="B31" t="s">
        <v>0</v>
      </c>
      <c r="G31" s="104" t="s">
        <v>47</v>
      </c>
      <c r="H31" s="105">
        <f>SUM(H19:H30)+H18</f>
        <v>0</v>
      </c>
      <c r="I31" s="105">
        <f>SUM(I19:I30)+I18</f>
        <v>0</v>
      </c>
      <c r="J31" s="105">
        <f>SUM(J19:J30)+J18</f>
        <v>0</v>
      </c>
    </row>
    <row r="32" spans="1:10" x14ac:dyDescent="0.2">
      <c r="A32" t="s">
        <v>638</v>
      </c>
      <c r="B32">
        <f>('K2 Försäljning'!C56-'K2 Försäljning'!C58)*'K2 Försäljning'!C57</f>
        <v>0</v>
      </c>
      <c r="C32">
        <f>('K2 Försäljning'!D56-'K2 Försäljning'!D58)*'K2 Försäljning'!D57</f>
        <v>0</v>
      </c>
      <c r="D32">
        <f>('K2 Försäljning'!E56-'K2 Försäljning'!E58)*'K2 Försäljning'!E57</f>
        <v>0</v>
      </c>
      <c r="G32" s="18" t="s">
        <v>45</v>
      </c>
      <c r="H32" s="50">
        <f>'FS2 Försäljning '!C165*'FS2 Försäljning '!C166</f>
        <v>0</v>
      </c>
      <c r="I32" s="50">
        <f>'FS2 Försäljning '!D165*'FS2 Försäljning '!D166</f>
        <v>0</v>
      </c>
      <c r="J32" s="50">
        <f>'FS2 Försäljning '!E165*'FS2 Försäljning '!E166</f>
        <v>0</v>
      </c>
    </row>
    <row r="33" spans="1:10" x14ac:dyDescent="0.2">
      <c r="A33" s="18" t="s">
        <v>643</v>
      </c>
      <c r="B33" s="31">
        <f>B32-B32*('K2 Försäljning'!C55*100/(100+'K2 Försäljning'!C55*100))</f>
        <v>0</v>
      </c>
      <c r="C33" s="31">
        <f>C32-C32*('K2 Försäljning'!D55*100/(100+'K2 Försäljning'!D55*100))</f>
        <v>0</v>
      </c>
      <c r="D33" s="31">
        <f>D32-D32*('K2 Försäljning'!E55*100/(100+'K2 Försäljning'!E55*100))</f>
        <v>0</v>
      </c>
      <c r="G33" s="18">
        <v>13</v>
      </c>
      <c r="H33" s="50">
        <f>'FS2 Försäljning '!C170*'FS2 Försäljning '!C171</f>
        <v>0</v>
      </c>
      <c r="I33" s="50">
        <f>'FS2 Försäljning '!D170*'FS2 Försäljning '!D171</f>
        <v>0</v>
      </c>
      <c r="J33" s="50">
        <f>'FS2 Försäljning '!E170*'FS2 Försäljning '!E171</f>
        <v>0</v>
      </c>
    </row>
    <row r="34" spans="1:10" x14ac:dyDescent="0.2">
      <c r="G34" s="18">
        <v>14</v>
      </c>
      <c r="H34" s="50">
        <f>'FS2 Försäljning '!C175*'FS2 Försäljning '!C176</f>
        <v>0</v>
      </c>
      <c r="I34" s="50">
        <f>'FS2 Försäljning '!D175*'FS2 Försäljning '!D176</f>
        <v>0</v>
      </c>
      <c r="J34" s="50">
        <f>'FS2 Försäljning '!E175*'FS2 Försäljning '!E176</f>
        <v>0</v>
      </c>
    </row>
    <row r="35" spans="1:10" x14ac:dyDescent="0.2">
      <c r="A35" t="s">
        <v>639</v>
      </c>
      <c r="B35">
        <f>('K2 Försäljning'!C126-'K2 Försäljning'!C128)*'K2 Försäljning'!C127</f>
        <v>0</v>
      </c>
      <c r="C35">
        <f>('K2 Försäljning'!D126-'K2 Försäljning'!D128)*'K2 Försäljning'!D127</f>
        <v>0</v>
      </c>
      <c r="D35">
        <f>('K2 Försäljning'!E126-'K2 Försäljning'!E128)*'K2 Försäljning'!E127</f>
        <v>0</v>
      </c>
      <c r="G35" s="18">
        <v>15</v>
      </c>
      <c r="H35" s="50">
        <f>'FS2 Försäljning '!C180*'FS2 Försäljning '!C181</f>
        <v>0</v>
      </c>
      <c r="I35" s="50">
        <f>'FS2 Försäljning '!D180*'FS2 Försäljning '!D181</f>
        <v>0</v>
      </c>
      <c r="J35" s="50">
        <f>'FS2 Försäljning '!E180*'FS2 Försäljning '!E181</f>
        <v>0</v>
      </c>
    </row>
    <row r="36" spans="1:10" x14ac:dyDescent="0.2">
      <c r="A36" t="s">
        <v>640</v>
      </c>
      <c r="B36" s="31">
        <f>B35-B35*('K2 Försäljning'!C125*100/(100+'K2 Försäljning'!C125*100))</f>
        <v>0</v>
      </c>
      <c r="C36" s="31">
        <f>C35-C35*('K2 Försäljning'!D125*100/(100+'K2 Försäljning'!D125*100))</f>
        <v>0</v>
      </c>
      <c r="D36" s="31">
        <f>D35-D35*('K2 Försäljning'!E125*100/(100+'K2 Försäljning'!E125*100))</f>
        <v>0</v>
      </c>
      <c r="G36" s="18">
        <v>16</v>
      </c>
      <c r="H36" s="50">
        <f>'FS2 Försäljning '!C185*'FS2 Försäljning '!C186</f>
        <v>0</v>
      </c>
      <c r="I36" s="50">
        <f>'FS2 Försäljning '!D185*'FS2 Försäljning '!D186</f>
        <v>0</v>
      </c>
      <c r="J36" s="50">
        <f>'FS2 Försäljning '!E185*'FS2 Försäljning '!E186</f>
        <v>0</v>
      </c>
    </row>
    <row r="37" spans="1:10" x14ac:dyDescent="0.2">
      <c r="G37" s="18">
        <v>17</v>
      </c>
      <c r="H37" s="50">
        <f>'FS2 Försäljning '!C190*'FS2 Försäljning '!C191</f>
        <v>0</v>
      </c>
      <c r="I37" s="50">
        <f>'FS2 Försäljning '!D190*'FS2 Försäljning '!D191</f>
        <v>0</v>
      </c>
      <c r="J37" s="50">
        <f>'FS2 Försäljning '!E190*'FS2 Försäljning '!E191</f>
        <v>0</v>
      </c>
    </row>
    <row r="38" spans="1:10" x14ac:dyDescent="0.2">
      <c r="A38" t="s">
        <v>641</v>
      </c>
      <c r="B38">
        <f>('K2 Försäljning'!C196-'K2 Försäljning'!C198)*'K2 Försäljning'!C197</f>
        <v>0</v>
      </c>
      <c r="C38">
        <f>('K2 Försäljning'!D196-'K2 Försäljning'!D198)*'K2 Försäljning'!D197</f>
        <v>0</v>
      </c>
      <c r="D38">
        <f>('K2 Försäljning'!E196-'K2 Försäljning'!E198)*'K2 Försäljning'!E197</f>
        <v>0</v>
      </c>
      <c r="G38" s="18" t="s">
        <v>50</v>
      </c>
      <c r="H38" s="50">
        <f>'FS2 Försäljning '!C195*'FS2 Försäljning '!C196</f>
        <v>0</v>
      </c>
      <c r="I38" s="50">
        <f>'FS2 Försäljning '!D195*'FS2 Försäljning '!D196</f>
        <v>0</v>
      </c>
      <c r="J38" s="50">
        <f>'FS2 Försäljning '!E195*'FS2 Försäljning '!E196</f>
        <v>0</v>
      </c>
    </row>
    <row r="39" spans="1:10" x14ac:dyDescent="0.2">
      <c r="A39" t="s">
        <v>642</v>
      </c>
      <c r="B39" s="31">
        <f>B38-B38*('K2 Försäljning'!C195*100/(100+'K2 Försäljning'!C195*100))</f>
        <v>0</v>
      </c>
      <c r="C39" s="31">
        <f>C38-C38*('K2 Försäljning'!D195*100/(100+'K2 Försäljning'!D195*100))</f>
        <v>0</v>
      </c>
      <c r="D39" s="31">
        <f>D38-D38*('K2 Försäljning'!E195*100/(100+'K2 Försäljning'!E195*100))</f>
        <v>0</v>
      </c>
      <c r="G39" s="18">
        <v>13</v>
      </c>
      <c r="H39" s="50">
        <f>'FS2 Försäljning '!C202*'FS2 Försäljning '!C203</f>
        <v>0</v>
      </c>
      <c r="I39" s="50">
        <f>'FS2 Försäljning '!D202*'FS2 Försäljning '!D203</f>
        <v>0</v>
      </c>
      <c r="J39" s="50">
        <f>'FS2 Försäljning '!E202*'FS2 Försäljning '!E203</f>
        <v>0</v>
      </c>
    </row>
    <row r="40" spans="1:10" x14ac:dyDescent="0.2">
      <c r="G40" s="18">
        <v>14</v>
      </c>
      <c r="H40" s="50">
        <f>'FS2 Försäljning '!C209*'FS2 Försäljning '!C210</f>
        <v>0</v>
      </c>
      <c r="I40" s="50">
        <f>'FS2 Försäljning '!D209*'FS2 Försäljning '!D210</f>
        <v>0</v>
      </c>
      <c r="J40" s="50">
        <f>'FS2 Försäljning '!E209*'FS2 Försäljning '!E210</f>
        <v>0</v>
      </c>
    </row>
    <row r="41" spans="1:10" x14ac:dyDescent="0.2">
      <c r="G41" s="18">
        <v>15</v>
      </c>
      <c r="H41" s="50">
        <f>'FS2 Försäljning '!C216*'FS2 Försäljning '!C217</f>
        <v>0</v>
      </c>
      <c r="I41" s="50">
        <f>'FS2 Försäljning '!D216*'FS2 Försäljning '!D217</f>
        <v>0</v>
      </c>
      <c r="J41" s="50">
        <f>'FS2 Försäljning '!E216*'FS2 Försäljning '!E217</f>
        <v>0</v>
      </c>
    </row>
    <row r="42" spans="1:10" x14ac:dyDescent="0.2">
      <c r="G42" s="18">
        <v>16</v>
      </c>
      <c r="H42" s="50">
        <f>'FS2 Försäljning '!C223*'FS2 Försäljning '!C224</f>
        <v>0</v>
      </c>
      <c r="I42" s="50">
        <f>'FS2 Försäljning '!D223*'FS2 Försäljning '!D224</f>
        <v>0</v>
      </c>
      <c r="J42" s="50">
        <f>'FS2 Försäljning '!E223*'FS2 Försäljning '!E224</f>
        <v>0</v>
      </c>
    </row>
    <row r="43" spans="1:10" ht="13.5" thickBot="1" x14ac:dyDescent="0.25">
      <c r="G43" s="18">
        <v>17</v>
      </c>
      <c r="H43" s="50">
        <f>'FS2 Försäljning '!C230*'FS2 Försäljning '!C231</f>
        <v>0</v>
      </c>
      <c r="I43" s="50">
        <f>'FS2 Försäljning '!D230*'FS2 Försäljning '!D231</f>
        <v>0</v>
      </c>
      <c r="J43" s="50">
        <f>'FS2 Försäljning '!E230*'FS2 Försäljning '!E231</f>
        <v>0</v>
      </c>
    </row>
    <row r="44" spans="1:10" ht="13.5" thickBot="1" x14ac:dyDescent="0.25">
      <c r="G44" s="111" t="s">
        <v>51</v>
      </c>
      <c r="H44" s="105">
        <f>SUM(H32:H43)+H31</f>
        <v>0</v>
      </c>
      <c r="I44" s="105">
        <f>SUM(I32:I43)+I31</f>
        <v>0</v>
      </c>
      <c r="J44" s="105">
        <f>SUM(J32:J43)+J31</f>
        <v>0</v>
      </c>
    </row>
    <row r="46" spans="1:10" x14ac:dyDescent="0.2">
      <c r="G46" s="18" t="s">
        <v>582</v>
      </c>
      <c r="H46" s="117">
        <f>IF('FS2 Försäljning '!C237=0,0,'4 AT  Myynnin alv'!H44/'FS2 Försäljning '!C237)</f>
        <v>0</v>
      </c>
      <c r="I46" s="117">
        <f>IF('FS2 Försäljning '!D237=0,0,'4 AT  Myynnin alv'!I44/'FS2 Försäljning '!D237)</f>
        <v>0</v>
      </c>
      <c r="J46" s="117">
        <f>IF('FS2 Försäljning '!E237=0,0,'4 AT  Myynnin alv'!J44/'FS2 Försäljning '!E237)</f>
        <v>0</v>
      </c>
    </row>
  </sheetData>
  <sheetProtection algorithmName="SHA-512" hashValue="K7BXiRrU6x7FWpihuGxeQflPAEChs8HGPTs+c2r8G/XQETxyM3YH+Ks7uUyDYCSg7hea+VzxZsguwPHVDxTDkw==" saltValue="LSKB7jUGIo/tCaSUhZXU6Q==" spinCount="100000" sheet="1" objects="1" scenarios="1" selectLockedCells="1" selectUnlockedCells="1"/>
  <phoneticPr fontId="32" type="noConversion"/>
  <pageMargins left="0.7" right="0.7" top="0.75" bottom="0.75" header="0.3" footer="0.3"/>
  <pageSetup paperSize="9" orientation="portrait" horizontalDpi="1200"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ul13"/>
  <dimension ref="A2:AL206"/>
  <sheetViews>
    <sheetView workbookViewId="0"/>
  </sheetViews>
  <sheetFormatPr defaultRowHeight="12.75" x14ac:dyDescent="0.2"/>
  <cols>
    <col min="1" max="1" width="18.85546875" customWidth="1"/>
    <col min="2" max="2" width="18.28515625" customWidth="1"/>
    <col min="3" max="3" width="10.5703125" customWidth="1"/>
    <col min="4" max="4" width="12.85546875" customWidth="1"/>
    <col min="5" max="5" width="11.140625" customWidth="1"/>
    <col min="6" max="6" width="16.7109375" customWidth="1"/>
    <col min="7" max="7" width="10.7109375" customWidth="1"/>
    <col min="8" max="8" width="10.28515625" customWidth="1"/>
    <col min="9" max="9" width="10.140625" customWidth="1"/>
    <col min="10" max="10" width="17.28515625" customWidth="1"/>
    <col min="11" max="11" width="13" customWidth="1"/>
    <col min="12" max="12" width="11.7109375" customWidth="1"/>
    <col min="13" max="23" width="11.140625" customWidth="1"/>
  </cols>
  <sheetData>
    <row r="2" spans="1:9" x14ac:dyDescent="0.2">
      <c r="B2" s="52"/>
      <c r="C2" s="52"/>
      <c r="D2" s="1940" t="s">
        <v>693</v>
      </c>
      <c r="E2" s="1940"/>
      <c r="F2" s="93">
        <f>F5+F9+F13+F17</f>
        <v>0</v>
      </c>
      <c r="G2" s="93">
        <f t="shared" ref="G2" si="0">G5+G9+G13+G17</f>
        <v>0</v>
      </c>
      <c r="H2" s="93">
        <f>H5+H9+H13+H17</f>
        <v>0</v>
      </c>
    </row>
    <row r="3" spans="1:9" x14ac:dyDescent="0.2">
      <c r="C3" s="1275" t="s">
        <v>686</v>
      </c>
      <c r="D3" s="57"/>
      <c r="E3" s="58"/>
      <c r="F3" s="56">
        <f>G47+G48</f>
        <v>0</v>
      </c>
      <c r="G3" s="56">
        <f>F3-F5</f>
        <v>0</v>
      </c>
      <c r="H3" s="56">
        <f>G3-G5</f>
        <v>0</v>
      </c>
    </row>
    <row r="4" spans="1:9" x14ac:dyDescent="0.2">
      <c r="C4" s="59" t="s">
        <v>17</v>
      </c>
      <c r="D4" s="57"/>
      <c r="E4" s="58"/>
      <c r="F4" s="65">
        <f>'FS3 Resultat'!F55</f>
        <v>7.0000000000000007E-2</v>
      </c>
      <c r="G4" s="65">
        <f>'FS3 Resultat'!H55</f>
        <v>7.0000000000000007E-2</v>
      </c>
      <c r="H4" s="65">
        <f>'FS3 Resultat'!K55</f>
        <v>7.0000000000000007E-2</v>
      </c>
    </row>
    <row r="5" spans="1:9" x14ac:dyDescent="0.2">
      <c r="C5" s="59" t="s">
        <v>22</v>
      </c>
      <c r="D5" s="57"/>
      <c r="E5" s="58"/>
      <c r="F5" s="56">
        <f>F3*F4</f>
        <v>0</v>
      </c>
      <c r="G5" s="56">
        <f>G3*G4</f>
        <v>0</v>
      </c>
      <c r="H5" s="56">
        <f>H3*H4</f>
        <v>0</v>
      </c>
    </row>
    <row r="6" spans="1:9" x14ac:dyDescent="0.2">
      <c r="C6" s="59" t="s">
        <v>20</v>
      </c>
      <c r="D6" s="57"/>
      <c r="E6" s="58"/>
      <c r="F6" s="56">
        <f>F3-F5</f>
        <v>0</v>
      </c>
      <c r="G6" s="56">
        <f>G3-G5</f>
        <v>0</v>
      </c>
      <c r="H6" s="56">
        <f>H3-H5</f>
        <v>0</v>
      </c>
    </row>
    <row r="7" spans="1:9" x14ac:dyDescent="0.2">
      <c r="C7" s="1275" t="s">
        <v>687</v>
      </c>
      <c r="D7" s="57"/>
      <c r="E7" s="58"/>
      <c r="F7" s="56">
        <f>IF(G59&lt;0,0,G59)</f>
        <v>0</v>
      </c>
      <c r="G7" s="56">
        <f>F7-F9</f>
        <v>0</v>
      </c>
      <c r="H7" s="56">
        <f>G7-G9</f>
        <v>0</v>
      </c>
    </row>
    <row r="8" spans="1:9" x14ac:dyDescent="0.2">
      <c r="C8" s="59" t="s">
        <v>18</v>
      </c>
      <c r="D8" s="57"/>
      <c r="E8" s="58"/>
      <c r="F8" s="65">
        <f>'FS3 Resultat'!F56</f>
        <v>0.2</v>
      </c>
      <c r="G8" s="65">
        <f>'FS3 Resultat'!H56</f>
        <v>0.2</v>
      </c>
      <c r="H8" s="65">
        <f>'FS3 Resultat'!K56</f>
        <v>0.2</v>
      </c>
    </row>
    <row r="9" spans="1:9" x14ac:dyDescent="0.2">
      <c r="C9" s="59" t="s">
        <v>23</v>
      </c>
      <c r="D9" s="57"/>
      <c r="E9" s="58"/>
      <c r="F9" s="56">
        <f>F7*F8</f>
        <v>0</v>
      </c>
      <c r="G9" s="56">
        <f>G7*G8</f>
        <v>0</v>
      </c>
      <c r="H9" s="56">
        <f>H7*H8</f>
        <v>0</v>
      </c>
    </row>
    <row r="10" spans="1:9" x14ac:dyDescent="0.2">
      <c r="C10" s="59" t="s">
        <v>21</v>
      </c>
      <c r="D10" s="57"/>
      <c r="E10" s="58"/>
      <c r="F10" s="56">
        <f>F7-F9</f>
        <v>0</v>
      </c>
      <c r="G10" s="56">
        <f>G7-G9</f>
        <v>0</v>
      </c>
      <c r="H10" s="56">
        <f>H7-H9</f>
        <v>0</v>
      </c>
    </row>
    <row r="11" spans="1:9" x14ac:dyDescent="0.2">
      <c r="A11" s="52"/>
      <c r="B11" s="60"/>
      <c r="C11" s="1275" t="s">
        <v>688</v>
      </c>
      <c r="D11" s="1276"/>
      <c r="E11" s="1277"/>
      <c r="F11" s="1278">
        <f>'FS3 Resultat'!E30/1.24</f>
        <v>0</v>
      </c>
      <c r="G11" s="1278">
        <f>F11-F13</f>
        <v>0</v>
      </c>
      <c r="H11" s="1278">
        <f>G11-G13</f>
        <v>0</v>
      </c>
      <c r="I11" s="64"/>
    </row>
    <row r="12" spans="1:9" x14ac:dyDescent="0.2">
      <c r="A12" s="52"/>
      <c r="B12" s="52"/>
      <c r="C12" s="1286" t="s">
        <v>689</v>
      </c>
      <c r="D12" s="1287"/>
      <c r="E12" s="1288"/>
      <c r="F12" s="1289">
        <f>'K3 Resultat'!F57</f>
        <v>0.2</v>
      </c>
      <c r="G12" s="1289">
        <f>'K3 Resultat'!H57</f>
        <v>0.2</v>
      </c>
      <c r="H12" s="1289">
        <f>'K3 Resultat'!K57</f>
        <v>0.2</v>
      </c>
      <c r="I12" s="52"/>
    </row>
    <row r="13" spans="1:9" x14ac:dyDescent="0.2">
      <c r="A13" s="52"/>
      <c r="B13" s="52"/>
      <c r="C13" s="59" t="s">
        <v>690</v>
      </c>
      <c r="D13" s="57"/>
      <c r="E13" s="58"/>
      <c r="F13" s="56">
        <f>F11*F12</f>
        <v>0</v>
      </c>
      <c r="G13" s="56">
        <f>G11*G12</f>
        <v>0</v>
      </c>
      <c r="H13" s="56">
        <f>H11*H12</f>
        <v>0</v>
      </c>
      <c r="I13" s="52"/>
    </row>
    <row r="14" spans="1:9" x14ac:dyDescent="0.2">
      <c r="A14" s="52"/>
      <c r="B14" s="52"/>
      <c r="C14" s="59" t="s">
        <v>691</v>
      </c>
      <c r="D14" s="57"/>
      <c r="E14" s="58"/>
      <c r="F14" s="56">
        <f>F11-F13</f>
        <v>0</v>
      </c>
      <c r="G14" s="56">
        <f>G11-G13</f>
        <v>0</v>
      </c>
      <c r="H14" s="56">
        <f>H11-H13</f>
        <v>0</v>
      </c>
      <c r="I14" s="52"/>
    </row>
    <row r="15" spans="1:9" x14ac:dyDescent="0.2">
      <c r="A15" s="52"/>
      <c r="B15" s="52"/>
      <c r="C15" s="61" t="s">
        <v>692</v>
      </c>
      <c r="D15" s="61"/>
      <c r="E15" s="61"/>
      <c r="F15" s="1278">
        <f>'FS3 Resultat'!E31</f>
        <v>0</v>
      </c>
      <c r="G15" s="1278">
        <f>F15-F17</f>
        <v>0</v>
      </c>
      <c r="H15" s="1278">
        <f>G15-G17</f>
        <v>0</v>
      </c>
      <c r="I15" s="52"/>
    </row>
    <row r="16" spans="1:9" x14ac:dyDescent="0.2">
      <c r="A16" s="52"/>
      <c r="B16" s="52"/>
      <c r="C16" s="1286" t="s">
        <v>689</v>
      </c>
      <c r="D16" s="1290"/>
      <c r="E16" s="1290"/>
      <c r="F16" s="1289">
        <f>'[1]Rahoitus K3'!F58</f>
        <v>0.2</v>
      </c>
      <c r="G16" s="1289">
        <f>'[1]Rahoitus K3'!H58</f>
        <v>0.2</v>
      </c>
      <c r="H16" s="1289">
        <f>'[1]Rahoitus K3'!K58</f>
        <v>0.2</v>
      </c>
      <c r="I16" s="52"/>
    </row>
    <row r="17" spans="1:23" x14ac:dyDescent="0.2">
      <c r="A17" s="52"/>
      <c r="B17" s="52"/>
      <c r="C17" s="59" t="s">
        <v>690</v>
      </c>
      <c r="D17" s="60"/>
      <c r="E17" s="60"/>
      <c r="F17" s="56">
        <f>F15*F16</f>
        <v>0</v>
      </c>
      <c r="G17" s="56">
        <f>G15*G16</f>
        <v>0</v>
      </c>
      <c r="H17" s="56">
        <f>H15*H16</f>
        <v>0</v>
      </c>
      <c r="I17" s="52"/>
    </row>
    <row r="18" spans="1:23" x14ac:dyDescent="0.2">
      <c r="A18" s="52"/>
      <c r="B18" s="52"/>
      <c r="C18" s="59" t="s">
        <v>691</v>
      </c>
      <c r="D18" s="60"/>
      <c r="E18" s="60"/>
      <c r="F18" s="1283">
        <f>F15-F17</f>
        <v>0</v>
      </c>
      <c r="G18" s="1283">
        <f>G15-G17</f>
        <v>0</v>
      </c>
      <c r="H18" s="1283">
        <f>H15-H17</f>
        <v>0</v>
      </c>
      <c r="I18" s="52"/>
    </row>
    <row r="19" spans="1:23" ht="15.75" x14ac:dyDescent="0.25">
      <c r="A19" s="52"/>
      <c r="B19" s="141" t="s">
        <v>75</v>
      </c>
      <c r="C19" s="59" t="s">
        <v>691</v>
      </c>
      <c r="F19" s="52"/>
      <c r="G19" s="1941" t="s">
        <v>32</v>
      </c>
      <c r="H19" s="1941"/>
      <c r="I19" s="1941"/>
      <c r="J19" s="124"/>
      <c r="K19" s="125" t="s">
        <v>67</v>
      </c>
      <c r="L19" s="126"/>
      <c r="M19" s="126"/>
      <c r="N19" s="126"/>
      <c r="O19" s="126"/>
      <c r="P19" s="127"/>
    </row>
    <row r="20" spans="1:23" x14ac:dyDescent="0.2">
      <c r="C20" s="91"/>
      <c r="D20" s="91"/>
      <c r="E20" s="91"/>
      <c r="F20" s="52" t="s">
        <v>29</v>
      </c>
      <c r="G20" s="91" t="s">
        <v>1</v>
      </c>
      <c r="H20" s="91" t="s">
        <v>33</v>
      </c>
      <c r="I20" s="91" t="s">
        <v>14</v>
      </c>
      <c r="J20" s="128"/>
      <c r="K20" s="91" t="s">
        <v>68</v>
      </c>
      <c r="L20" s="129">
        <f>'FS3 Resultat'!H22/12</f>
        <v>0</v>
      </c>
      <c r="P20" s="130"/>
    </row>
    <row r="21" spans="1:23" x14ac:dyDescent="0.2">
      <c r="C21" s="90"/>
      <c r="D21" s="90"/>
      <c r="E21" s="90"/>
      <c r="F21" s="52" t="s">
        <v>28</v>
      </c>
      <c r="G21" s="92">
        <f>IF('FS3 Resultat'!$I18=2,'FS3 Resultat'!$K18*'FS3 Resultat'!$H18,IF('FS3 Resultat'!$I18=1,'FS3 Resultat'!$K18*'FS3 Resultat'!$H18,('5 YP Lainat ja avustukset'!$B29-0.5*'5 YP Lainat ja avustukset'!$E29)*'FS3 Resultat'!$H18))</f>
        <v>0</v>
      </c>
      <c r="H21" s="92">
        <f>IF('FS3 Resultat'!$I18=2,'FS3 Resultat'!$K18*'FS3 Resultat'!$H18,IF('FS3 Resultat'!$I18=1,('FS3 Resultat'!$K18-0.5*D29)*'FS3 Resultat'!$H18,('5 YP Lainat ja avustukset'!$B29-1.5*'5 YP Lainat ja avustukset'!$E29)*'FS3 Resultat'!$H18))</f>
        <v>0</v>
      </c>
      <c r="I21" s="92">
        <f>IF('FS3 Resultat'!$I18=2,('FS3 Resultat'!$K18-0.5*D29)*'FS3 Resultat'!$H18,IF('FS3 Resultat'!$I18=1,('FS3 Resultat'!$K18-1.5*C29)*'FS3 Resultat'!$H18,('5 YP Lainat ja avustukset'!$B29-2.5*'5 YP Lainat ja avustukset'!$E29)*'FS3 Resultat'!$H18))</f>
        <v>0</v>
      </c>
      <c r="J21" s="128"/>
      <c r="K21" s="1" t="s">
        <v>69</v>
      </c>
      <c r="L21">
        <f>'FS3 Resultat'!I22*12</f>
        <v>0</v>
      </c>
      <c r="P21" s="130"/>
    </row>
    <row r="22" spans="1:23" x14ac:dyDescent="0.2">
      <c r="C22" s="90"/>
      <c r="D22" s="90"/>
      <c r="E22" s="90"/>
      <c r="F22" s="52" t="s">
        <v>30</v>
      </c>
      <c r="G22" s="92">
        <f>IF('FS3 Resultat'!$I19=2,'FS3 Resultat'!$K19*'FS3 Resultat'!$H19,IF('FS3 Resultat'!$I19=1,'FS3 Resultat'!$K19*'FS3 Resultat'!$H19,('5 YP Lainat ja avustukset'!$B30-0.5*'5 YP Lainat ja avustukset'!$E30)*'FS3 Resultat'!$H19))</f>
        <v>0</v>
      </c>
      <c r="H22" s="92">
        <f>IF('FS3 Resultat'!$I19=2,'FS3 Resultat'!$K19*'FS3 Resultat'!$H19,IF('FS3 Resultat'!$I19=1,('FS3 Resultat'!$K19-0.5*D30)*'FS3 Resultat'!$H19,('5 YP Lainat ja avustukset'!$B30-1.5*'5 YP Lainat ja avustukset'!$E30)*'FS3 Resultat'!$H19))</f>
        <v>0</v>
      </c>
      <c r="I22" s="92">
        <f>IF('FS3 Resultat'!$I19=2,('FS3 Resultat'!$K19-0.5*D30)*'FS3 Resultat'!$H19,IF('FS3 Resultat'!$I19=1,('FS3 Resultat'!$K19-1.5*C30)*'FS3 Resultat'!$H19,('5 YP Lainat ja avustukset'!$B30-2.5*'5 YP Lainat ja avustukset'!$E30)*'FS3 Resultat'!$H19))</f>
        <v>0</v>
      </c>
      <c r="J22" s="128"/>
      <c r="K22" s="1" t="s">
        <v>27</v>
      </c>
      <c r="L22" s="50">
        <f>'FS3 Resultat'!K22</f>
        <v>0</v>
      </c>
      <c r="P22" s="130"/>
    </row>
    <row r="23" spans="1:23" x14ac:dyDescent="0.2">
      <c r="C23" s="90"/>
      <c r="D23" s="90"/>
      <c r="E23" s="90"/>
      <c r="F23" s="52" t="s">
        <v>31</v>
      </c>
      <c r="G23" s="92">
        <f>IF('FS3 Resultat'!$I20=2,'FS3 Resultat'!$K20*'FS3 Resultat'!$H20,IF('FS3 Resultat'!$I20=1,'FS3 Resultat'!$K20*'FS3 Resultat'!$H20,('5 YP Lainat ja avustukset'!$B31-0.5*'5 YP Lainat ja avustukset'!$E31)*'FS3 Resultat'!$H20))</f>
        <v>0</v>
      </c>
      <c r="H23" s="92">
        <f>IF('FS3 Resultat'!$I20=2,'FS3 Resultat'!$K20*'FS3 Resultat'!$H20,IF('FS3 Resultat'!$I20=1,('FS3 Resultat'!$K20-0.5*D31)*'FS3 Resultat'!$H20,('5 YP Lainat ja avustukset'!$B31-1.5*'5 YP Lainat ja avustukset'!$E31)*'FS3 Resultat'!$H20))</f>
        <v>0</v>
      </c>
      <c r="I23" s="92">
        <f>IF('FS3 Resultat'!$I20=2,('FS3 Resultat'!$K20-0.5*D31)*'FS3 Resultat'!$H20,IF('FS3 Resultat'!$I20=1,('FS3 Resultat'!$K20-1.5*C31)*'FS3 Resultat'!$H20,('5 YP Lainat ja avustukset'!$B31-2.5*'5 YP Lainat ja avustukset'!$E31)*'FS3 Resultat'!$H20))</f>
        <v>0</v>
      </c>
      <c r="J23" s="128"/>
      <c r="K23" s="1" t="s">
        <v>70</v>
      </c>
      <c r="L23" s="131">
        <f>IF(L20=0,0,-PMT(L20,L21,L22)*12)</f>
        <v>0</v>
      </c>
      <c r="P23" s="130"/>
    </row>
    <row r="24" spans="1:23" x14ac:dyDescent="0.2">
      <c r="C24" s="7"/>
      <c r="D24" s="7"/>
      <c r="E24" s="7"/>
      <c r="F24" s="66"/>
      <c r="G24" s="92"/>
      <c r="H24" s="92"/>
      <c r="I24" s="92"/>
      <c r="J24" s="128"/>
      <c r="K24" s="286" t="s">
        <v>213</v>
      </c>
      <c r="L24" s="131">
        <f>L23/4</f>
        <v>0</v>
      </c>
      <c r="P24" s="130"/>
    </row>
    <row r="25" spans="1:23" x14ac:dyDescent="0.2">
      <c r="C25" s="7"/>
      <c r="D25" s="7"/>
      <c r="E25" s="7"/>
      <c r="F25" s="52" t="s">
        <v>19</v>
      </c>
      <c r="G25" s="92">
        <f>SUM(G21:G24)</f>
        <v>0</v>
      </c>
      <c r="H25" s="92">
        <f>SUM(H21:H24)</f>
        <v>0</v>
      </c>
      <c r="I25" s="92">
        <f>SUM(I21:I24)</f>
        <v>0</v>
      </c>
      <c r="J25" s="128"/>
      <c r="K25" s="506" t="s">
        <v>194</v>
      </c>
      <c r="L25" s="506" t="s">
        <v>200</v>
      </c>
      <c r="M25" s="506" t="s">
        <v>201</v>
      </c>
      <c r="N25" s="506" t="s">
        <v>202</v>
      </c>
      <c r="O25" s="506" t="s">
        <v>203</v>
      </c>
      <c r="P25" s="516" t="s">
        <v>204</v>
      </c>
      <c r="Q25" s="506" t="s">
        <v>205</v>
      </c>
      <c r="R25" s="506" t="s">
        <v>206</v>
      </c>
      <c r="S25" s="506" t="s">
        <v>207</v>
      </c>
      <c r="T25" s="506" t="s">
        <v>208</v>
      </c>
      <c r="U25" s="506" t="s">
        <v>209</v>
      </c>
      <c r="V25" s="506" t="s">
        <v>210</v>
      </c>
      <c r="W25" s="506" t="s">
        <v>211</v>
      </c>
    </row>
    <row r="26" spans="1:23" x14ac:dyDescent="0.2">
      <c r="A26" s="52"/>
      <c r="B26" s="52"/>
      <c r="C26" s="52"/>
      <c r="D26" s="52"/>
      <c r="E26" s="52"/>
      <c r="F26" s="52"/>
      <c r="G26" s="52"/>
      <c r="H26" s="52"/>
      <c r="I26" s="52"/>
      <c r="J26" s="132" t="s">
        <v>71</v>
      </c>
      <c r="K26" s="95">
        <v>3</v>
      </c>
      <c r="L26" s="95">
        <v>8</v>
      </c>
      <c r="M26" s="95">
        <v>11</v>
      </c>
      <c r="N26" s="95">
        <v>14</v>
      </c>
      <c r="O26" s="95">
        <v>17</v>
      </c>
      <c r="P26" s="95">
        <v>20</v>
      </c>
      <c r="Q26" s="95">
        <v>23</v>
      </c>
      <c r="R26" s="95">
        <v>26</v>
      </c>
      <c r="S26" s="95">
        <v>29</v>
      </c>
      <c r="T26" s="95">
        <v>32</v>
      </c>
      <c r="U26" s="95">
        <v>35</v>
      </c>
      <c r="V26" s="95">
        <v>38</v>
      </c>
      <c r="W26" s="95">
        <v>41</v>
      </c>
    </row>
    <row r="27" spans="1:23" x14ac:dyDescent="0.2">
      <c r="C27" s="1942" t="s">
        <v>37</v>
      </c>
      <c r="D27" s="1942"/>
      <c r="E27" s="1942"/>
      <c r="G27" s="1942" t="s">
        <v>38</v>
      </c>
      <c r="H27" s="1942"/>
      <c r="I27" s="1942"/>
      <c r="J27" s="515" t="s">
        <v>193</v>
      </c>
      <c r="K27" s="131">
        <f>IF(K26&gt;$L21,0,-IPMT($L20,K26,$L21,$L22))</f>
        <v>0</v>
      </c>
      <c r="L27" s="131">
        <f>IF(L26&gt;$L21,0,-IPMT($L20,L26,$L21,$L22))</f>
        <v>0</v>
      </c>
      <c r="M27" s="131">
        <f t="shared" ref="M27:P27" si="1">IF(M26&gt;$L21,0,-IPMT($L20,M26,$L21,$L22))</f>
        <v>0</v>
      </c>
      <c r="N27" s="131">
        <f t="shared" si="1"/>
        <v>0</v>
      </c>
      <c r="O27" s="131">
        <f t="shared" si="1"/>
        <v>0</v>
      </c>
      <c r="P27" s="131">
        <f t="shared" si="1"/>
        <v>0</v>
      </c>
      <c r="Q27" s="131">
        <f t="shared" ref="Q27:W27" si="2">IF(Q26&gt;$L21,0,-IPMT($L20,Q26,$L21,$L22))</f>
        <v>0</v>
      </c>
      <c r="R27" s="131">
        <f t="shared" si="2"/>
        <v>0</v>
      </c>
      <c r="S27" s="131">
        <f t="shared" si="2"/>
        <v>0</v>
      </c>
      <c r="T27" s="131">
        <f t="shared" si="2"/>
        <v>0</v>
      </c>
      <c r="U27" s="131">
        <f t="shared" si="2"/>
        <v>0</v>
      </c>
      <c r="V27" s="131">
        <f t="shared" si="2"/>
        <v>0</v>
      </c>
      <c r="W27" s="131">
        <f t="shared" si="2"/>
        <v>0</v>
      </c>
    </row>
    <row r="28" spans="1:23" x14ac:dyDescent="0.2">
      <c r="A28" s="52" t="s">
        <v>29</v>
      </c>
      <c r="B28" s="1" t="s">
        <v>27</v>
      </c>
      <c r="C28" s="91" t="s">
        <v>34</v>
      </c>
      <c r="D28" s="91" t="s">
        <v>35</v>
      </c>
      <c r="E28" s="91" t="s">
        <v>36</v>
      </c>
      <c r="F28" s="52" t="s">
        <v>29</v>
      </c>
      <c r="G28" s="91" t="s">
        <v>1</v>
      </c>
      <c r="H28" s="91" t="s">
        <v>33</v>
      </c>
      <c r="I28" s="91" t="s">
        <v>14</v>
      </c>
      <c r="J28" s="515" t="s">
        <v>212</v>
      </c>
      <c r="K28" s="131">
        <f>6*K27</f>
        <v>0</v>
      </c>
      <c r="L28" s="131">
        <f>3*L27</f>
        <v>0</v>
      </c>
      <c r="M28" s="131">
        <f t="shared" ref="M28:W28" si="3">3*M27</f>
        <v>0</v>
      </c>
      <c r="N28" s="131">
        <f t="shared" si="3"/>
        <v>0</v>
      </c>
      <c r="O28" s="131">
        <f t="shared" si="3"/>
        <v>0</v>
      </c>
      <c r="P28" s="131">
        <f t="shared" si="3"/>
        <v>0</v>
      </c>
      <c r="Q28" s="131">
        <f t="shared" si="3"/>
        <v>0</v>
      </c>
      <c r="R28" s="131">
        <f t="shared" si="3"/>
        <v>0</v>
      </c>
      <c r="S28" s="131">
        <f t="shared" si="3"/>
        <v>0</v>
      </c>
      <c r="T28" s="131">
        <f t="shared" si="3"/>
        <v>0</v>
      </c>
      <c r="U28" s="131">
        <f t="shared" si="3"/>
        <v>0</v>
      </c>
      <c r="V28" s="131">
        <f t="shared" si="3"/>
        <v>0</v>
      </c>
      <c r="W28" s="131">
        <f t="shared" si="3"/>
        <v>0</v>
      </c>
    </row>
    <row r="29" spans="1:23" x14ac:dyDescent="0.2">
      <c r="A29" s="52" t="s">
        <v>28</v>
      </c>
      <c r="B29" s="50">
        <f>'FS3 Resultat'!K18</f>
        <v>0</v>
      </c>
      <c r="C29" s="7">
        <f>IF('FS3 Resultat'!$J18=0,0,$B29/('FS3 Resultat'!$J18-1))</f>
        <v>0</v>
      </c>
      <c r="D29" s="7">
        <f>IF('FS3 Resultat'!$J18=0,0,$B29/('FS3 Resultat'!$J18-2))</f>
        <v>0</v>
      </c>
      <c r="E29" s="7">
        <f>IF('FS3 Resultat'!$J18=0,0,$B29/'FS3 Resultat'!$J18)</f>
        <v>0</v>
      </c>
      <c r="F29" s="52" t="s">
        <v>28</v>
      </c>
      <c r="G29" s="90">
        <f>IF('FS3 Resultat'!$I18=2,'5 YP Lainat ja avustukset'!G21,IF('FS3 Resultat'!$I18=1,'5 YP Lainat ja avustukset'!$G21,'5 YP Lainat ja avustukset'!$E29+$G21))</f>
        <v>0</v>
      </c>
      <c r="H29" s="90">
        <f>IF('FS3 Resultat'!$I18=2,'5 YP Lainat ja avustukset'!H21,IF('FS3 Resultat'!$I18=1,H21+C29,'5 YP Lainat ja avustukset'!$E29+H21))</f>
        <v>0</v>
      </c>
      <c r="I29" s="90">
        <f>IF('FS3 Resultat'!$I18=2,'5 YP Lainat ja avustukset'!I21+D29,IF('FS3 Resultat'!$I18=1,I21+C29,'5 YP Lainat ja avustukset'!$E29+I21))</f>
        <v>0</v>
      </c>
      <c r="J29" s="582" t="s">
        <v>218</v>
      </c>
      <c r="K29" s="131">
        <f>2*$L24-K28</f>
        <v>0</v>
      </c>
      <c r="L29" s="131">
        <f>$L24-L28</f>
        <v>0</v>
      </c>
      <c r="M29" s="131">
        <f t="shared" ref="M29:W29" si="4">$L24-M28</f>
        <v>0</v>
      </c>
      <c r="N29" s="131">
        <f t="shared" si="4"/>
        <v>0</v>
      </c>
      <c r="O29" s="131">
        <f t="shared" si="4"/>
        <v>0</v>
      </c>
      <c r="P29" s="131">
        <f t="shared" si="4"/>
        <v>0</v>
      </c>
      <c r="Q29" s="131">
        <f t="shared" si="4"/>
        <v>0</v>
      </c>
      <c r="R29" s="131">
        <f t="shared" si="4"/>
        <v>0</v>
      </c>
      <c r="S29" s="131">
        <f t="shared" si="4"/>
        <v>0</v>
      </c>
      <c r="T29" s="131">
        <f t="shared" si="4"/>
        <v>0</v>
      </c>
      <c r="U29" s="131">
        <f t="shared" si="4"/>
        <v>0</v>
      </c>
      <c r="V29" s="131">
        <f t="shared" si="4"/>
        <v>0</v>
      </c>
      <c r="W29" s="131">
        <f t="shared" si="4"/>
        <v>0</v>
      </c>
    </row>
    <row r="30" spans="1:23" x14ac:dyDescent="0.2">
      <c r="A30" s="52" t="s">
        <v>30</v>
      </c>
      <c r="B30" s="50">
        <f>'FS3 Resultat'!K19</f>
        <v>0</v>
      </c>
      <c r="C30" s="7">
        <f>IF('FS3 Resultat'!$J19=0,0,$B30/('FS3 Resultat'!$J19-1))</f>
        <v>0</v>
      </c>
      <c r="D30" s="7">
        <f>IF('FS3 Resultat'!$J19=0,0,$B30/('FS3 Resultat'!$J19-2))</f>
        <v>0</v>
      </c>
      <c r="E30" s="7">
        <f>IF('FS3 Resultat'!$J19=0,0,$B30/'FS3 Resultat'!$J19)</f>
        <v>0</v>
      </c>
      <c r="F30" s="52" t="s">
        <v>30</v>
      </c>
      <c r="G30" s="90">
        <f>IF('FS3 Resultat'!$I19=2,'5 YP Lainat ja avustukset'!G22,IF('FS3 Resultat'!$I19=1,'5 YP Lainat ja avustukset'!$G22,'5 YP Lainat ja avustukset'!$E30+$G22))</f>
        <v>0</v>
      </c>
      <c r="H30" s="90">
        <f>IF('FS3 Resultat'!$I19=2,'5 YP Lainat ja avustukset'!H22,IF('FS3 Resultat'!$I19=1,H22+C30,'5 YP Lainat ja avustukset'!$E30+H22))</f>
        <v>0</v>
      </c>
      <c r="I30" s="90">
        <f>IF('FS3 Resultat'!$I19=2,'5 YP Lainat ja avustukset'!I22+D30,IF('FS3 Resultat'!$I19=1,I22+C30,'5 YP Lainat ja avustukset'!$E30+I22))</f>
        <v>0</v>
      </c>
      <c r="J30" s="128"/>
      <c r="P30" s="130"/>
    </row>
    <row r="31" spans="1:23" x14ac:dyDescent="0.2">
      <c r="A31" s="52" t="s">
        <v>31</v>
      </c>
      <c r="B31" s="50">
        <f>'FS3 Resultat'!K20</f>
        <v>0</v>
      </c>
      <c r="C31" s="7">
        <f>IF('FS3 Resultat'!$J20=0,0,$B31/('FS3 Resultat'!$J20-1))</f>
        <v>0</v>
      </c>
      <c r="D31" s="7">
        <f>IF('FS3 Resultat'!$J20=0,0,$B31/('FS3 Resultat'!$J20-2))</f>
        <v>0</v>
      </c>
      <c r="E31" s="7">
        <f>IF('FS3 Resultat'!$J20=0,0,$B31/'FS3 Resultat'!$J20)</f>
        <v>0</v>
      </c>
      <c r="F31" s="52" t="s">
        <v>31</v>
      </c>
      <c r="G31" s="90">
        <f>IF('FS3 Resultat'!$I20=2,'5 YP Lainat ja avustukset'!G23,IF('FS3 Resultat'!$I20=1,'5 YP Lainat ja avustukset'!$G23,'5 YP Lainat ja avustukset'!$E31+$G23))</f>
        <v>0</v>
      </c>
      <c r="H31" s="90">
        <f>IF('FS3 Resultat'!$I20=2,'5 YP Lainat ja avustukset'!H23,IF('FS3 Resultat'!$I20=1,H23+C31,'5 YP Lainat ja avustukset'!$E31+H23))</f>
        <v>0</v>
      </c>
      <c r="I31" s="90">
        <f>IF('FS3 Resultat'!$I20=2,'5 YP Lainat ja avustukset'!I23+D31,IF('FS3 Resultat'!$I20=1,I23+C31,'5 YP Lainat ja avustukset'!$E31+I23))</f>
        <v>0</v>
      </c>
      <c r="J31" s="128"/>
      <c r="P31" s="130"/>
    </row>
    <row r="32" spans="1:23" x14ac:dyDescent="0.2">
      <c r="A32" s="66"/>
      <c r="B32" s="50"/>
      <c r="C32" s="7"/>
      <c r="D32" s="7"/>
      <c r="E32" s="7"/>
      <c r="F32" s="66"/>
      <c r="G32" s="90"/>
      <c r="H32" s="90"/>
      <c r="I32" s="90"/>
      <c r="J32" s="128"/>
      <c r="P32" s="130"/>
    </row>
    <row r="33" spans="1:16" x14ac:dyDescent="0.2">
      <c r="A33" s="52" t="s">
        <v>19</v>
      </c>
      <c r="B33" s="93">
        <f>SUM(B29:B32)</f>
        <v>0</v>
      </c>
      <c r="C33" s="7">
        <f>SUM(C29:C32)</f>
        <v>0</v>
      </c>
      <c r="D33" s="7">
        <f>SUM(D29:D32)</f>
        <v>0</v>
      </c>
      <c r="E33" s="7">
        <f>SUM(E29:E32)</f>
        <v>0</v>
      </c>
      <c r="F33" s="52" t="s">
        <v>19</v>
      </c>
      <c r="G33" s="7">
        <f>SUM(G29:G32)</f>
        <v>0</v>
      </c>
      <c r="H33" s="7">
        <f>SUM(H29:H32)</f>
        <v>0</v>
      </c>
      <c r="I33" s="7">
        <f>SUM(I29:I32)</f>
        <v>0</v>
      </c>
      <c r="J33" s="128"/>
      <c r="P33" s="130"/>
    </row>
    <row r="34" spans="1:16" x14ac:dyDescent="0.2">
      <c r="J34" s="133"/>
      <c r="K34" s="134"/>
      <c r="L34" s="134"/>
      <c r="M34" s="134"/>
      <c r="N34" s="134"/>
      <c r="O34" s="134"/>
      <c r="P34" s="135"/>
    </row>
    <row r="37" spans="1:16" x14ac:dyDescent="0.2">
      <c r="G37" s="6" t="s">
        <v>39</v>
      </c>
      <c r="H37" s="52"/>
      <c r="I37" s="52"/>
    </row>
    <row r="38" spans="1:16" x14ac:dyDescent="0.2">
      <c r="F38" s="66" t="s">
        <v>0</v>
      </c>
      <c r="G38" s="91" t="s">
        <v>1</v>
      </c>
      <c r="H38" s="91" t="s">
        <v>33</v>
      </c>
      <c r="I38" s="91" t="s">
        <v>14</v>
      </c>
    </row>
    <row r="39" spans="1:16" x14ac:dyDescent="0.2">
      <c r="F39" s="52" t="s">
        <v>28</v>
      </c>
      <c r="G39" s="50">
        <f>IF('FS3 Resultat'!$I18=2,'5 YP Lainat ja avustukset'!$B29,IF('FS3 Resultat'!$I18=1,'5 YP Lainat ja avustukset'!$B29,'5 YP Lainat ja avustukset'!$B29-'5 YP Lainat ja avustukset'!$E29))</f>
        <v>0</v>
      </c>
      <c r="H39" s="50">
        <f>IF('FS3 Resultat'!$I18=2,'5 YP Lainat ja avustukset'!$B29,IF('FS3 Resultat'!$I18=1,'5 YP Lainat ja avustukset'!$B29-$C29,'5 YP Lainat ja avustukset'!$B29-2*'5 YP Lainat ja avustukset'!$E29))</f>
        <v>0</v>
      </c>
      <c r="I39" s="50">
        <f>IF('FS3 Resultat'!$I18=2,'5 YP Lainat ja avustukset'!$B29-D29,IF('FS3 Resultat'!$I18=1,'5 YP Lainat ja avustukset'!$B29-2*$C29,'5 YP Lainat ja avustukset'!$B29-3*'5 YP Lainat ja avustukset'!$E29))</f>
        <v>0</v>
      </c>
    </row>
    <row r="40" spans="1:16" x14ac:dyDescent="0.2">
      <c r="F40" s="52" t="s">
        <v>30</v>
      </c>
      <c r="G40" s="50">
        <f>IF('FS3 Resultat'!$I19=2,'5 YP Lainat ja avustukset'!$B30,IF('FS3 Resultat'!$I19=1,'5 YP Lainat ja avustukset'!$B30,'5 YP Lainat ja avustukset'!$B30-'5 YP Lainat ja avustukset'!$E30))</f>
        <v>0</v>
      </c>
      <c r="H40" s="50">
        <f>IF('FS3 Resultat'!$I19=2,'5 YP Lainat ja avustukset'!$B30,IF('FS3 Resultat'!$I19=1,'5 YP Lainat ja avustukset'!$B30-$C30,'5 YP Lainat ja avustukset'!$B30-2*'5 YP Lainat ja avustukset'!$E30))</f>
        <v>0</v>
      </c>
      <c r="I40" s="50">
        <f>IF('FS3 Resultat'!$I19=2,'5 YP Lainat ja avustukset'!$B30-D30,IF('FS3 Resultat'!$I19=1,'5 YP Lainat ja avustukset'!$B30-2*$C30,'5 YP Lainat ja avustukset'!$B30-3*'5 YP Lainat ja avustukset'!$E30))</f>
        <v>0</v>
      </c>
    </row>
    <row r="41" spans="1:16" x14ac:dyDescent="0.2">
      <c r="F41" s="52" t="s">
        <v>31</v>
      </c>
      <c r="G41" s="50">
        <f>IF('FS3 Resultat'!$I20=2,'5 YP Lainat ja avustukset'!$B31,IF('FS3 Resultat'!$I20=1,'5 YP Lainat ja avustukset'!$B31,'5 YP Lainat ja avustukset'!$B31-'5 YP Lainat ja avustukset'!$E31))</f>
        <v>0</v>
      </c>
      <c r="H41" s="50">
        <f>IF('FS3 Resultat'!$I20=2,'5 YP Lainat ja avustukset'!$B31,IF('FS3 Resultat'!$I20=1,'5 YP Lainat ja avustukset'!$B31-$C31,'5 YP Lainat ja avustukset'!$B31-2*'5 YP Lainat ja avustukset'!$E31))</f>
        <v>0</v>
      </c>
      <c r="I41" s="50">
        <f>IF('FS3 Resultat'!$I20=2,'5 YP Lainat ja avustukset'!$B31-D31,IF('FS3 Resultat'!$I20=1,'5 YP Lainat ja avustukset'!$B31-2*$C31,'5 YP Lainat ja avustukset'!$B31-3*'5 YP Lainat ja avustukset'!$E31))</f>
        <v>0</v>
      </c>
    </row>
    <row r="42" spans="1:16" x14ac:dyDescent="0.2">
      <c r="F42" s="66"/>
      <c r="G42" s="50"/>
      <c r="H42" s="50"/>
      <c r="I42" s="50"/>
    </row>
    <row r="43" spans="1:16" ht="13.5" thickBot="1" x14ac:dyDescent="0.25">
      <c r="F43" s="52" t="s">
        <v>19</v>
      </c>
      <c r="G43" s="50">
        <f>SUM(G39:G42)</f>
        <v>0</v>
      </c>
      <c r="H43" s="50">
        <f>SUM(H39:H42)</f>
        <v>0</v>
      </c>
      <c r="I43" s="50">
        <f>SUM(I39:I42)</f>
        <v>0</v>
      </c>
    </row>
    <row r="44" spans="1:16" ht="15.75" x14ac:dyDescent="0.25">
      <c r="B44" s="136" t="s">
        <v>72</v>
      </c>
      <c r="F44" s="234"/>
      <c r="G44" s="159"/>
      <c r="H44" s="159"/>
      <c r="I44" s="159"/>
      <c r="J44" s="151"/>
    </row>
    <row r="45" spans="1:16" ht="15.75" x14ac:dyDescent="0.25">
      <c r="B45" s="2" t="s">
        <v>64</v>
      </c>
      <c r="C45" s="95" t="s">
        <v>40</v>
      </c>
      <c r="D45" s="122" t="s">
        <v>27</v>
      </c>
      <c r="E45" s="1" t="s">
        <v>54</v>
      </c>
      <c r="F45" s="235"/>
      <c r="G45" s="142" t="s">
        <v>74</v>
      </c>
      <c r="H45" s="50"/>
      <c r="I45" s="50"/>
      <c r="J45" s="152"/>
    </row>
    <row r="46" spans="1:16" x14ac:dyDescent="0.2">
      <c r="B46" s="233" t="s">
        <v>24</v>
      </c>
      <c r="C46" s="243">
        <f>'FS3 Resultat'!D17</f>
        <v>0</v>
      </c>
      <c r="D46" s="221">
        <f>'FS3 Resultat'!E17</f>
        <v>0</v>
      </c>
      <c r="E46" s="220">
        <f>C46*D46</f>
        <v>0</v>
      </c>
      <c r="F46" s="233" t="s">
        <v>24</v>
      </c>
      <c r="G46" s="93">
        <f>D46-E46</f>
        <v>0</v>
      </c>
      <c r="H46" s="50"/>
      <c r="I46" s="50"/>
      <c r="J46" s="152"/>
    </row>
    <row r="47" spans="1:16" x14ac:dyDescent="0.2">
      <c r="B47" s="233" t="s">
        <v>25</v>
      </c>
      <c r="C47" s="243">
        <f>'FS3 Resultat'!D18</f>
        <v>0</v>
      </c>
      <c r="D47" s="221">
        <f>'FS3 Resultat'!E18</f>
        <v>0</v>
      </c>
      <c r="E47" s="220">
        <f>C47*D47</f>
        <v>0</v>
      </c>
      <c r="F47" s="233" t="s">
        <v>25</v>
      </c>
      <c r="G47" s="93">
        <f>D47-E47</f>
        <v>0</v>
      </c>
      <c r="H47" s="50"/>
      <c r="I47" s="50"/>
      <c r="J47" s="152"/>
    </row>
    <row r="48" spans="1:16" x14ac:dyDescent="0.2">
      <c r="B48" s="233" t="s">
        <v>63</v>
      </c>
      <c r="C48" s="243">
        <f>'FS3 Resultat'!D19</f>
        <v>0</v>
      </c>
      <c r="D48" s="221">
        <f>'FS3 Resultat'!E19</f>
        <v>0</v>
      </c>
      <c r="E48" s="244">
        <f>C48*D48/1.255</f>
        <v>0</v>
      </c>
      <c r="F48" s="233" t="s">
        <v>63</v>
      </c>
      <c r="G48" s="147">
        <f>D48/1.255-E48</f>
        <v>0</v>
      </c>
      <c r="H48" s="50"/>
      <c r="I48" s="50"/>
      <c r="J48" s="152"/>
    </row>
    <row r="49" spans="2:12" x14ac:dyDescent="0.2">
      <c r="B49" s="2"/>
      <c r="C49" s="2"/>
      <c r="D49" s="2" t="s">
        <v>19</v>
      </c>
      <c r="E49" s="121">
        <f>SUM(E46:E48)</f>
        <v>0</v>
      </c>
      <c r="F49" s="236"/>
      <c r="J49" s="152"/>
    </row>
    <row r="50" spans="2:12" x14ac:dyDescent="0.2">
      <c r="B50" t="s">
        <v>52</v>
      </c>
      <c r="C50" s="95" t="s">
        <v>40</v>
      </c>
      <c r="D50" s="95" t="s">
        <v>53</v>
      </c>
      <c r="E50" s="95" t="s">
        <v>54</v>
      </c>
      <c r="F50" s="235" t="s">
        <v>52</v>
      </c>
      <c r="G50" s="66" t="s">
        <v>74</v>
      </c>
      <c r="J50" s="152"/>
    </row>
    <row r="51" spans="2:12" x14ac:dyDescent="0.2">
      <c r="B51" s="220">
        <v>1</v>
      </c>
      <c r="C51" s="245">
        <f>'FS3 Resultat'!D21</f>
        <v>0</v>
      </c>
      <c r="D51" s="246">
        <f>'FS3 Resultat'!E21/1.255</f>
        <v>0</v>
      </c>
      <c r="E51" s="247">
        <f>C51*D51</f>
        <v>0</v>
      </c>
      <c r="F51">
        <v>1</v>
      </c>
      <c r="G51" s="93">
        <f>D51-E51</f>
        <v>0</v>
      </c>
      <c r="J51" s="152"/>
    </row>
    <row r="52" spans="2:12" x14ac:dyDescent="0.2">
      <c r="B52" s="220">
        <v>2</v>
      </c>
      <c r="C52" s="245">
        <f>'FS3 Resultat'!D22</f>
        <v>0</v>
      </c>
      <c r="D52" s="246">
        <f>'FS3 Resultat'!E22/1.255</f>
        <v>0</v>
      </c>
      <c r="E52" s="247">
        <f>C52*D52</f>
        <v>0</v>
      </c>
      <c r="F52">
        <v>2</v>
      </c>
      <c r="G52" s="93">
        <f>D52-E52</f>
        <v>0</v>
      </c>
      <c r="J52" s="152"/>
    </row>
    <row r="53" spans="2:12" x14ac:dyDescent="0.2">
      <c r="B53" s="220">
        <v>3</v>
      </c>
      <c r="C53" s="245">
        <f>'FS3 Resultat'!D23</f>
        <v>0</v>
      </c>
      <c r="D53" s="246">
        <f>'FS3 Resultat'!E23/1.255</f>
        <v>0</v>
      </c>
      <c r="E53" s="247">
        <f>C53*D53</f>
        <v>0</v>
      </c>
      <c r="F53">
        <v>3</v>
      </c>
      <c r="G53" s="93">
        <f>D53-E53</f>
        <v>0</v>
      </c>
      <c r="J53" s="152"/>
    </row>
    <row r="54" spans="2:12" x14ac:dyDescent="0.2">
      <c r="B54" s="220"/>
      <c r="C54" s="245"/>
      <c r="D54" s="246"/>
      <c r="E54" s="247"/>
      <c r="G54" s="93"/>
      <c r="J54" s="152"/>
    </row>
    <row r="55" spans="2:12" x14ac:dyDescent="0.2">
      <c r="C55" s="114"/>
      <c r="D55" s="50"/>
      <c r="E55" s="31"/>
      <c r="F55" s="235"/>
      <c r="G55" s="93"/>
      <c r="J55" s="152"/>
    </row>
    <row r="56" spans="2:12" x14ac:dyDescent="0.2">
      <c r="B56" s="1" t="s">
        <v>62</v>
      </c>
      <c r="C56" s="117">
        <f>IF(D56=0,0,(E56/D56))</f>
        <v>0</v>
      </c>
      <c r="D56" s="50">
        <f>SUM(D51:D55)</f>
        <v>0</v>
      </c>
      <c r="E56" s="31">
        <f>SUM(E51:E55)</f>
        <v>0</v>
      </c>
      <c r="F56" s="235"/>
      <c r="G56" s="44" t="s">
        <v>0</v>
      </c>
      <c r="J56" s="152"/>
      <c r="K56">
        <f>-IF($F45=6,'5 YP Lainat ja avustukset'!Z194,IF($F45=7,'5 YP Lainat ja avustukset'!AA195,IF($F45=8,'5 YP Lainat ja avustukset'!AB196,IF($F45=9,'5 YP Lainat ja avustukset'!AC197,IF($F45=10,'5 YP Lainat ja avustukset'!AD198,IF($F45=11,'5 YP Lainat ja avustukset'!AE199,IF($F45=12,'5 YP Lainat ja avustukset'!AF200,IF($F45=13,'5 YP Lainat ja avustukset'!AG201,IF($F45=14,'5 YP Lainat ja avustukset'!AH202,IF($F45=15,'5 YP Lainat ja avustukset'!AJ191,IF($F45=16,'5 YP Lainat ja avustukset'!AA204,IF($F45=17,'5 YP Lainat ja avustukset'!AB205,'5 YP Lainat ja avustukset'!AC206))))))))))))</f>
        <v>0</v>
      </c>
    </row>
    <row r="57" spans="2:12" x14ac:dyDescent="0.2">
      <c r="B57" s="1" t="s">
        <v>65</v>
      </c>
      <c r="C57" s="116">
        <f>'FS3 Resultat'!D26</f>
        <v>0</v>
      </c>
      <c r="D57" s="50">
        <f>'FS3 Resultat'!E26</f>
        <v>0</v>
      </c>
      <c r="E57">
        <f>C57*D57</f>
        <v>0</v>
      </c>
      <c r="F57" s="237" t="s">
        <v>103</v>
      </c>
      <c r="G57" s="93">
        <f>D57-E57</f>
        <v>0</v>
      </c>
      <c r="J57" s="152"/>
    </row>
    <row r="58" spans="2:12" x14ac:dyDescent="0.2">
      <c r="B58" s="1" t="s">
        <v>55</v>
      </c>
      <c r="D58" s="44">
        <f>B63</f>
        <v>0</v>
      </c>
      <c r="E58" s="31">
        <v>0</v>
      </c>
      <c r="F58" s="1" t="s">
        <v>55</v>
      </c>
      <c r="G58" s="50">
        <f>-D58</f>
        <v>0</v>
      </c>
      <c r="J58" s="152"/>
    </row>
    <row r="59" spans="2:12" ht="13.5" thickBot="1" x14ac:dyDescent="0.25">
      <c r="B59" s="2" t="s">
        <v>66</v>
      </c>
      <c r="C59" s="143" t="s">
        <v>220</v>
      </c>
      <c r="D59" s="2"/>
      <c r="E59" s="121">
        <f>E49+IF(E56+E57+E58&lt;0,0,E56+E57+E58)</f>
        <v>0</v>
      </c>
      <c r="F59" s="238" t="s">
        <v>19</v>
      </c>
      <c r="G59" s="239">
        <f>SUM(G51:G58)</f>
        <v>0</v>
      </c>
      <c r="H59" s="160"/>
      <c r="I59" s="160"/>
      <c r="J59" s="153"/>
    </row>
    <row r="61" spans="2:12" x14ac:dyDescent="0.2">
      <c r="B61" s="2" t="s">
        <v>58</v>
      </c>
    </row>
    <row r="62" spans="2:12" x14ac:dyDescent="0.2">
      <c r="B62" s="95" t="s">
        <v>27</v>
      </c>
      <c r="C62" s="95" t="s">
        <v>26</v>
      </c>
      <c r="D62" t="s">
        <v>57</v>
      </c>
      <c r="E62" s="1" t="s">
        <v>60</v>
      </c>
      <c r="F62" s="1" t="s">
        <v>59</v>
      </c>
      <c r="G62" s="1" t="s">
        <v>61</v>
      </c>
      <c r="L62" t="s">
        <v>128</v>
      </c>
    </row>
    <row r="63" spans="2:12" x14ac:dyDescent="0.2">
      <c r="B63" s="50">
        <f>'FS3 Resultat'!K21</f>
        <v>0</v>
      </c>
      <c r="C63" s="116">
        <f>'FS3 Resultat'!H21</f>
        <v>0</v>
      </c>
      <c r="D63" s="50">
        <f>'FS3 Resultat'!I21</f>
        <v>0</v>
      </c>
      <c r="E63" s="119">
        <f>'FS1 Kostnader '!E59</f>
        <v>0.3</v>
      </c>
      <c r="F63">
        <f>B63*E63</f>
        <v>0</v>
      </c>
      <c r="G63" s="90">
        <f>IF(B63=0,0,-PMT(C63,D63,B63-F63)+12*L63)</f>
        <v>0</v>
      </c>
      <c r="H63" s="1" t="s">
        <v>77</v>
      </c>
      <c r="L63">
        <v>10</v>
      </c>
    </row>
    <row r="64" spans="2:12" x14ac:dyDescent="0.2">
      <c r="B64" s="50">
        <f>B63</f>
        <v>0</v>
      </c>
      <c r="C64" s="116">
        <f>C63</f>
        <v>0</v>
      </c>
      <c r="D64" s="50">
        <f>D63</f>
        <v>0</v>
      </c>
      <c r="E64" s="119">
        <f>E63</f>
        <v>0.3</v>
      </c>
      <c r="F64" s="50">
        <f>F63</f>
        <v>0</v>
      </c>
      <c r="G64" s="118">
        <f>IF(D64=0,0,(C64*F64))</f>
        <v>0</v>
      </c>
      <c r="H64" s="286" t="s">
        <v>127</v>
      </c>
    </row>
    <row r="65" spans="1:38" x14ac:dyDescent="0.2">
      <c r="B65" s="50"/>
      <c r="C65" s="116"/>
      <c r="D65" s="50"/>
      <c r="E65" s="50"/>
      <c r="F65" s="50"/>
      <c r="G65" s="50"/>
      <c r="H65" s="1"/>
    </row>
    <row r="66" spans="1:38" x14ac:dyDescent="0.2">
      <c r="F66" s="122"/>
      <c r="G66" s="50">
        <f>G63+G64</f>
        <v>0</v>
      </c>
      <c r="H66" s="1" t="s">
        <v>104</v>
      </c>
    </row>
    <row r="67" spans="1:38" x14ac:dyDescent="0.2">
      <c r="B67" s="1"/>
      <c r="C67" s="1"/>
      <c r="E67" s="122"/>
      <c r="F67" s="120"/>
      <c r="G67" s="50"/>
      <c r="H67" s="1"/>
    </row>
    <row r="68" spans="1:38" x14ac:dyDescent="0.2">
      <c r="C68" s="31"/>
      <c r="D68" s="31"/>
      <c r="E68" s="31"/>
      <c r="F68" s="1"/>
      <c r="G68" s="31"/>
      <c r="H68" s="1"/>
    </row>
    <row r="69" spans="1:38" x14ac:dyDescent="0.2">
      <c r="B69" s="161"/>
      <c r="C69" s="44"/>
      <c r="D69" s="50"/>
      <c r="E69" s="44"/>
      <c r="F69" s="120"/>
      <c r="G69" s="31"/>
      <c r="H69" s="1"/>
    </row>
    <row r="70" spans="1:38" x14ac:dyDescent="0.2">
      <c r="B70" s="161"/>
      <c r="C70" s="44"/>
      <c r="D70" s="50"/>
      <c r="E70" s="44"/>
    </row>
    <row r="71" spans="1:38" x14ac:dyDescent="0.2">
      <c r="B71" s="161"/>
      <c r="C71" s="44"/>
      <c r="D71" s="50"/>
      <c r="E71" s="44"/>
    </row>
    <row r="72" spans="1:38" x14ac:dyDescent="0.2">
      <c r="B72" s="161"/>
      <c r="C72" s="44"/>
      <c r="D72" s="50"/>
      <c r="E72" s="44"/>
    </row>
    <row r="73" spans="1:38" x14ac:dyDescent="0.2">
      <c r="B73" s="161"/>
      <c r="C73" s="44"/>
      <c r="D73" s="50"/>
      <c r="E73" s="44"/>
    </row>
    <row r="74" spans="1:38" x14ac:dyDescent="0.2">
      <c r="B74" s="161"/>
      <c r="C74" s="47"/>
      <c r="D74" s="273"/>
      <c r="E74" s="47"/>
    </row>
    <row r="75" spans="1:38" ht="13.5" thickBot="1" x14ac:dyDescent="0.25">
      <c r="A75" s="650" t="s">
        <v>29</v>
      </c>
      <c r="B75" s="545"/>
      <c r="C75" s="545"/>
      <c r="D75" s="546"/>
      <c r="E75" s="546"/>
      <c r="F75" s="546"/>
      <c r="G75" s="546"/>
      <c r="H75" s="546"/>
      <c r="I75" s="546"/>
      <c r="J75" s="546"/>
      <c r="K75" s="546"/>
      <c r="L75" s="546"/>
      <c r="M75" s="546"/>
      <c r="N75" s="546"/>
      <c r="O75" s="546"/>
      <c r="P75" s="547"/>
      <c r="Q75" s="548"/>
      <c r="R75" s="548"/>
      <c r="S75" s="548"/>
      <c r="T75" s="548"/>
      <c r="U75" s="548"/>
      <c r="V75" s="548"/>
      <c r="W75" s="548"/>
      <c r="X75" s="548"/>
      <c r="Y75" s="548"/>
      <c r="Z75" s="548"/>
      <c r="AA75" s="548"/>
      <c r="AB75" s="548"/>
      <c r="AC75" s="548"/>
      <c r="AD75" s="548"/>
      <c r="AE75" s="548"/>
      <c r="AF75" s="548"/>
      <c r="AG75" s="548"/>
      <c r="AH75" s="548"/>
      <c r="AI75" s="548"/>
      <c r="AJ75" s="548"/>
      <c r="AK75" s="548"/>
      <c r="AL75" s="548"/>
    </row>
    <row r="76" spans="1:38" ht="13.5" thickBot="1" x14ac:dyDescent="0.25">
      <c r="A76" s="646" t="s">
        <v>179</v>
      </c>
      <c r="B76" s="647">
        <v>6</v>
      </c>
      <c r="C76" s="648">
        <v>7</v>
      </c>
      <c r="D76" s="648">
        <v>8</v>
      </c>
      <c r="E76" s="648">
        <v>9</v>
      </c>
      <c r="F76" s="648">
        <v>10</v>
      </c>
      <c r="G76" s="648">
        <v>11</v>
      </c>
      <c r="H76" s="648">
        <v>12</v>
      </c>
      <c r="I76" s="648">
        <v>13</v>
      </c>
      <c r="J76" s="648">
        <v>14</v>
      </c>
      <c r="K76" s="648">
        <v>15</v>
      </c>
      <c r="L76" s="648">
        <v>16</v>
      </c>
      <c r="M76" s="648">
        <v>17</v>
      </c>
      <c r="N76" s="648">
        <v>18</v>
      </c>
      <c r="O76" s="648">
        <v>19</v>
      </c>
      <c r="P76" s="648">
        <v>20</v>
      </c>
      <c r="Q76" s="648">
        <v>21</v>
      </c>
      <c r="R76" s="648">
        <v>22</v>
      </c>
      <c r="S76" s="648">
        <v>23</v>
      </c>
      <c r="T76" s="648">
        <v>24</v>
      </c>
      <c r="U76" s="648">
        <v>25</v>
      </c>
      <c r="V76" s="648">
        <v>26</v>
      </c>
      <c r="W76" s="648">
        <v>27</v>
      </c>
      <c r="X76" s="648">
        <v>28</v>
      </c>
      <c r="Y76" s="648">
        <v>29</v>
      </c>
      <c r="Z76" s="648">
        <v>30</v>
      </c>
      <c r="AA76" s="648">
        <v>31</v>
      </c>
      <c r="AB76" s="648">
        <v>32</v>
      </c>
      <c r="AC76" s="648">
        <v>33</v>
      </c>
      <c r="AD76" s="648">
        <v>34</v>
      </c>
      <c r="AE76" s="648">
        <v>35</v>
      </c>
      <c r="AF76" s="648">
        <v>36</v>
      </c>
      <c r="AG76" s="648">
        <v>37</v>
      </c>
      <c r="AH76" s="648">
        <v>38</v>
      </c>
      <c r="AI76" s="648">
        <v>39</v>
      </c>
      <c r="AJ76" s="648">
        <v>40</v>
      </c>
      <c r="AK76" s="648">
        <v>41</v>
      </c>
      <c r="AL76" s="649">
        <v>42</v>
      </c>
    </row>
    <row r="77" spans="1:38" x14ac:dyDescent="0.2">
      <c r="A77" s="552" t="s">
        <v>176</v>
      </c>
      <c r="B77" s="553">
        <f>'FS3 Resultat'!K18</f>
        <v>0</v>
      </c>
      <c r="C77" s="577">
        <f>B77-B78</f>
        <v>0</v>
      </c>
      <c r="D77" s="577">
        <f t="shared" ref="D77:AL77" si="5">C77-C78</f>
        <v>0</v>
      </c>
      <c r="E77" s="577">
        <f t="shared" si="5"/>
        <v>0</v>
      </c>
      <c r="F77" s="577">
        <f t="shared" si="5"/>
        <v>0</v>
      </c>
      <c r="G77" s="577">
        <f t="shared" si="5"/>
        <v>0</v>
      </c>
      <c r="H77" s="577">
        <f t="shared" si="5"/>
        <v>0</v>
      </c>
      <c r="I77" s="577">
        <f t="shared" si="5"/>
        <v>0</v>
      </c>
      <c r="J77" s="577">
        <f t="shared" si="5"/>
        <v>0</v>
      </c>
      <c r="K77" s="577">
        <f t="shared" si="5"/>
        <v>0</v>
      </c>
      <c r="L77" s="577">
        <f t="shared" si="5"/>
        <v>0</v>
      </c>
      <c r="M77" s="577">
        <f t="shared" si="5"/>
        <v>0</v>
      </c>
      <c r="N77" s="577">
        <f t="shared" si="5"/>
        <v>0</v>
      </c>
      <c r="O77" s="577">
        <f t="shared" si="5"/>
        <v>0</v>
      </c>
      <c r="P77" s="577">
        <f t="shared" si="5"/>
        <v>0</v>
      </c>
      <c r="Q77" s="577">
        <f t="shared" si="5"/>
        <v>0</v>
      </c>
      <c r="R77" s="577">
        <f t="shared" si="5"/>
        <v>0</v>
      </c>
      <c r="S77" s="577">
        <f t="shared" si="5"/>
        <v>0</v>
      </c>
      <c r="T77" s="577">
        <f t="shared" si="5"/>
        <v>0</v>
      </c>
      <c r="U77" s="577">
        <f t="shared" si="5"/>
        <v>0</v>
      </c>
      <c r="V77" s="577">
        <f t="shared" si="5"/>
        <v>0</v>
      </c>
      <c r="W77" s="577">
        <f t="shared" si="5"/>
        <v>0</v>
      </c>
      <c r="X77" s="577">
        <f t="shared" si="5"/>
        <v>0</v>
      </c>
      <c r="Y77" s="577">
        <f t="shared" si="5"/>
        <v>0</v>
      </c>
      <c r="Z77" s="577">
        <f t="shared" si="5"/>
        <v>0</v>
      </c>
      <c r="AA77" s="577">
        <f t="shared" si="5"/>
        <v>0</v>
      </c>
      <c r="AB77" s="577">
        <f t="shared" si="5"/>
        <v>0</v>
      </c>
      <c r="AC77" s="577">
        <f t="shared" si="5"/>
        <v>0</v>
      </c>
      <c r="AD77" s="577">
        <f t="shared" si="5"/>
        <v>0</v>
      </c>
      <c r="AE77" s="577">
        <f t="shared" si="5"/>
        <v>0</v>
      </c>
      <c r="AF77" s="577">
        <f t="shared" si="5"/>
        <v>0</v>
      </c>
      <c r="AG77" s="577">
        <f t="shared" si="5"/>
        <v>0</v>
      </c>
      <c r="AH77" s="577">
        <f t="shared" si="5"/>
        <v>0</v>
      </c>
      <c r="AI77" s="577">
        <f t="shared" si="5"/>
        <v>0</v>
      </c>
      <c r="AJ77" s="577">
        <f t="shared" si="5"/>
        <v>0</v>
      </c>
      <c r="AK77" s="577">
        <f t="shared" si="5"/>
        <v>0</v>
      </c>
      <c r="AL77" s="578">
        <f t="shared" si="5"/>
        <v>0</v>
      </c>
    </row>
    <row r="78" spans="1:38" x14ac:dyDescent="0.2">
      <c r="A78" s="554" t="s">
        <v>177</v>
      </c>
      <c r="B78" s="66">
        <f>IF(B77=0,0,IF('FS3 Resultat'!$I18=2,0,IF('FS3 Resultat'!$I18=1,0,'FS3 Resultat'!$K18/(2*'FS3 Resultat'!$J18))))</f>
        <v>0</v>
      </c>
      <c r="C78" s="204"/>
      <c r="D78" s="205"/>
      <c r="E78" s="205"/>
      <c r="F78" s="205"/>
      <c r="G78" s="205"/>
      <c r="H78" s="66">
        <f>IF(H77=0,0,IF('FS3 Resultat'!$I18=2,0,IF('FS3 Resultat'!$I18=1,0,'FS3 Resultat'!$K18/(2*'FS3 Resultat'!$J18))))</f>
        <v>0</v>
      </c>
      <c r="I78" s="205"/>
      <c r="J78" s="205"/>
      <c r="K78" s="205"/>
      <c r="L78" s="205"/>
      <c r="M78" s="205"/>
      <c r="N78" s="66">
        <f>IF(N77=0,0,IF('FS3 Resultat'!$I18=2,0,IF('FS3 Resultat'!$I18=1,'FS3 Resultat'!$K18/(2*'FS3 Resultat'!$J18-2),'FS3 Resultat'!$K18/(2*'FS3 Resultat'!$J18))))</f>
        <v>0</v>
      </c>
      <c r="O78" s="205"/>
      <c r="P78" s="93"/>
      <c r="T78" s="66">
        <f>IF(T77=0,0,IF('FS3 Resultat'!$I18=2,0,IF('FS3 Resultat'!$I18=1,'FS3 Resultat'!$K18/(2*'FS3 Resultat'!$J18-2),'FS3 Resultat'!$K18/(2*'FS3 Resultat'!$J18))))</f>
        <v>0</v>
      </c>
      <c r="Z78" s="66">
        <f>IF(Z77=0,0,IF('FS3 Resultat'!$I18=2,'FS3 Resultat'!$K18/(2*'FS3 Resultat'!$J18-4),IF('FS3 Resultat'!$I18=1,'FS3 Resultat'!$K18/(2*'FS3 Resultat'!$J18-2),'FS3 Resultat'!$K18/(2*'FS3 Resultat'!$J18))))</f>
        <v>0</v>
      </c>
      <c r="AF78" s="66">
        <f>IF(AF77=0,0,IF('FS3 Resultat'!$I18=2,'FS3 Resultat'!$K18/(2*'FS3 Resultat'!$J18-4),IF('FS3 Resultat'!$I18=1,'FS3 Resultat'!$K18/(2*'FS3 Resultat'!$J18-2),'FS3 Resultat'!$K18/(2*'FS3 Resultat'!$J18))))</f>
        <v>0</v>
      </c>
      <c r="AL78" s="579">
        <f>IF(AL77=0,0,IF('FS3 Resultat'!$I18=2,'FS3 Resultat'!$K18/(2*'FS3 Resultat'!$J18-4),IF('FS3 Resultat'!$I18=1,'FS3 Resultat'!$K18/(2*'FS3 Resultat'!$J18-2),'FS3 Resultat'!$K18/(2*'FS3 Resultat'!$J18))))</f>
        <v>0</v>
      </c>
    </row>
    <row r="79" spans="1:38" s="589" customFormat="1" x14ac:dyDescent="0.2">
      <c r="A79" s="587" t="s">
        <v>221</v>
      </c>
      <c r="B79" s="588">
        <f>B77-B78</f>
        <v>0</v>
      </c>
      <c r="C79" s="588">
        <f t="shared" ref="C79:AL79" si="6">C77-C78</f>
        <v>0</v>
      </c>
      <c r="D79" s="588">
        <f t="shared" si="6"/>
        <v>0</v>
      </c>
      <c r="E79" s="588">
        <f t="shared" si="6"/>
        <v>0</v>
      </c>
      <c r="F79" s="588">
        <f t="shared" si="6"/>
        <v>0</v>
      </c>
      <c r="G79" s="588">
        <f t="shared" si="6"/>
        <v>0</v>
      </c>
      <c r="H79" s="588">
        <f t="shared" si="6"/>
        <v>0</v>
      </c>
      <c r="I79" s="588">
        <f t="shared" si="6"/>
        <v>0</v>
      </c>
      <c r="J79" s="588">
        <f t="shared" si="6"/>
        <v>0</v>
      </c>
      <c r="K79" s="588">
        <f t="shared" si="6"/>
        <v>0</v>
      </c>
      <c r="L79" s="588">
        <f t="shared" si="6"/>
        <v>0</v>
      </c>
      <c r="M79" s="588">
        <f t="shared" si="6"/>
        <v>0</v>
      </c>
      <c r="N79" s="588">
        <f t="shared" si="6"/>
        <v>0</v>
      </c>
      <c r="O79" s="588">
        <f t="shared" si="6"/>
        <v>0</v>
      </c>
      <c r="P79" s="588">
        <f t="shared" si="6"/>
        <v>0</v>
      </c>
      <c r="Q79" s="588">
        <f t="shared" si="6"/>
        <v>0</v>
      </c>
      <c r="R79" s="588">
        <f t="shared" si="6"/>
        <v>0</v>
      </c>
      <c r="S79" s="588">
        <f t="shared" si="6"/>
        <v>0</v>
      </c>
      <c r="T79" s="588">
        <f t="shared" si="6"/>
        <v>0</v>
      </c>
      <c r="U79" s="588">
        <f t="shared" si="6"/>
        <v>0</v>
      </c>
      <c r="V79" s="588">
        <f t="shared" si="6"/>
        <v>0</v>
      </c>
      <c r="W79" s="588">
        <f t="shared" si="6"/>
        <v>0</v>
      </c>
      <c r="X79" s="588">
        <f t="shared" si="6"/>
        <v>0</v>
      </c>
      <c r="Y79" s="588">
        <f t="shared" si="6"/>
        <v>0</v>
      </c>
      <c r="Z79" s="588">
        <f t="shared" si="6"/>
        <v>0</v>
      </c>
      <c r="AA79" s="588">
        <f t="shared" si="6"/>
        <v>0</v>
      </c>
      <c r="AB79" s="588">
        <f t="shared" si="6"/>
        <v>0</v>
      </c>
      <c r="AC79" s="588">
        <f t="shared" si="6"/>
        <v>0</v>
      </c>
      <c r="AD79" s="588">
        <f t="shared" si="6"/>
        <v>0</v>
      </c>
      <c r="AE79" s="588">
        <f t="shared" si="6"/>
        <v>0</v>
      </c>
      <c r="AF79" s="588">
        <f t="shared" si="6"/>
        <v>0</v>
      </c>
      <c r="AG79" s="588">
        <f t="shared" si="6"/>
        <v>0</v>
      </c>
      <c r="AH79" s="588">
        <f t="shared" si="6"/>
        <v>0</v>
      </c>
      <c r="AI79" s="588">
        <f t="shared" si="6"/>
        <v>0</v>
      </c>
      <c r="AJ79" s="588">
        <f t="shared" si="6"/>
        <v>0</v>
      </c>
      <c r="AK79" s="588">
        <f t="shared" si="6"/>
        <v>0</v>
      </c>
      <c r="AL79" s="640">
        <f t="shared" si="6"/>
        <v>0</v>
      </c>
    </row>
    <row r="80" spans="1:38" x14ac:dyDescent="0.2">
      <c r="A80" s="554" t="s">
        <v>26</v>
      </c>
      <c r="B80" s="508">
        <f>'FS3 Resultat'!H18</f>
        <v>0</v>
      </c>
      <c r="C80" s="509">
        <f>B80</f>
        <v>0</v>
      </c>
      <c r="D80" s="509">
        <f t="shared" ref="D80:AL80" si="7">C80</f>
        <v>0</v>
      </c>
      <c r="E80" s="509">
        <f t="shared" si="7"/>
        <v>0</v>
      </c>
      <c r="F80" s="509">
        <f t="shared" si="7"/>
        <v>0</v>
      </c>
      <c r="G80" s="509">
        <f t="shared" si="7"/>
        <v>0</v>
      </c>
      <c r="H80" s="509">
        <f t="shared" si="7"/>
        <v>0</v>
      </c>
      <c r="I80" s="509">
        <f t="shared" si="7"/>
        <v>0</v>
      </c>
      <c r="J80" s="509">
        <f t="shared" si="7"/>
        <v>0</v>
      </c>
      <c r="K80" s="509">
        <f t="shared" si="7"/>
        <v>0</v>
      </c>
      <c r="L80" s="509">
        <f t="shared" si="7"/>
        <v>0</v>
      </c>
      <c r="M80" s="509">
        <f t="shared" si="7"/>
        <v>0</v>
      </c>
      <c r="N80" s="509">
        <f t="shared" si="7"/>
        <v>0</v>
      </c>
      <c r="O80" s="509">
        <f t="shared" si="7"/>
        <v>0</v>
      </c>
      <c r="P80" s="509">
        <f t="shared" si="7"/>
        <v>0</v>
      </c>
      <c r="Q80" s="509">
        <f t="shared" si="7"/>
        <v>0</v>
      </c>
      <c r="R80" s="509">
        <f t="shared" si="7"/>
        <v>0</v>
      </c>
      <c r="S80" s="509">
        <f t="shared" si="7"/>
        <v>0</v>
      </c>
      <c r="T80" s="509">
        <f t="shared" si="7"/>
        <v>0</v>
      </c>
      <c r="U80" s="509">
        <f t="shared" si="7"/>
        <v>0</v>
      </c>
      <c r="V80" s="509">
        <f t="shared" si="7"/>
        <v>0</v>
      </c>
      <c r="W80" s="509">
        <f t="shared" si="7"/>
        <v>0</v>
      </c>
      <c r="X80" s="509">
        <f t="shared" si="7"/>
        <v>0</v>
      </c>
      <c r="Y80" s="509">
        <f t="shared" si="7"/>
        <v>0</v>
      </c>
      <c r="Z80" s="509">
        <f t="shared" si="7"/>
        <v>0</v>
      </c>
      <c r="AA80" s="509">
        <f t="shared" si="7"/>
        <v>0</v>
      </c>
      <c r="AB80" s="509">
        <f t="shared" si="7"/>
        <v>0</v>
      </c>
      <c r="AC80" s="509">
        <f t="shared" si="7"/>
        <v>0</v>
      </c>
      <c r="AD80" s="509">
        <f t="shared" si="7"/>
        <v>0</v>
      </c>
      <c r="AE80" s="509">
        <f t="shared" si="7"/>
        <v>0</v>
      </c>
      <c r="AF80" s="509">
        <f t="shared" si="7"/>
        <v>0</v>
      </c>
      <c r="AG80" s="509">
        <f t="shared" si="7"/>
        <v>0</v>
      </c>
      <c r="AH80" s="509">
        <f t="shared" si="7"/>
        <v>0</v>
      </c>
      <c r="AI80" s="509">
        <f t="shared" si="7"/>
        <v>0</v>
      </c>
      <c r="AJ80" s="509">
        <f t="shared" si="7"/>
        <v>0</v>
      </c>
      <c r="AK80" s="509">
        <f t="shared" si="7"/>
        <v>0</v>
      </c>
      <c r="AL80" s="580">
        <f t="shared" si="7"/>
        <v>0</v>
      </c>
    </row>
    <row r="81" spans="1:38" x14ac:dyDescent="0.2">
      <c r="A81" s="554" t="s">
        <v>178</v>
      </c>
      <c r="B81" s="510">
        <f>(B77)*B80/2</f>
        <v>0</v>
      </c>
      <c r="C81" s="510">
        <f>(C77)*C80/12</f>
        <v>0</v>
      </c>
      <c r="D81" s="510">
        <f t="shared" ref="D81:AL81" si="8">(D77)*D80/12</f>
        <v>0</v>
      </c>
      <c r="E81" s="510">
        <f t="shared" si="8"/>
        <v>0</v>
      </c>
      <c r="F81" s="510">
        <f t="shared" si="8"/>
        <v>0</v>
      </c>
      <c r="G81" s="510">
        <f t="shared" si="8"/>
        <v>0</v>
      </c>
      <c r="H81" s="510">
        <f t="shared" si="8"/>
        <v>0</v>
      </c>
      <c r="I81" s="510">
        <f t="shared" si="8"/>
        <v>0</v>
      </c>
      <c r="J81" s="510">
        <f t="shared" si="8"/>
        <v>0</v>
      </c>
      <c r="K81" s="510">
        <f t="shared" si="8"/>
        <v>0</v>
      </c>
      <c r="L81" s="510">
        <f t="shared" si="8"/>
        <v>0</v>
      </c>
      <c r="M81" s="510">
        <f t="shared" si="8"/>
        <v>0</v>
      </c>
      <c r="N81" s="510">
        <f t="shared" si="8"/>
        <v>0</v>
      </c>
      <c r="O81" s="510">
        <f t="shared" si="8"/>
        <v>0</v>
      </c>
      <c r="P81" s="510">
        <f t="shared" si="8"/>
        <v>0</v>
      </c>
      <c r="Q81" s="510">
        <f t="shared" si="8"/>
        <v>0</v>
      </c>
      <c r="R81" s="510">
        <f t="shared" si="8"/>
        <v>0</v>
      </c>
      <c r="S81" s="510">
        <f t="shared" si="8"/>
        <v>0</v>
      </c>
      <c r="T81" s="510">
        <f t="shared" si="8"/>
        <v>0</v>
      </c>
      <c r="U81" s="510">
        <f t="shared" si="8"/>
        <v>0</v>
      </c>
      <c r="V81" s="510">
        <f t="shared" si="8"/>
        <v>0</v>
      </c>
      <c r="W81" s="510">
        <f t="shared" si="8"/>
        <v>0</v>
      </c>
      <c r="X81" s="510">
        <f t="shared" si="8"/>
        <v>0</v>
      </c>
      <c r="Y81" s="510">
        <f t="shared" si="8"/>
        <v>0</v>
      </c>
      <c r="Z81" s="510">
        <f t="shared" si="8"/>
        <v>0</v>
      </c>
      <c r="AA81" s="510">
        <f t="shared" si="8"/>
        <v>0</v>
      </c>
      <c r="AB81" s="510">
        <f t="shared" si="8"/>
        <v>0</v>
      </c>
      <c r="AC81" s="510">
        <f t="shared" si="8"/>
        <v>0</v>
      </c>
      <c r="AD81" s="510">
        <f t="shared" si="8"/>
        <v>0</v>
      </c>
      <c r="AE81" s="510">
        <f t="shared" si="8"/>
        <v>0</v>
      </c>
      <c r="AF81" s="510">
        <f t="shared" si="8"/>
        <v>0</v>
      </c>
      <c r="AG81" s="510">
        <f t="shared" si="8"/>
        <v>0</v>
      </c>
      <c r="AH81" s="510">
        <f t="shared" si="8"/>
        <v>0</v>
      </c>
      <c r="AI81" s="510">
        <f t="shared" si="8"/>
        <v>0</v>
      </c>
      <c r="AJ81" s="510">
        <f t="shared" si="8"/>
        <v>0</v>
      </c>
      <c r="AK81" s="510">
        <f t="shared" si="8"/>
        <v>0</v>
      </c>
      <c r="AL81" s="581">
        <f t="shared" si="8"/>
        <v>0</v>
      </c>
    </row>
    <row r="82" spans="1:38" x14ac:dyDescent="0.2">
      <c r="A82" s="555" t="s">
        <v>180</v>
      </c>
      <c r="B82" s="519">
        <f>B81</f>
        <v>0</v>
      </c>
      <c r="C82" s="204"/>
      <c r="D82" s="205"/>
      <c r="E82" s="205"/>
      <c r="F82" s="205"/>
      <c r="G82" s="205"/>
      <c r="H82" s="205"/>
      <c r="I82" s="205"/>
      <c r="J82" s="205"/>
      <c r="K82" s="205"/>
      <c r="L82" s="205"/>
      <c r="M82" s="205"/>
      <c r="N82" s="520">
        <f>SUM(C81:N81)</f>
        <v>0</v>
      </c>
      <c r="O82" s="205"/>
      <c r="P82" s="93"/>
      <c r="Z82" s="520">
        <f>SUM(O81:Z81)</f>
        <v>0</v>
      </c>
      <c r="AL82" s="152"/>
    </row>
    <row r="83" spans="1:38" x14ac:dyDescent="0.2">
      <c r="A83" s="556" t="s">
        <v>181</v>
      </c>
      <c r="B83" s="66"/>
      <c r="C83" s="521">
        <f>B82+C81</f>
        <v>0</v>
      </c>
      <c r="D83" s="205"/>
      <c r="E83" s="205"/>
      <c r="F83" s="205"/>
      <c r="G83" s="205"/>
      <c r="H83" s="205"/>
      <c r="I83" s="205"/>
      <c r="J83" s="205"/>
      <c r="K83" s="205"/>
      <c r="L83" s="205"/>
      <c r="M83" s="205"/>
      <c r="O83" s="522">
        <f>SUM(D81:O81)</f>
        <v>0</v>
      </c>
      <c r="P83" s="93"/>
      <c r="AA83" s="522">
        <f>SUM(P81:AA81)</f>
        <v>0</v>
      </c>
      <c r="AB83" s="93"/>
      <c r="AL83" s="152"/>
    </row>
    <row r="84" spans="1:38" x14ac:dyDescent="0.2">
      <c r="A84" s="557" t="s">
        <v>192</v>
      </c>
      <c r="B84" s="52"/>
      <c r="C84" s="52"/>
      <c r="D84" s="523">
        <f>SUM(B81:D81)</f>
        <v>0</v>
      </c>
      <c r="E84" s="511"/>
      <c r="F84" s="511"/>
      <c r="G84" s="511"/>
      <c r="H84" s="511"/>
      <c r="I84" s="511"/>
      <c r="J84" s="511"/>
      <c r="K84" s="511"/>
      <c r="L84" s="511"/>
      <c r="M84" s="511"/>
      <c r="N84" s="511"/>
      <c r="O84" s="205"/>
      <c r="P84" s="524">
        <f>SUM(E81:P81)</f>
        <v>0</v>
      </c>
      <c r="AA84" s="205"/>
      <c r="AB84" s="524">
        <f>SUM(Q81:AB81)</f>
        <v>0</v>
      </c>
      <c r="AL84" s="152"/>
    </row>
    <row r="85" spans="1:38" x14ac:dyDescent="0.2">
      <c r="A85" s="600" t="s">
        <v>191</v>
      </c>
      <c r="B85" s="66"/>
      <c r="C85" s="204"/>
      <c r="D85" s="511"/>
      <c r="E85" s="526">
        <f>SUM(B81:E81)</f>
        <v>0</v>
      </c>
      <c r="F85" s="511"/>
      <c r="G85" s="511"/>
      <c r="H85" s="511"/>
      <c r="I85" s="511"/>
      <c r="J85" s="511"/>
      <c r="K85" s="511"/>
      <c r="L85" s="511"/>
      <c r="M85" s="511"/>
      <c r="N85" s="511"/>
      <c r="O85" s="205"/>
      <c r="P85" s="93"/>
      <c r="Q85" s="525">
        <f>SUM(F81:Q81)</f>
        <v>0</v>
      </c>
      <c r="AA85" s="205"/>
      <c r="AB85" s="93"/>
      <c r="AC85" s="525">
        <f>SUM(R81:AC81)</f>
        <v>0</v>
      </c>
      <c r="AL85" s="152"/>
    </row>
    <row r="86" spans="1:38" x14ac:dyDescent="0.2">
      <c r="A86" s="558" t="s">
        <v>182</v>
      </c>
      <c r="B86" s="66"/>
      <c r="C86" s="204"/>
      <c r="D86" s="511"/>
      <c r="E86" s="511"/>
      <c r="F86" s="527">
        <f>SUM(B81:F81)</f>
        <v>0</v>
      </c>
      <c r="G86" s="511"/>
      <c r="H86" s="511"/>
      <c r="I86" s="511"/>
      <c r="J86" s="511"/>
      <c r="K86" s="511"/>
      <c r="L86" s="511"/>
      <c r="M86" s="511"/>
      <c r="N86" s="511"/>
      <c r="O86" s="205"/>
      <c r="P86" s="93"/>
      <c r="R86" s="528">
        <f>SUM(G81:R81)</f>
        <v>0</v>
      </c>
      <c r="AA86" s="205"/>
      <c r="AB86" s="93"/>
      <c r="AD86" s="528">
        <f>SUM(S81:AD81)</f>
        <v>0</v>
      </c>
      <c r="AL86" s="152"/>
    </row>
    <row r="87" spans="1:38" x14ac:dyDescent="0.2">
      <c r="A87" s="559" t="s">
        <v>183</v>
      </c>
      <c r="B87" s="52"/>
      <c r="C87" s="52"/>
      <c r="D87" s="511"/>
      <c r="E87" s="511"/>
      <c r="F87" s="511"/>
      <c r="G87" s="530">
        <f>SUM(B81:G81)</f>
        <v>0</v>
      </c>
      <c r="H87" s="511"/>
      <c r="I87" s="511"/>
      <c r="J87" s="511"/>
      <c r="K87" s="511"/>
      <c r="L87" s="511"/>
      <c r="M87" s="511"/>
      <c r="N87" s="511"/>
      <c r="O87" s="205"/>
      <c r="P87" s="93"/>
      <c r="S87" s="529">
        <f>SUM(H81:S81)</f>
        <v>0</v>
      </c>
      <c r="AA87" s="205"/>
      <c r="AB87" s="93"/>
      <c r="AE87" s="529">
        <f>SUM(T81:AE81)</f>
        <v>0</v>
      </c>
      <c r="AL87" s="152"/>
    </row>
    <row r="88" spans="1:38" x14ac:dyDescent="0.2">
      <c r="A88" s="560" t="s">
        <v>184</v>
      </c>
      <c r="B88" s="66"/>
      <c r="C88" s="204"/>
      <c r="D88" s="511"/>
      <c r="E88" s="511"/>
      <c r="F88" s="511"/>
      <c r="G88" s="511"/>
      <c r="H88" s="531">
        <f>SUM(B81:H81)</f>
        <v>0</v>
      </c>
      <c r="I88" s="511"/>
      <c r="J88" s="511"/>
      <c r="K88" s="511"/>
      <c r="L88" s="511"/>
      <c r="M88" s="511"/>
      <c r="N88" s="511"/>
      <c r="O88" s="205"/>
      <c r="P88" s="93"/>
      <c r="T88" s="532">
        <f>SUM(I81:T81)</f>
        <v>0</v>
      </c>
      <c r="AA88" s="205"/>
      <c r="AB88" s="93"/>
      <c r="AF88" s="532">
        <f>SUM(U81:AF81)</f>
        <v>0</v>
      </c>
      <c r="AL88" s="152"/>
    </row>
    <row r="89" spans="1:38" x14ac:dyDescent="0.2">
      <c r="A89" s="561" t="s">
        <v>185</v>
      </c>
      <c r="B89" s="52"/>
      <c r="C89" s="52"/>
      <c r="D89" s="511"/>
      <c r="E89" s="511"/>
      <c r="F89" s="511"/>
      <c r="G89" s="511"/>
      <c r="H89" s="511"/>
      <c r="I89" s="537">
        <f>SUM(B81:I81)</f>
        <v>0</v>
      </c>
      <c r="J89" s="511"/>
      <c r="K89" s="511"/>
      <c r="L89" s="511"/>
      <c r="M89" s="511"/>
      <c r="N89" s="511"/>
      <c r="O89" s="205"/>
      <c r="P89" s="93"/>
      <c r="U89" s="533">
        <f>SUM(J81:U81)</f>
        <v>0</v>
      </c>
      <c r="AA89" s="205"/>
      <c r="AB89" s="93"/>
      <c r="AG89" s="533">
        <f>SUM(V81:AG81)</f>
        <v>0</v>
      </c>
      <c r="AL89" s="152"/>
    </row>
    <row r="90" spans="1:38" x14ac:dyDescent="0.2">
      <c r="A90" s="562" t="s">
        <v>186</v>
      </c>
      <c r="B90" s="66"/>
      <c r="C90" s="204"/>
      <c r="D90" s="511"/>
      <c r="E90" s="511"/>
      <c r="F90" s="511"/>
      <c r="G90" s="511"/>
      <c r="H90" s="511"/>
      <c r="I90" s="511"/>
      <c r="J90" s="538">
        <f>SUM(B81:J81)</f>
        <v>0</v>
      </c>
      <c r="K90" s="511"/>
      <c r="L90" s="511"/>
      <c r="M90" s="511"/>
      <c r="N90" s="511"/>
      <c r="O90" s="205"/>
      <c r="P90" s="93"/>
      <c r="V90" s="534">
        <f>SUM(K81:V81)</f>
        <v>0</v>
      </c>
      <c r="AA90" s="205"/>
      <c r="AB90" s="93"/>
      <c r="AH90" s="534">
        <f>SUM(W81:AH81)</f>
        <v>0</v>
      </c>
      <c r="AL90" s="152"/>
    </row>
    <row r="91" spans="1:38" x14ac:dyDescent="0.2">
      <c r="A91" s="563" t="s">
        <v>187</v>
      </c>
      <c r="B91" s="52"/>
      <c r="C91" s="52"/>
      <c r="D91" s="511"/>
      <c r="E91" s="511"/>
      <c r="F91" s="511"/>
      <c r="G91" s="511"/>
      <c r="H91" s="511"/>
      <c r="I91" s="511"/>
      <c r="J91" s="511"/>
      <c r="K91" s="539">
        <f>SUM(B81:K81)</f>
        <v>0</v>
      </c>
      <c r="L91" s="511"/>
      <c r="M91" s="511"/>
      <c r="N91" s="511"/>
      <c r="O91" s="205"/>
      <c r="P91" s="93"/>
      <c r="W91" s="535">
        <f>SUM(L81:W81)</f>
        <v>0</v>
      </c>
      <c r="AA91" s="205"/>
      <c r="AB91" s="93"/>
      <c r="AI91" s="535">
        <f>SUM(X81:AI81)</f>
        <v>0</v>
      </c>
      <c r="AL91" s="152"/>
    </row>
    <row r="92" spans="1:38" x14ac:dyDescent="0.2">
      <c r="A92" s="564" t="s">
        <v>188</v>
      </c>
      <c r="B92" s="66"/>
      <c r="C92" s="204"/>
      <c r="D92" s="511"/>
      <c r="E92" s="511"/>
      <c r="F92" s="511"/>
      <c r="G92" s="511"/>
      <c r="H92" s="511"/>
      <c r="I92" s="511"/>
      <c r="J92" s="511"/>
      <c r="K92" s="511"/>
      <c r="L92" s="540">
        <f>SUM(B81:L81)</f>
        <v>0</v>
      </c>
      <c r="M92" s="511"/>
      <c r="N92" s="511"/>
      <c r="O92" s="205"/>
      <c r="P92" s="93"/>
      <c r="X92" s="536">
        <f>SUM(M81:X81)</f>
        <v>0</v>
      </c>
      <c r="AA92" s="205"/>
      <c r="AB92" s="93"/>
      <c r="AJ92" s="536">
        <f>SUM(Y81:AJ81)</f>
        <v>0</v>
      </c>
      <c r="AL92" s="152"/>
    </row>
    <row r="93" spans="1:38" x14ac:dyDescent="0.2">
      <c r="A93" s="565" t="s">
        <v>189</v>
      </c>
      <c r="B93" s="52"/>
      <c r="C93" s="52"/>
      <c r="D93" s="511"/>
      <c r="E93" s="511"/>
      <c r="F93" s="511"/>
      <c r="G93" s="511"/>
      <c r="H93" s="511"/>
      <c r="I93" s="511"/>
      <c r="J93" s="511"/>
      <c r="K93" s="511"/>
      <c r="L93" s="511"/>
      <c r="M93" s="542">
        <f>SUM(B81:M81)</f>
        <v>0</v>
      </c>
      <c r="N93" s="511"/>
      <c r="O93" s="205"/>
      <c r="P93" s="93"/>
      <c r="Y93" s="541">
        <f>SUM(N81:Y81)</f>
        <v>0</v>
      </c>
      <c r="AA93" s="205"/>
      <c r="AB93" s="93"/>
      <c r="AK93" s="541">
        <f>SUM(Z81:AK81)</f>
        <v>0</v>
      </c>
      <c r="AL93" s="152"/>
    </row>
    <row r="94" spans="1:38" ht="13.5" thickBot="1" x14ac:dyDescent="0.25">
      <c r="A94" s="566" t="s">
        <v>190</v>
      </c>
      <c r="B94" s="567"/>
      <c r="C94" s="207"/>
      <c r="D94" s="568"/>
      <c r="E94" s="568"/>
      <c r="F94" s="568"/>
      <c r="G94" s="568"/>
      <c r="H94" s="568"/>
      <c r="I94" s="568"/>
      <c r="J94" s="568"/>
      <c r="K94" s="568"/>
      <c r="L94" s="568"/>
      <c r="M94" s="568"/>
      <c r="N94" s="569">
        <f>SUM(B81:N81)</f>
        <v>0</v>
      </c>
      <c r="O94" s="303"/>
      <c r="P94" s="570"/>
      <c r="Q94" s="160"/>
      <c r="R94" s="160"/>
      <c r="S94" s="160"/>
      <c r="T94" s="160"/>
      <c r="U94" s="160"/>
      <c r="V94" s="160"/>
      <c r="W94" s="160"/>
      <c r="X94" s="160"/>
      <c r="Y94" s="160"/>
      <c r="Z94" s="571">
        <f>SUM(O81:Z81)</f>
        <v>0</v>
      </c>
      <c r="AA94" s="303"/>
      <c r="AB94" s="570"/>
      <c r="AC94" s="160"/>
      <c r="AD94" s="160"/>
      <c r="AE94" s="160"/>
      <c r="AF94" s="160"/>
      <c r="AG94" s="160"/>
      <c r="AH94" s="160"/>
      <c r="AI94" s="160"/>
      <c r="AJ94" s="160"/>
      <c r="AK94" s="160"/>
      <c r="AL94" s="572">
        <f>SUM(AA81:AL81)</f>
        <v>0</v>
      </c>
    </row>
    <row r="95" spans="1:38" x14ac:dyDescent="0.2">
      <c r="A95" s="552" t="s">
        <v>195</v>
      </c>
      <c r="B95" s="553">
        <f>'FS3 Resultat'!K19</f>
        <v>0</v>
      </c>
      <c r="C95" s="577">
        <f>B95-B96</f>
        <v>0</v>
      </c>
      <c r="D95" s="577">
        <f t="shared" ref="D95:AL95" si="9">C95-C96</f>
        <v>0</v>
      </c>
      <c r="E95" s="577">
        <f t="shared" si="9"/>
        <v>0</v>
      </c>
      <c r="F95" s="577">
        <f t="shared" si="9"/>
        <v>0</v>
      </c>
      <c r="G95" s="577">
        <f t="shared" si="9"/>
        <v>0</v>
      </c>
      <c r="H95" s="577">
        <f t="shared" si="9"/>
        <v>0</v>
      </c>
      <c r="I95" s="577">
        <f t="shared" si="9"/>
        <v>0</v>
      </c>
      <c r="J95" s="577">
        <f t="shared" si="9"/>
        <v>0</v>
      </c>
      <c r="K95" s="577">
        <f t="shared" si="9"/>
        <v>0</v>
      </c>
      <c r="L95" s="577">
        <f t="shared" si="9"/>
        <v>0</v>
      </c>
      <c r="M95" s="577">
        <f t="shared" si="9"/>
        <v>0</v>
      </c>
      <c r="N95" s="577">
        <f t="shared" si="9"/>
        <v>0</v>
      </c>
      <c r="O95" s="577">
        <f t="shared" si="9"/>
        <v>0</v>
      </c>
      <c r="P95" s="577">
        <f t="shared" si="9"/>
        <v>0</v>
      </c>
      <c r="Q95" s="577">
        <f t="shared" si="9"/>
        <v>0</v>
      </c>
      <c r="R95" s="577">
        <f t="shared" si="9"/>
        <v>0</v>
      </c>
      <c r="S95" s="577">
        <f t="shared" si="9"/>
        <v>0</v>
      </c>
      <c r="T95" s="577">
        <f t="shared" si="9"/>
        <v>0</v>
      </c>
      <c r="U95" s="577">
        <f t="shared" si="9"/>
        <v>0</v>
      </c>
      <c r="V95" s="577">
        <f t="shared" si="9"/>
        <v>0</v>
      </c>
      <c r="W95" s="577">
        <f t="shared" si="9"/>
        <v>0</v>
      </c>
      <c r="X95" s="577">
        <f t="shared" si="9"/>
        <v>0</v>
      </c>
      <c r="Y95" s="577">
        <f t="shared" si="9"/>
        <v>0</v>
      </c>
      <c r="Z95" s="577">
        <f t="shared" si="9"/>
        <v>0</v>
      </c>
      <c r="AA95" s="577">
        <f t="shared" si="9"/>
        <v>0</v>
      </c>
      <c r="AB95" s="577">
        <f t="shared" si="9"/>
        <v>0</v>
      </c>
      <c r="AC95" s="577">
        <f t="shared" si="9"/>
        <v>0</v>
      </c>
      <c r="AD95" s="577">
        <f t="shared" si="9"/>
        <v>0</v>
      </c>
      <c r="AE95" s="577">
        <f t="shared" si="9"/>
        <v>0</v>
      </c>
      <c r="AF95" s="577">
        <f t="shared" si="9"/>
        <v>0</v>
      </c>
      <c r="AG95" s="577">
        <f t="shared" si="9"/>
        <v>0</v>
      </c>
      <c r="AH95" s="577">
        <f t="shared" si="9"/>
        <v>0</v>
      </c>
      <c r="AI95" s="577">
        <f t="shared" si="9"/>
        <v>0</v>
      </c>
      <c r="AJ95" s="577">
        <f t="shared" si="9"/>
        <v>0</v>
      </c>
      <c r="AK95" s="577">
        <f t="shared" si="9"/>
        <v>0</v>
      </c>
      <c r="AL95" s="578">
        <f t="shared" si="9"/>
        <v>0</v>
      </c>
    </row>
    <row r="96" spans="1:38" x14ac:dyDescent="0.2">
      <c r="A96" s="554" t="s">
        <v>177</v>
      </c>
      <c r="B96" s="66">
        <f>IF(B95=0,0,IF('FS3 Resultat'!$I19=2,0,IF('FS3 Resultat'!$I19=1,0,'FS3 Resultat'!$K19/(2*'FS3 Resultat'!$J19))))</f>
        <v>0</v>
      </c>
      <c r="C96" s="204"/>
      <c r="D96" s="205"/>
      <c r="E96" s="205"/>
      <c r="F96" s="205"/>
      <c r="G96" s="205"/>
      <c r="H96" s="66">
        <f>IF(H95=0,0,IF('FS3 Resultat'!$I19=2,0,IF('FS3 Resultat'!$I19=1,0,'FS3 Resultat'!$K19/(2*'FS3 Resultat'!$J19))))</f>
        <v>0</v>
      </c>
      <c r="I96" s="205"/>
      <c r="J96" s="205"/>
      <c r="K96" s="205"/>
      <c r="L96" s="205"/>
      <c r="M96" s="205"/>
      <c r="N96" s="66">
        <f>IF(N95=0,0,IF('FS3 Resultat'!$I19=2,0,IF('FS3 Resultat'!$I19=1,'FS3 Resultat'!$K19/(2*'FS3 Resultat'!$J19-2),'FS3 Resultat'!$K19/(2*'FS3 Resultat'!$J19))))</f>
        <v>0</v>
      </c>
      <c r="O96" s="205"/>
      <c r="P96" s="93"/>
      <c r="T96" s="66">
        <f>IF(T95=0,0,IF('FS3 Resultat'!$I19=2,0,IF('FS3 Resultat'!$I19=1,'FS3 Resultat'!$K19/(2*'FS3 Resultat'!$J19-2),'FS3 Resultat'!$K19/(2*'FS3 Resultat'!$J19))))</f>
        <v>0</v>
      </c>
      <c r="Z96" s="66">
        <f>IF(Z95=0,0,IF('FS3 Resultat'!$I19=2,'FS3 Resultat'!$K19/(2*'FS3 Resultat'!$J19-4),IF('FS3 Resultat'!$I19=1,'FS3 Resultat'!$K19/(2*'FS3 Resultat'!$J19-2),'FS3 Resultat'!$K19/(2*'FS3 Resultat'!$J19))))</f>
        <v>0</v>
      </c>
      <c r="AF96" s="66">
        <f>IF(AF95=0,0,IF('FS3 Resultat'!$I19=2,'FS3 Resultat'!$K19/(2*'FS3 Resultat'!$J19-4),IF('FS3 Resultat'!$I19=1,'FS3 Resultat'!$K19/(2*'FS3 Resultat'!$J19-2),'FS3 Resultat'!$K19/(2*'FS3 Resultat'!$J19))))</f>
        <v>0</v>
      </c>
      <c r="AL96" s="579">
        <f>IF(AL95=0,0,IF('FS3 Resultat'!$I19=2,'FS3 Resultat'!$K19/(2*'FS3 Resultat'!$J19-4),IF('FS3 Resultat'!$I19=1,'FS3 Resultat'!$K19/(2*'FS3 Resultat'!$J19-2),'FS3 Resultat'!$K19/(2*'FS3 Resultat'!$J19))))</f>
        <v>0</v>
      </c>
    </row>
    <row r="97" spans="1:38" x14ac:dyDescent="0.2">
      <c r="A97" s="554" t="s">
        <v>26</v>
      </c>
      <c r="B97" s="508">
        <f>'FS3 Resultat'!H19</f>
        <v>0</v>
      </c>
      <c r="C97" s="509">
        <f>B97</f>
        <v>0</v>
      </c>
      <c r="D97" s="509">
        <f t="shared" ref="D97:AL97" si="10">C97</f>
        <v>0</v>
      </c>
      <c r="E97" s="509">
        <f t="shared" si="10"/>
        <v>0</v>
      </c>
      <c r="F97" s="509">
        <f t="shared" si="10"/>
        <v>0</v>
      </c>
      <c r="G97" s="509">
        <f t="shared" si="10"/>
        <v>0</v>
      </c>
      <c r="H97" s="509">
        <f t="shared" si="10"/>
        <v>0</v>
      </c>
      <c r="I97" s="509">
        <f t="shared" si="10"/>
        <v>0</v>
      </c>
      <c r="J97" s="509">
        <f t="shared" si="10"/>
        <v>0</v>
      </c>
      <c r="K97" s="509">
        <f t="shared" si="10"/>
        <v>0</v>
      </c>
      <c r="L97" s="509">
        <f t="shared" si="10"/>
        <v>0</v>
      </c>
      <c r="M97" s="509">
        <f t="shared" si="10"/>
        <v>0</v>
      </c>
      <c r="N97" s="509">
        <f t="shared" si="10"/>
        <v>0</v>
      </c>
      <c r="O97" s="509">
        <f t="shared" si="10"/>
        <v>0</v>
      </c>
      <c r="P97" s="509">
        <f t="shared" si="10"/>
        <v>0</v>
      </c>
      <c r="Q97" s="509">
        <f t="shared" si="10"/>
        <v>0</v>
      </c>
      <c r="R97" s="509">
        <f t="shared" si="10"/>
        <v>0</v>
      </c>
      <c r="S97" s="509">
        <f t="shared" si="10"/>
        <v>0</v>
      </c>
      <c r="T97" s="509">
        <f t="shared" si="10"/>
        <v>0</v>
      </c>
      <c r="U97" s="509">
        <f t="shared" si="10"/>
        <v>0</v>
      </c>
      <c r="V97" s="509">
        <f t="shared" si="10"/>
        <v>0</v>
      </c>
      <c r="W97" s="509">
        <f t="shared" si="10"/>
        <v>0</v>
      </c>
      <c r="X97" s="509">
        <f t="shared" si="10"/>
        <v>0</v>
      </c>
      <c r="Y97" s="509">
        <f t="shared" si="10"/>
        <v>0</v>
      </c>
      <c r="Z97" s="509">
        <f t="shared" si="10"/>
        <v>0</v>
      </c>
      <c r="AA97" s="509">
        <f t="shared" si="10"/>
        <v>0</v>
      </c>
      <c r="AB97" s="509">
        <f t="shared" si="10"/>
        <v>0</v>
      </c>
      <c r="AC97" s="509">
        <f t="shared" si="10"/>
        <v>0</v>
      </c>
      <c r="AD97" s="509">
        <f t="shared" si="10"/>
        <v>0</v>
      </c>
      <c r="AE97" s="509">
        <f t="shared" si="10"/>
        <v>0</v>
      </c>
      <c r="AF97" s="509">
        <f t="shared" si="10"/>
        <v>0</v>
      </c>
      <c r="AG97" s="509">
        <f t="shared" si="10"/>
        <v>0</v>
      </c>
      <c r="AH97" s="509">
        <f t="shared" si="10"/>
        <v>0</v>
      </c>
      <c r="AI97" s="509">
        <f t="shared" si="10"/>
        <v>0</v>
      </c>
      <c r="AJ97" s="509">
        <f t="shared" si="10"/>
        <v>0</v>
      </c>
      <c r="AK97" s="509">
        <f t="shared" si="10"/>
        <v>0</v>
      </c>
      <c r="AL97" s="580">
        <f t="shared" si="10"/>
        <v>0</v>
      </c>
    </row>
    <row r="98" spans="1:38" s="589" customFormat="1" x14ac:dyDescent="0.2">
      <c r="A98" s="587" t="s">
        <v>221</v>
      </c>
      <c r="B98" s="588">
        <f>B95-B96</f>
        <v>0</v>
      </c>
      <c r="C98" s="588">
        <f t="shared" ref="C98:AL98" si="11">C95-C96</f>
        <v>0</v>
      </c>
      <c r="D98" s="588">
        <f t="shared" si="11"/>
        <v>0</v>
      </c>
      <c r="E98" s="588">
        <f t="shared" si="11"/>
        <v>0</v>
      </c>
      <c r="F98" s="588">
        <f t="shared" si="11"/>
        <v>0</v>
      </c>
      <c r="G98" s="588">
        <f t="shared" si="11"/>
        <v>0</v>
      </c>
      <c r="H98" s="588">
        <f t="shared" si="11"/>
        <v>0</v>
      </c>
      <c r="I98" s="588">
        <f t="shared" si="11"/>
        <v>0</v>
      </c>
      <c r="J98" s="588">
        <f t="shared" si="11"/>
        <v>0</v>
      </c>
      <c r="K98" s="588">
        <f t="shared" si="11"/>
        <v>0</v>
      </c>
      <c r="L98" s="588">
        <f t="shared" si="11"/>
        <v>0</v>
      </c>
      <c r="M98" s="588">
        <f t="shared" si="11"/>
        <v>0</v>
      </c>
      <c r="N98" s="588">
        <f t="shared" si="11"/>
        <v>0</v>
      </c>
      <c r="O98" s="588">
        <f t="shared" si="11"/>
        <v>0</v>
      </c>
      <c r="P98" s="588">
        <f t="shared" si="11"/>
        <v>0</v>
      </c>
      <c r="Q98" s="588">
        <f t="shared" si="11"/>
        <v>0</v>
      </c>
      <c r="R98" s="588">
        <f t="shared" si="11"/>
        <v>0</v>
      </c>
      <c r="S98" s="588">
        <f t="shared" si="11"/>
        <v>0</v>
      </c>
      <c r="T98" s="588">
        <f t="shared" si="11"/>
        <v>0</v>
      </c>
      <c r="U98" s="588">
        <f t="shared" si="11"/>
        <v>0</v>
      </c>
      <c r="V98" s="588">
        <f t="shared" si="11"/>
        <v>0</v>
      </c>
      <c r="W98" s="588">
        <f t="shared" si="11"/>
        <v>0</v>
      </c>
      <c r="X98" s="588">
        <f t="shared" si="11"/>
        <v>0</v>
      </c>
      <c r="Y98" s="588">
        <f t="shared" si="11"/>
        <v>0</v>
      </c>
      <c r="Z98" s="588">
        <f t="shared" si="11"/>
        <v>0</v>
      </c>
      <c r="AA98" s="588">
        <f t="shared" si="11"/>
        <v>0</v>
      </c>
      <c r="AB98" s="588">
        <f t="shared" si="11"/>
        <v>0</v>
      </c>
      <c r="AC98" s="588">
        <f t="shared" si="11"/>
        <v>0</v>
      </c>
      <c r="AD98" s="588">
        <f t="shared" si="11"/>
        <v>0</v>
      </c>
      <c r="AE98" s="588">
        <f t="shared" si="11"/>
        <v>0</v>
      </c>
      <c r="AF98" s="588">
        <f t="shared" si="11"/>
        <v>0</v>
      </c>
      <c r="AG98" s="588">
        <f t="shared" si="11"/>
        <v>0</v>
      </c>
      <c r="AH98" s="588">
        <f t="shared" si="11"/>
        <v>0</v>
      </c>
      <c r="AI98" s="588">
        <f t="shared" si="11"/>
        <v>0</v>
      </c>
      <c r="AJ98" s="588">
        <f t="shared" si="11"/>
        <v>0</v>
      </c>
      <c r="AK98" s="588">
        <f t="shared" si="11"/>
        <v>0</v>
      </c>
      <c r="AL98" s="640">
        <f t="shared" si="11"/>
        <v>0</v>
      </c>
    </row>
    <row r="99" spans="1:38" x14ac:dyDescent="0.2">
      <c r="A99" s="554" t="s">
        <v>178</v>
      </c>
      <c r="B99" s="510">
        <f>(B95)*B97/2</f>
        <v>0</v>
      </c>
      <c r="C99" s="510">
        <f>(C95)*C97/12</f>
        <v>0</v>
      </c>
      <c r="D99" s="510">
        <f t="shared" ref="D99:AL99" si="12">(D95)*D97/12</f>
        <v>0</v>
      </c>
      <c r="E99" s="510">
        <f t="shared" si="12"/>
        <v>0</v>
      </c>
      <c r="F99" s="510">
        <f t="shared" si="12"/>
        <v>0</v>
      </c>
      <c r="G99" s="510">
        <f t="shared" si="12"/>
        <v>0</v>
      </c>
      <c r="H99" s="510">
        <f t="shared" si="12"/>
        <v>0</v>
      </c>
      <c r="I99" s="510">
        <f t="shared" si="12"/>
        <v>0</v>
      </c>
      <c r="J99" s="510">
        <f t="shared" si="12"/>
        <v>0</v>
      </c>
      <c r="K99" s="510">
        <f t="shared" si="12"/>
        <v>0</v>
      </c>
      <c r="L99" s="510">
        <f t="shared" si="12"/>
        <v>0</v>
      </c>
      <c r="M99" s="510">
        <f t="shared" si="12"/>
        <v>0</v>
      </c>
      <c r="N99" s="510">
        <f t="shared" si="12"/>
        <v>0</v>
      </c>
      <c r="O99" s="510">
        <f t="shared" si="12"/>
        <v>0</v>
      </c>
      <c r="P99" s="510">
        <f t="shared" si="12"/>
        <v>0</v>
      </c>
      <c r="Q99" s="510">
        <f t="shared" si="12"/>
        <v>0</v>
      </c>
      <c r="R99" s="510">
        <f t="shared" si="12"/>
        <v>0</v>
      </c>
      <c r="S99" s="510">
        <f t="shared" si="12"/>
        <v>0</v>
      </c>
      <c r="T99" s="510">
        <f t="shared" si="12"/>
        <v>0</v>
      </c>
      <c r="U99" s="510">
        <f t="shared" si="12"/>
        <v>0</v>
      </c>
      <c r="V99" s="510">
        <f t="shared" si="12"/>
        <v>0</v>
      </c>
      <c r="W99" s="510">
        <f t="shared" si="12"/>
        <v>0</v>
      </c>
      <c r="X99" s="510">
        <f t="shared" si="12"/>
        <v>0</v>
      </c>
      <c r="Y99" s="510">
        <f t="shared" si="12"/>
        <v>0</v>
      </c>
      <c r="Z99" s="510">
        <f t="shared" si="12"/>
        <v>0</v>
      </c>
      <c r="AA99" s="510">
        <f t="shared" si="12"/>
        <v>0</v>
      </c>
      <c r="AB99" s="510">
        <f t="shared" si="12"/>
        <v>0</v>
      </c>
      <c r="AC99" s="510">
        <f t="shared" si="12"/>
        <v>0</v>
      </c>
      <c r="AD99" s="510">
        <f t="shared" si="12"/>
        <v>0</v>
      </c>
      <c r="AE99" s="510">
        <f t="shared" si="12"/>
        <v>0</v>
      </c>
      <c r="AF99" s="510">
        <f t="shared" si="12"/>
        <v>0</v>
      </c>
      <c r="AG99" s="510">
        <f t="shared" si="12"/>
        <v>0</v>
      </c>
      <c r="AH99" s="510">
        <f t="shared" si="12"/>
        <v>0</v>
      </c>
      <c r="AI99" s="510">
        <f t="shared" si="12"/>
        <v>0</v>
      </c>
      <c r="AJ99" s="510">
        <f t="shared" si="12"/>
        <v>0</v>
      </c>
      <c r="AK99" s="510">
        <f t="shared" si="12"/>
        <v>0</v>
      </c>
      <c r="AL99" s="581">
        <f t="shared" si="12"/>
        <v>0</v>
      </c>
    </row>
    <row r="100" spans="1:38" x14ac:dyDescent="0.2">
      <c r="A100" s="555" t="s">
        <v>180</v>
      </c>
      <c r="B100" s="519">
        <f>B99</f>
        <v>0</v>
      </c>
      <c r="C100" s="204"/>
      <c r="D100" s="205"/>
      <c r="E100" s="205"/>
      <c r="F100" s="205"/>
      <c r="G100" s="205"/>
      <c r="H100" s="205"/>
      <c r="I100" s="205"/>
      <c r="J100" s="205"/>
      <c r="K100" s="205"/>
      <c r="L100" s="205"/>
      <c r="M100" s="205"/>
      <c r="N100" s="520">
        <f>SUM(C99:N99)</f>
        <v>0</v>
      </c>
      <c r="O100" s="205"/>
      <c r="P100" s="93"/>
      <c r="Z100" s="520">
        <f>SUM(O99:Z99)</f>
        <v>0</v>
      </c>
      <c r="AL100" s="152"/>
    </row>
    <row r="101" spans="1:38" x14ac:dyDescent="0.2">
      <c r="A101" s="556" t="s">
        <v>181</v>
      </c>
      <c r="B101" s="66"/>
      <c r="C101" s="521">
        <f>B100+C99</f>
        <v>0</v>
      </c>
      <c r="D101" s="205"/>
      <c r="E101" s="205"/>
      <c r="F101" s="205"/>
      <c r="G101" s="205"/>
      <c r="H101" s="205"/>
      <c r="I101" s="205"/>
      <c r="J101" s="205"/>
      <c r="K101" s="205"/>
      <c r="L101" s="205"/>
      <c r="M101" s="205"/>
      <c r="O101" s="522">
        <f>SUM(D99:O99)</f>
        <v>0</v>
      </c>
      <c r="P101" s="93"/>
      <c r="AA101" s="522">
        <f>SUM(P99:AA99)</f>
        <v>0</v>
      </c>
      <c r="AB101" s="93"/>
      <c r="AL101" s="152"/>
    </row>
    <row r="102" spans="1:38" x14ac:dyDescent="0.2">
      <c r="A102" s="557" t="s">
        <v>192</v>
      </c>
      <c r="B102" s="52"/>
      <c r="C102" s="52"/>
      <c r="D102" s="523">
        <f>SUM(B99:D99)</f>
        <v>0</v>
      </c>
      <c r="E102" s="511"/>
      <c r="F102" s="511"/>
      <c r="G102" s="511"/>
      <c r="H102" s="511"/>
      <c r="I102" s="511"/>
      <c r="J102" s="511"/>
      <c r="K102" s="511"/>
      <c r="L102" s="511"/>
      <c r="M102" s="511"/>
      <c r="N102" s="511"/>
      <c r="O102" s="205"/>
      <c r="P102" s="524">
        <f>SUM(E99:P99)</f>
        <v>0</v>
      </c>
      <c r="AA102" s="205"/>
      <c r="AB102" s="524">
        <f>SUM(Q99:AB99)</f>
        <v>0</v>
      </c>
      <c r="AL102" s="152"/>
    </row>
    <row r="103" spans="1:38" x14ac:dyDescent="0.2">
      <c r="A103" s="600" t="s">
        <v>191</v>
      </c>
      <c r="B103" s="66"/>
      <c r="C103" s="204"/>
      <c r="D103" s="511"/>
      <c r="E103" s="526">
        <f>SUM(B99:E99)</f>
        <v>0</v>
      </c>
      <c r="F103" s="511"/>
      <c r="G103" s="511"/>
      <c r="H103" s="511"/>
      <c r="I103" s="511"/>
      <c r="J103" s="511"/>
      <c r="K103" s="511"/>
      <c r="L103" s="511"/>
      <c r="M103" s="511"/>
      <c r="N103" s="511"/>
      <c r="O103" s="205"/>
      <c r="P103" s="93"/>
      <c r="Q103" s="525">
        <f>SUM(F99:Q99)</f>
        <v>0</v>
      </c>
      <c r="AA103" s="205"/>
      <c r="AB103" s="93"/>
      <c r="AC103" s="525">
        <f>SUM(R99:AC99)</f>
        <v>0</v>
      </c>
      <c r="AL103" s="152"/>
    </row>
    <row r="104" spans="1:38" x14ac:dyDescent="0.2">
      <c r="A104" s="558" t="s">
        <v>182</v>
      </c>
      <c r="B104" s="66"/>
      <c r="C104" s="204"/>
      <c r="D104" s="511"/>
      <c r="E104" s="511"/>
      <c r="F104" s="527">
        <f>SUM(B99:F99)</f>
        <v>0</v>
      </c>
      <c r="G104" s="511"/>
      <c r="H104" s="511"/>
      <c r="I104" s="511"/>
      <c r="J104" s="511"/>
      <c r="K104" s="511"/>
      <c r="L104" s="511"/>
      <c r="M104" s="511"/>
      <c r="N104" s="511"/>
      <c r="O104" s="205"/>
      <c r="P104" s="93"/>
      <c r="R104" s="528">
        <f>SUM(G99:R99)</f>
        <v>0</v>
      </c>
      <c r="AA104" s="205"/>
      <c r="AB104" s="93"/>
      <c r="AD104" s="528">
        <f>SUM(S99:AD99)</f>
        <v>0</v>
      </c>
      <c r="AL104" s="152"/>
    </row>
    <row r="105" spans="1:38" x14ac:dyDescent="0.2">
      <c r="A105" s="559" t="s">
        <v>183</v>
      </c>
      <c r="B105" s="52"/>
      <c r="C105" s="52"/>
      <c r="D105" s="511"/>
      <c r="E105" s="511"/>
      <c r="F105" s="511"/>
      <c r="G105" s="530">
        <f>SUM(B99:G99)</f>
        <v>0</v>
      </c>
      <c r="H105" s="511"/>
      <c r="I105" s="511"/>
      <c r="J105" s="511"/>
      <c r="K105" s="511"/>
      <c r="L105" s="511"/>
      <c r="M105" s="511"/>
      <c r="N105" s="511"/>
      <c r="O105" s="205"/>
      <c r="P105" s="93"/>
      <c r="S105" s="529">
        <f>SUM(H99:S99)</f>
        <v>0</v>
      </c>
      <c r="AA105" s="205"/>
      <c r="AB105" s="93"/>
      <c r="AE105" s="529">
        <f>SUM(T99:AE99)</f>
        <v>0</v>
      </c>
      <c r="AL105" s="152"/>
    </row>
    <row r="106" spans="1:38" x14ac:dyDescent="0.2">
      <c r="A106" s="560" t="s">
        <v>184</v>
      </c>
      <c r="B106" s="66"/>
      <c r="C106" s="204"/>
      <c r="D106" s="511"/>
      <c r="E106" s="511"/>
      <c r="F106" s="511"/>
      <c r="G106" s="511"/>
      <c r="H106" s="531">
        <f>SUM(B99:H99)</f>
        <v>0</v>
      </c>
      <c r="I106" s="511"/>
      <c r="J106" s="511"/>
      <c r="K106" s="511"/>
      <c r="L106" s="511"/>
      <c r="M106" s="511"/>
      <c r="N106" s="511"/>
      <c r="O106" s="205"/>
      <c r="P106" s="93"/>
      <c r="T106" s="532">
        <f>SUM(I99:T99)</f>
        <v>0</v>
      </c>
      <c r="AA106" s="205"/>
      <c r="AB106" s="93"/>
      <c r="AF106" s="532">
        <f>SUM(U99:AF99)</f>
        <v>0</v>
      </c>
      <c r="AL106" s="152"/>
    </row>
    <row r="107" spans="1:38" x14ac:dyDescent="0.2">
      <c r="A107" s="561" t="s">
        <v>185</v>
      </c>
      <c r="B107" s="52"/>
      <c r="C107" s="52"/>
      <c r="D107" s="511"/>
      <c r="E107" s="511"/>
      <c r="F107" s="511"/>
      <c r="G107" s="511"/>
      <c r="H107" s="511"/>
      <c r="I107" s="537">
        <f>SUM(B99:I99)</f>
        <v>0</v>
      </c>
      <c r="J107" s="511"/>
      <c r="K107" s="511"/>
      <c r="L107" s="511"/>
      <c r="M107" s="511"/>
      <c r="N107" s="511"/>
      <c r="O107" s="205"/>
      <c r="P107" s="93"/>
      <c r="U107" s="533">
        <f>SUM(J99:U99)</f>
        <v>0</v>
      </c>
      <c r="AA107" s="205"/>
      <c r="AB107" s="93"/>
      <c r="AG107" s="533">
        <f>SUM(V99:AG99)</f>
        <v>0</v>
      </c>
      <c r="AL107" s="152"/>
    </row>
    <row r="108" spans="1:38" x14ac:dyDescent="0.2">
      <c r="A108" s="562" t="s">
        <v>186</v>
      </c>
      <c r="B108" s="66"/>
      <c r="C108" s="204"/>
      <c r="D108" s="511"/>
      <c r="E108" s="511"/>
      <c r="F108" s="511"/>
      <c r="G108" s="511"/>
      <c r="H108" s="511"/>
      <c r="I108" s="511"/>
      <c r="J108" s="538">
        <f>SUM(B99:J99)</f>
        <v>0</v>
      </c>
      <c r="K108" s="511"/>
      <c r="L108" s="511"/>
      <c r="M108" s="511"/>
      <c r="N108" s="511"/>
      <c r="O108" s="205"/>
      <c r="P108" s="93"/>
      <c r="V108" s="534">
        <f>SUM(K99:V99)</f>
        <v>0</v>
      </c>
      <c r="AA108" s="205"/>
      <c r="AB108" s="93"/>
      <c r="AH108" s="534">
        <f>SUM(W99:AH99)</f>
        <v>0</v>
      </c>
      <c r="AL108" s="152"/>
    </row>
    <row r="109" spans="1:38" x14ac:dyDescent="0.2">
      <c r="A109" s="563" t="s">
        <v>187</v>
      </c>
      <c r="B109" s="52"/>
      <c r="C109" s="52"/>
      <c r="D109" s="511"/>
      <c r="E109" s="511"/>
      <c r="F109" s="511"/>
      <c r="G109" s="511"/>
      <c r="H109" s="511"/>
      <c r="I109" s="511"/>
      <c r="J109" s="511"/>
      <c r="K109" s="539">
        <f>SUM(B99:K99)</f>
        <v>0</v>
      </c>
      <c r="L109" s="511"/>
      <c r="M109" s="511"/>
      <c r="N109" s="511"/>
      <c r="O109" s="205"/>
      <c r="P109" s="93"/>
      <c r="W109" s="535">
        <f>SUM(L99:W99)</f>
        <v>0</v>
      </c>
      <c r="AA109" s="205"/>
      <c r="AB109" s="93"/>
      <c r="AI109" s="535">
        <f>SUM(X99:AI99)</f>
        <v>0</v>
      </c>
      <c r="AL109" s="152"/>
    </row>
    <row r="110" spans="1:38" x14ac:dyDescent="0.2">
      <c r="A110" s="564" t="s">
        <v>188</v>
      </c>
      <c r="B110" s="66"/>
      <c r="C110" s="204"/>
      <c r="D110" s="511"/>
      <c r="E110" s="511"/>
      <c r="F110" s="511"/>
      <c r="G110" s="511"/>
      <c r="H110" s="511"/>
      <c r="I110" s="511"/>
      <c r="J110" s="511"/>
      <c r="K110" s="511"/>
      <c r="L110" s="540">
        <f>SUM(B99:L99)</f>
        <v>0</v>
      </c>
      <c r="M110" s="511"/>
      <c r="N110" s="511"/>
      <c r="O110" s="205"/>
      <c r="P110" s="93"/>
      <c r="X110" s="536">
        <f>SUM(M99:X99)</f>
        <v>0</v>
      </c>
      <c r="AA110" s="205"/>
      <c r="AB110" s="93"/>
      <c r="AJ110" s="536">
        <f>SUM(Y99:AJ99)</f>
        <v>0</v>
      </c>
      <c r="AL110" s="152"/>
    </row>
    <row r="111" spans="1:38" x14ac:dyDescent="0.2">
      <c r="A111" s="565" t="s">
        <v>189</v>
      </c>
      <c r="B111" s="52"/>
      <c r="C111" s="52"/>
      <c r="D111" s="511"/>
      <c r="E111" s="511"/>
      <c r="F111" s="511"/>
      <c r="G111" s="511"/>
      <c r="H111" s="511"/>
      <c r="I111" s="511"/>
      <c r="J111" s="511"/>
      <c r="K111" s="511"/>
      <c r="L111" s="511"/>
      <c r="M111" s="542">
        <f>SUM(B99:M99)</f>
        <v>0</v>
      </c>
      <c r="N111" s="511"/>
      <c r="O111" s="205"/>
      <c r="P111" s="93"/>
      <c r="Y111" s="541">
        <f>SUM(N99:Y99)</f>
        <v>0</v>
      </c>
      <c r="AA111" s="205"/>
      <c r="AB111" s="93"/>
      <c r="AK111" s="541">
        <f>SUM(Z99:AK99)</f>
        <v>0</v>
      </c>
      <c r="AL111" s="152"/>
    </row>
    <row r="112" spans="1:38" ht="13.5" thickBot="1" x14ac:dyDescent="0.25">
      <c r="A112" s="566" t="s">
        <v>190</v>
      </c>
      <c r="B112" s="567"/>
      <c r="C112" s="207"/>
      <c r="D112" s="568"/>
      <c r="E112" s="568"/>
      <c r="F112" s="568"/>
      <c r="G112" s="568"/>
      <c r="H112" s="568"/>
      <c r="I112" s="568"/>
      <c r="J112" s="568"/>
      <c r="K112" s="568"/>
      <c r="L112" s="568"/>
      <c r="M112" s="568"/>
      <c r="N112" s="569">
        <f>SUM(B99:N99)</f>
        <v>0</v>
      </c>
      <c r="O112" s="303"/>
      <c r="P112" s="570"/>
      <c r="Q112" s="160"/>
      <c r="R112" s="160"/>
      <c r="S112" s="160"/>
      <c r="T112" s="160"/>
      <c r="U112" s="160"/>
      <c r="V112" s="160"/>
      <c r="W112" s="160"/>
      <c r="X112" s="160"/>
      <c r="Y112" s="160"/>
      <c r="Z112" s="571">
        <f>SUM(O99:Z99)</f>
        <v>0</v>
      </c>
      <c r="AA112" s="303"/>
      <c r="AB112" s="570"/>
      <c r="AC112" s="160"/>
      <c r="AD112" s="160"/>
      <c r="AE112" s="160"/>
      <c r="AF112" s="160"/>
      <c r="AG112" s="160"/>
      <c r="AH112" s="160"/>
      <c r="AI112" s="160"/>
      <c r="AJ112" s="160"/>
      <c r="AK112" s="160"/>
      <c r="AL112" s="572">
        <f>SUM(AA99:AL99)</f>
        <v>0</v>
      </c>
    </row>
    <row r="113" spans="1:38" x14ac:dyDescent="0.2">
      <c r="A113" s="552" t="s">
        <v>196</v>
      </c>
      <c r="B113" s="553">
        <f>'FS3 Resultat'!K20</f>
        <v>0</v>
      </c>
      <c r="C113" s="577">
        <f>B113-B114</f>
        <v>0</v>
      </c>
      <c r="D113" s="577">
        <f t="shared" ref="D113:AL113" si="13">C113-C114</f>
        <v>0</v>
      </c>
      <c r="E113" s="577">
        <f t="shared" si="13"/>
        <v>0</v>
      </c>
      <c r="F113" s="577">
        <f t="shared" si="13"/>
        <v>0</v>
      </c>
      <c r="G113" s="577">
        <f t="shared" si="13"/>
        <v>0</v>
      </c>
      <c r="H113" s="577">
        <f t="shared" si="13"/>
        <v>0</v>
      </c>
      <c r="I113" s="577">
        <f t="shared" si="13"/>
        <v>0</v>
      </c>
      <c r="J113" s="577">
        <f t="shared" si="13"/>
        <v>0</v>
      </c>
      <c r="K113" s="577">
        <f t="shared" si="13"/>
        <v>0</v>
      </c>
      <c r="L113" s="577">
        <f t="shared" si="13"/>
        <v>0</v>
      </c>
      <c r="M113" s="577">
        <f t="shared" si="13"/>
        <v>0</v>
      </c>
      <c r="N113" s="577">
        <f t="shared" si="13"/>
        <v>0</v>
      </c>
      <c r="O113" s="577">
        <f t="shared" si="13"/>
        <v>0</v>
      </c>
      <c r="P113" s="577">
        <f t="shared" si="13"/>
        <v>0</v>
      </c>
      <c r="Q113" s="577">
        <f t="shared" si="13"/>
        <v>0</v>
      </c>
      <c r="R113" s="577">
        <f t="shared" si="13"/>
        <v>0</v>
      </c>
      <c r="S113" s="577">
        <f t="shared" si="13"/>
        <v>0</v>
      </c>
      <c r="T113" s="577">
        <f t="shared" si="13"/>
        <v>0</v>
      </c>
      <c r="U113" s="577">
        <f t="shared" si="13"/>
        <v>0</v>
      </c>
      <c r="V113" s="577">
        <f t="shared" si="13"/>
        <v>0</v>
      </c>
      <c r="W113" s="577">
        <f t="shared" si="13"/>
        <v>0</v>
      </c>
      <c r="X113" s="577">
        <f t="shared" si="13"/>
        <v>0</v>
      </c>
      <c r="Y113" s="577">
        <f t="shared" si="13"/>
        <v>0</v>
      </c>
      <c r="Z113" s="577">
        <f t="shared" si="13"/>
        <v>0</v>
      </c>
      <c r="AA113" s="577">
        <f t="shared" si="13"/>
        <v>0</v>
      </c>
      <c r="AB113" s="577">
        <f t="shared" si="13"/>
        <v>0</v>
      </c>
      <c r="AC113" s="577">
        <f t="shared" si="13"/>
        <v>0</v>
      </c>
      <c r="AD113" s="577">
        <f t="shared" si="13"/>
        <v>0</v>
      </c>
      <c r="AE113" s="577">
        <f t="shared" si="13"/>
        <v>0</v>
      </c>
      <c r="AF113" s="577">
        <f t="shared" si="13"/>
        <v>0</v>
      </c>
      <c r="AG113" s="577">
        <f t="shared" si="13"/>
        <v>0</v>
      </c>
      <c r="AH113" s="577">
        <f t="shared" si="13"/>
        <v>0</v>
      </c>
      <c r="AI113" s="577">
        <f t="shared" si="13"/>
        <v>0</v>
      </c>
      <c r="AJ113" s="577">
        <f t="shared" si="13"/>
        <v>0</v>
      </c>
      <c r="AK113" s="577">
        <f t="shared" si="13"/>
        <v>0</v>
      </c>
      <c r="AL113" s="578">
        <f t="shared" si="13"/>
        <v>0</v>
      </c>
    </row>
    <row r="114" spans="1:38" x14ac:dyDescent="0.2">
      <c r="A114" s="554" t="s">
        <v>177</v>
      </c>
      <c r="B114" s="66">
        <f>IF(B113=0,0,IF('FS3 Resultat'!$I20=2,0,IF('FS3 Resultat'!$I20=1,0,'FS3 Resultat'!$K20/(2*'FS3 Resultat'!$J20))))</f>
        <v>0</v>
      </c>
      <c r="C114" s="204"/>
      <c r="D114" s="205"/>
      <c r="E114" s="205"/>
      <c r="F114" s="205"/>
      <c r="G114" s="205"/>
      <c r="H114" s="66">
        <f>IF(H113=0,0,IF('FS3 Resultat'!$I20=2,0,IF('FS3 Resultat'!$I20=1,0,'FS3 Resultat'!$K20/(2*'FS3 Resultat'!$J20))))</f>
        <v>0</v>
      </c>
      <c r="I114" s="205"/>
      <c r="J114" s="205"/>
      <c r="K114" s="205"/>
      <c r="L114" s="205"/>
      <c r="M114" s="205"/>
      <c r="N114" s="66">
        <f>IF(N113=0,0,IF('FS3 Resultat'!$I20=2,0,IF('FS3 Resultat'!$I20=1,'FS3 Resultat'!$K20/(2*'FS3 Resultat'!$J20-2),'FS3 Resultat'!$K20/(2*'FS3 Resultat'!$J20))))</f>
        <v>0</v>
      </c>
      <c r="O114" s="205"/>
      <c r="P114" s="93"/>
      <c r="T114" s="66">
        <f>IF(T113=0,0,IF('FS3 Resultat'!$I20=2,0,IF('FS3 Resultat'!$I20=1,'FS3 Resultat'!$K20/(2*'FS3 Resultat'!$J20-2),'FS3 Resultat'!$K20/(2*'FS3 Resultat'!$J20))))</f>
        <v>0</v>
      </c>
      <c r="Z114" s="66">
        <f>IF(Z113=0,0,IF('FS3 Resultat'!$I20=2,'FS3 Resultat'!$K20/(2*'FS3 Resultat'!$J20-4),IF('FS3 Resultat'!$I20=1,'FS3 Resultat'!$K20/(2*'FS3 Resultat'!$J20-2),'FS3 Resultat'!$K20/(2*'FS3 Resultat'!$J20))))</f>
        <v>0</v>
      </c>
      <c r="AF114" s="66">
        <f>IF(AF113=0,0,IF('FS3 Resultat'!$I20=2,'FS3 Resultat'!$K20/(2*'FS3 Resultat'!$J20-4),IF('FS3 Resultat'!$I20=1,'FS3 Resultat'!$K20/(2*'FS3 Resultat'!$J20-2),'FS3 Resultat'!$K20/(2*'FS3 Resultat'!$J20))))</f>
        <v>0</v>
      </c>
      <c r="AL114" s="579">
        <f>IF(AL113=0,0,IF('FS3 Resultat'!$I20=2,'FS3 Resultat'!$K20/(2*'FS3 Resultat'!$J20-4),IF('FS3 Resultat'!$I20=1,'FS3 Resultat'!$K20/(2*'FS3 Resultat'!$J20-2),'FS3 Resultat'!$K20/(2*'FS3 Resultat'!$J20))))</f>
        <v>0</v>
      </c>
    </row>
    <row r="115" spans="1:38" s="589" customFormat="1" x14ac:dyDescent="0.2">
      <c r="A115" s="587" t="s">
        <v>221</v>
      </c>
      <c r="B115" s="588">
        <f>B113-B114</f>
        <v>0</v>
      </c>
      <c r="C115" s="588">
        <f t="shared" ref="C115:AL115" si="14">C113-C114</f>
        <v>0</v>
      </c>
      <c r="D115" s="588">
        <f t="shared" si="14"/>
        <v>0</v>
      </c>
      <c r="E115" s="588">
        <f t="shared" si="14"/>
        <v>0</v>
      </c>
      <c r="F115" s="588">
        <f t="shared" si="14"/>
        <v>0</v>
      </c>
      <c r="G115" s="588">
        <f t="shared" si="14"/>
        <v>0</v>
      </c>
      <c r="H115" s="588">
        <f t="shared" si="14"/>
        <v>0</v>
      </c>
      <c r="I115" s="588">
        <f t="shared" si="14"/>
        <v>0</v>
      </c>
      <c r="J115" s="588">
        <f t="shared" si="14"/>
        <v>0</v>
      </c>
      <c r="K115" s="588">
        <f t="shared" si="14"/>
        <v>0</v>
      </c>
      <c r="L115" s="588">
        <f t="shared" si="14"/>
        <v>0</v>
      </c>
      <c r="M115" s="588">
        <f t="shared" si="14"/>
        <v>0</v>
      </c>
      <c r="N115" s="588">
        <f t="shared" si="14"/>
        <v>0</v>
      </c>
      <c r="O115" s="588">
        <f t="shared" si="14"/>
        <v>0</v>
      </c>
      <c r="P115" s="588">
        <f t="shared" si="14"/>
        <v>0</v>
      </c>
      <c r="Q115" s="588">
        <f t="shared" si="14"/>
        <v>0</v>
      </c>
      <c r="R115" s="588">
        <f t="shared" si="14"/>
        <v>0</v>
      </c>
      <c r="S115" s="588">
        <f t="shared" si="14"/>
        <v>0</v>
      </c>
      <c r="T115" s="588">
        <f t="shared" si="14"/>
        <v>0</v>
      </c>
      <c r="U115" s="588">
        <f t="shared" si="14"/>
        <v>0</v>
      </c>
      <c r="V115" s="588">
        <f t="shared" si="14"/>
        <v>0</v>
      </c>
      <c r="W115" s="588">
        <f t="shared" si="14"/>
        <v>0</v>
      </c>
      <c r="X115" s="588">
        <f t="shared" si="14"/>
        <v>0</v>
      </c>
      <c r="Y115" s="588">
        <f t="shared" si="14"/>
        <v>0</v>
      </c>
      <c r="Z115" s="588">
        <f t="shared" si="14"/>
        <v>0</v>
      </c>
      <c r="AA115" s="588">
        <f t="shared" si="14"/>
        <v>0</v>
      </c>
      <c r="AB115" s="588">
        <f t="shared" si="14"/>
        <v>0</v>
      </c>
      <c r="AC115" s="588">
        <f t="shared" si="14"/>
        <v>0</v>
      </c>
      <c r="AD115" s="588">
        <f t="shared" si="14"/>
        <v>0</v>
      </c>
      <c r="AE115" s="588">
        <f t="shared" si="14"/>
        <v>0</v>
      </c>
      <c r="AF115" s="588">
        <f t="shared" si="14"/>
        <v>0</v>
      </c>
      <c r="AG115" s="588">
        <f t="shared" si="14"/>
        <v>0</v>
      </c>
      <c r="AH115" s="588">
        <f t="shared" si="14"/>
        <v>0</v>
      </c>
      <c r="AI115" s="588">
        <f t="shared" si="14"/>
        <v>0</v>
      </c>
      <c r="AJ115" s="588">
        <f t="shared" si="14"/>
        <v>0</v>
      </c>
      <c r="AK115" s="588">
        <f t="shared" si="14"/>
        <v>0</v>
      </c>
      <c r="AL115" s="640">
        <f t="shared" si="14"/>
        <v>0</v>
      </c>
    </row>
    <row r="116" spans="1:38" x14ac:dyDescent="0.2">
      <c r="A116" s="554" t="s">
        <v>26</v>
      </c>
      <c r="B116" s="508">
        <f>'FS3 Resultat'!H20</f>
        <v>0</v>
      </c>
      <c r="C116" s="509">
        <f>B116</f>
        <v>0</v>
      </c>
      <c r="D116" s="509">
        <f t="shared" ref="D116:AL116" si="15">C116</f>
        <v>0</v>
      </c>
      <c r="E116" s="509">
        <f t="shared" si="15"/>
        <v>0</v>
      </c>
      <c r="F116" s="509">
        <f t="shared" si="15"/>
        <v>0</v>
      </c>
      <c r="G116" s="509">
        <f t="shared" si="15"/>
        <v>0</v>
      </c>
      <c r="H116" s="509">
        <f t="shared" si="15"/>
        <v>0</v>
      </c>
      <c r="I116" s="509">
        <f t="shared" si="15"/>
        <v>0</v>
      </c>
      <c r="J116" s="509">
        <f t="shared" si="15"/>
        <v>0</v>
      </c>
      <c r="K116" s="509">
        <f t="shared" si="15"/>
        <v>0</v>
      </c>
      <c r="L116" s="509">
        <f t="shared" si="15"/>
        <v>0</v>
      </c>
      <c r="M116" s="509">
        <f t="shared" si="15"/>
        <v>0</v>
      </c>
      <c r="N116" s="509">
        <f t="shared" si="15"/>
        <v>0</v>
      </c>
      <c r="O116" s="509">
        <f t="shared" si="15"/>
        <v>0</v>
      </c>
      <c r="P116" s="509">
        <f t="shared" si="15"/>
        <v>0</v>
      </c>
      <c r="Q116" s="509">
        <f t="shared" si="15"/>
        <v>0</v>
      </c>
      <c r="R116" s="509">
        <f t="shared" si="15"/>
        <v>0</v>
      </c>
      <c r="S116" s="509">
        <f t="shared" si="15"/>
        <v>0</v>
      </c>
      <c r="T116" s="509">
        <f t="shared" si="15"/>
        <v>0</v>
      </c>
      <c r="U116" s="509">
        <f t="shared" si="15"/>
        <v>0</v>
      </c>
      <c r="V116" s="509">
        <f t="shared" si="15"/>
        <v>0</v>
      </c>
      <c r="W116" s="509">
        <f t="shared" si="15"/>
        <v>0</v>
      </c>
      <c r="X116" s="509">
        <f t="shared" si="15"/>
        <v>0</v>
      </c>
      <c r="Y116" s="509">
        <f t="shared" si="15"/>
        <v>0</v>
      </c>
      <c r="Z116" s="509">
        <f t="shared" si="15"/>
        <v>0</v>
      </c>
      <c r="AA116" s="509">
        <f t="shared" si="15"/>
        <v>0</v>
      </c>
      <c r="AB116" s="509">
        <f t="shared" si="15"/>
        <v>0</v>
      </c>
      <c r="AC116" s="509">
        <f t="shared" si="15"/>
        <v>0</v>
      </c>
      <c r="AD116" s="509">
        <f t="shared" si="15"/>
        <v>0</v>
      </c>
      <c r="AE116" s="509">
        <f t="shared" si="15"/>
        <v>0</v>
      </c>
      <c r="AF116" s="509">
        <f t="shared" si="15"/>
        <v>0</v>
      </c>
      <c r="AG116" s="509">
        <f t="shared" si="15"/>
        <v>0</v>
      </c>
      <c r="AH116" s="509">
        <f t="shared" si="15"/>
        <v>0</v>
      </c>
      <c r="AI116" s="509">
        <f t="shared" si="15"/>
        <v>0</v>
      </c>
      <c r="AJ116" s="509">
        <f t="shared" si="15"/>
        <v>0</v>
      </c>
      <c r="AK116" s="509">
        <f t="shared" si="15"/>
        <v>0</v>
      </c>
      <c r="AL116" s="580">
        <f t="shared" si="15"/>
        <v>0</v>
      </c>
    </row>
    <row r="117" spans="1:38" x14ac:dyDescent="0.2">
      <c r="A117" s="554" t="s">
        <v>178</v>
      </c>
      <c r="B117" s="510">
        <f>(B113)*B116/2</f>
        <v>0</v>
      </c>
      <c r="C117" s="510">
        <f>(C113)*C116/12</f>
        <v>0</v>
      </c>
      <c r="D117" s="510">
        <f t="shared" ref="D117:AL117" si="16">(D113)*D116/12</f>
        <v>0</v>
      </c>
      <c r="E117" s="510">
        <f t="shared" si="16"/>
        <v>0</v>
      </c>
      <c r="F117" s="510">
        <f t="shared" si="16"/>
        <v>0</v>
      </c>
      <c r="G117" s="510">
        <f t="shared" si="16"/>
        <v>0</v>
      </c>
      <c r="H117" s="510">
        <f t="shared" si="16"/>
        <v>0</v>
      </c>
      <c r="I117" s="510">
        <f t="shared" si="16"/>
        <v>0</v>
      </c>
      <c r="J117" s="510">
        <f t="shared" si="16"/>
        <v>0</v>
      </c>
      <c r="K117" s="510">
        <f t="shared" si="16"/>
        <v>0</v>
      </c>
      <c r="L117" s="510">
        <f t="shared" si="16"/>
        <v>0</v>
      </c>
      <c r="M117" s="510">
        <f t="shared" si="16"/>
        <v>0</v>
      </c>
      <c r="N117" s="510">
        <f t="shared" si="16"/>
        <v>0</v>
      </c>
      <c r="O117" s="510">
        <f t="shared" si="16"/>
        <v>0</v>
      </c>
      <c r="P117" s="510">
        <f t="shared" si="16"/>
        <v>0</v>
      </c>
      <c r="Q117" s="510">
        <f t="shared" si="16"/>
        <v>0</v>
      </c>
      <c r="R117" s="510">
        <f t="shared" si="16"/>
        <v>0</v>
      </c>
      <c r="S117" s="510">
        <f t="shared" si="16"/>
        <v>0</v>
      </c>
      <c r="T117" s="510">
        <f t="shared" si="16"/>
        <v>0</v>
      </c>
      <c r="U117" s="510">
        <f t="shared" si="16"/>
        <v>0</v>
      </c>
      <c r="V117" s="510">
        <f t="shared" si="16"/>
        <v>0</v>
      </c>
      <c r="W117" s="510">
        <f t="shared" si="16"/>
        <v>0</v>
      </c>
      <c r="X117" s="510">
        <f t="shared" si="16"/>
        <v>0</v>
      </c>
      <c r="Y117" s="510">
        <f t="shared" si="16"/>
        <v>0</v>
      </c>
      <c r="Z117" s="510">
        <f t="shared" si="16"/>
        <v>0</v>
      </c>
      <c r="AA117" s="510">
        <f t="shared" si="16"/>
        <v>0</v>
      </c>
      <c r="AB117" s="510">
        <f t="shared" si="16"/>
        <v>0</v>
      </c>
      <c r="AC117" s="510">
        <f t="shared" si="16"/>
        <v>0</v>
      </c>
      <c r="AD117" s="510">
        <f t="shared" si="16"/>
        <v>0</v>
      </c>
      <c r="AE117" s="510">
        <f t="shared" si="16"/>
        <v>0</v>
      </c>
      <c r="AF117" s="510">
        <f t="shared" si="16"/>
        <v>0</v>
      </c>
      <c r="AG117" s="510">
        <f t="shared" si="16"/>
        <v>0</v>
      </c>
      <c r="AH117" s="510">
        <f t="shared" si="16"/>
        <v>0</v>
      </c>
      <c r="AI117" s="510">
        <f t="shared" si="16"/>
        <v>0</v>
      </c>
      <c r="AJ117" s="510">
        <f t="shared" si="16"/>
        <v>0</v>
      </c>
      <c r="AK117" s="510">
        <f t="shared" si="16"/>
        <v>0</v>
      </c>
      <c r="AL117" s="581">
        <f t="shared" si="16"/>
        <v>0</v>
      </c>
    </row>
    <row r="118" spans="1:38" x14ac:dyDescent="0.2">
      <c r="A118" s="555" t="s">
        <v>180</v>
      </c>
      <c r="B118" s="519">
        <f>B117</f>
        <v>0</v>
      </c>
      <c r="C118" s="204"/>
      <c r="D118" s="205"/>
      <c r="E118" s="205"/>
      <c r="F118" s="205"/>
      <c r="G118" s="205"/>
      <c r="H118" s="205"/>
      <c r="I118" s="205"/>
      <c r="J118" s="205"/>
      <c r="K118" s="205"/>
      <c r="L118" s="205"/>
      <c r="M118" s="205"/>
      <c r="N118" s="520">
        <f>SUM(C117:N117)</f>
        <v>0</v>
      </c>
      <c r="O118" s="205"/>
      <c r="P118" s="93"/>
      <c r="Z118" s="520">
        <f>SUM(O117:Z117)</f>
        <v>0</v>
      </c>
      <c r="AL118" s="152"/>
    </row>
    <row r="119" spans="1:38" x14ac:dyDescent="0.2">
      <c r="A119" s="556" t="s">
        <v>181</v>
      </c>
      <c r="B119" s="66"/>
      <c r="C119" s="521">
        <f>B118+C117</f>
        <v>0</v>
      </c>
      <c r="D119" s="205"/>
      <c r="E119" s="205"/>
      <c r="F119" s="205"/>
      <c r="G119" s="205"/>
      <c r="H119" s="205"/>
      <c r="I119" s="205"/>
      <c r="J119" s="205"/>
      <c r="K119" s="205"/>
      <c r="L119" s="205"/>
      <c r="M119" s="205"/>
      <c r="O119" s="522">
        <f>SUM(D117:O117)</f>
        <v>0</v>
      </c>
      <c r="P119" s="93"/>
      <c r="AA119" s="522">
        <f>SUM(P117:AA117)</f>
        <v>0</v>
      </c>
      <c r="AB119" s="93"/>
      <c r="AL119" s="152"/>
    </row>
    <row r="120" spans="1:38" x14ac:dyDescent="0.2">
      <c r="A120" s="557" t="s">
        <v>192</v>
      </c>
      <c r="B120" s="52"/>
      <c r="C120" s="52"/>
      <c r="D120" s="523">
        <f>SUM(B117:D117)</f>
        <v>0</v>
      </c>
      <c r="E120" s="511"/>
      <c r="F120" s="511"/>
      <c r="G120" s="511"/>
      <c r="H120" s="511"/>
      <c r="I120" s="511"/>
      <c r="J120" s="511"/>
      <c r="K120" s="511"/>
      <c r="L120" s="511"/>
      <c r="M120" s="511"/>
      <c r="N120" s="511"/>
      <c r="O120" s="205"/>
      <c r="P120" s="524">
        <f>SUM(E117:P117)</f>
        <v>0</v>
      </c>
      <c r="AA120" s="205"/>
      <c r="AB120" s="524">
        <f>SUM(Q117:AB117)</f>
        <v>0</v>
      </c>
      <c r="AL120" s="152"/>
    </row>
    <row r="121" spans="1:38" x14ac:dyDescent="0.2">
      <c r="A121" s="600" t="s">
        <v>191</v>
      </c>
      <c r="B121" s="66"/>
      <c r="C121" s="204"/>
      <c r="D121" s="511"/>
      <c r="E121" s="526">
        <f>SUM(B117:E117)</f>
        <v>0</v>
      </c>
      <c r="F121" s="511"/>
      <c r="G121" s="511"/>
      <c r="H121" s="511"/>
      <c r="I121" s="511"/>
      <c r="J121" s="511"/>
      <c r="K121" s="511"/>
      <c r="L121" s="511"/>
      <c r="M121" s="511"/>
      <c r="N121" s="511"/>
      <c r="O121" s="205"/>
      <c r="P121" s="93"/>
      <c r="Q121" s="525">
        <f>SUM(F117:Q117)</f>
        <v>0</v>
      </c>
      <c r="AA121" s="205"/>
      <c r="AB121" s="93"/>
      <c r="AC121" s="525">
        <f>SUM(R117:AC117)</f>
        <v>0</v>
      </c>
      <c r="AL121" s="152"/>
    </row>
    <row r="122" spans="1:38" x14ac:dyDescent="0.2">
      <c r="A122" s="558" t="s">
        <v>182</v>
      </c>
      <c r="B122" s="66"/>
      <c r="C122" s="204"/>
      <c r="D122" s="511"/>
      <c r="E122" s="511"/>
      <c r="F122" s="527">
        <f>SUM(B117:F117)</f>
        <v>0</v>
      </c>
      <c r="G122" s="511"/>
      <c r="H122" s="511"/>
      <c r="I122" s="511"/>
      <c r="J122" s="511"/>
      <c r="K122" s="511"/>
      <c r="L122" s="511"/>
      <c r="M122" s="511"/>
      <c r="N122" s="511"/>
      <c r="O122" s="205"/>
      <c r="P122" s="93"/>
      <c r="R122" s="528">
        <f>SUM(G117:R117)</f>
        <v>0</v>
      </c>
      <c r="AA122" s="205"/>
      <c r="AB122" s="93"/>
      <c r="AD122" s="528">
        <f>SUM(S117:AD117)</f>
        <v>0</v>
      </c>
      <c r="AL122" s="152"/>
    </row>
    <row r="123" spans="1:38" x14ac:dyDescent="0.2">
      <c r="A123" s="559" t="s">
        <v>183</v>
      </c>
      <c r="B123" s="52"/>
      <c r="C123" s="52"/>
      <c r="D123" s="511"/>
      <c r="E123" s="511"/>
      <c r="F123" s="511"/>
      <c r="G123" s="530">
        <f>SUM(B117:G117)</f>
        <v>0</v>
      </c>
      <c r="H123" s="511"/>
      <c r="I123" s="511"/>
      <c r="J123" s="511"/>
      <c r="K123" s="511"/>
      <c r="L123" s="511"/>
      <c r="M123" s="511"/>
      <c r="N123" s="511"/>
      <c r="O123" s="205"/>
      <c r="P123" s="93"/>
      <c r="S123" s="529">
        <f>SUM(H117:S117)</f>
        <v>0</v>
      </c>
      <c r="AA123" s="205"/>
      <c r="AB123" s="93"/>
      <c r="AE123" s="529">
        <f>SUM(T117:AE117)</f>
        <v>0</v>
      </c>
      <c r="AL123" s="152"/>
    </row>
    <row r="124" spans="1:38" x14ac:dyDescent="0.2">
      <c r="A124" s="560" t="s">
        <v>184</v>
      </c>
      <c r="B124" s="66"/>
      <c r="C124" s="204"/>
      <c r="D124" s="511"/>
      <c r="E124" s="511"/>
      <c r="F124" s="511"/>
      <c r="G124" s="511"/>
      <c r="H124" s="531">
        <f>SUM(B117:H117)</f>
        <v>0</v>
      </c>
      <c r="I124" s="511"/>
      <c r="J124" s="511"/>
      <c r="K124" s="511"/>
      <c r="L124" s="511"/>
      <c r="M124" s="511"/>
      <c r="N124" s="511"/>
      <c r="O124" s="205"/>
      <c r="P124" s="93"/>
      <c r="T124" s="532">
        <f>SUM(I117:T117)</f>
        <v>0</v>
      </c>
      <c r="AA124" s="205"/>
      <c r="AB124" s="93"/>
      <c r="AF124" s="532">
        <f>SUM(U117:AF117)</f>
        <v>0</v>
      </c>
      <c r="AL124" s="152"/>
    </row>
    <row r="125" spans="1:38" x14ac:dyDescent="0.2">
      <c r="A125" s="561" t="s">
        <v>185</v>
      </c>
      <c r="B125" s="52"/>
      <c r="C125" s="52"/>
      <c r="D125" s="511"/>
      <c r="E125" s="511"/>
      <c r="F125" s="511"/>
      <c r="G125" s="511"/>
      <c r="H125" s="511"/>
      <c r="I125" s="537">
        <f>SUM(B117:I117)</f>
        <v>0</v>
      </c>
      <c r="J125" s="511"/>
      <c r="K125" s="511"/>
      <c r="L125" s="511"/>
      <c r="M125" s="511"/>
      <c r="N125" s="511"/>
      <c r="O125" s="205"/>
      <c r="P125" s="93"/>
      <c r="U125" s="533">
        <f>SUM(J117:U117)</f>
        <v>0</v>
      </c>
      <c r="AA125" s="205"/>
      <c r="AB125" s="93"/>
      <c r="AG125" s="533">
        <f>SUM(V117:AG117)</f>
        <v>0</v>
      </c>
      <c r="AL125" s="152"/>
    </row>
    <row r="126" spans="1:38" x14ac:dyDescent="0.2">
      <c r="A126" s="562" t="s">
        <v>186</v>
      </c>
      <c r="B126" s="66"/>
      <c r="C126" s="204"/>
      <c r="D126" s="511"/>
      <c r="E126" s="511"/>
      <c r="F126" s="511"/>
      <c r="G126" s="511"/>
      <c r="H126" s="511"/>
      <c r="I126" s="511"/>
      <c r="J126" s="538">
        <f>SUM(B117:J117)</f>
        <v>0</v>
      </c>
      <c r="K126" s="511"/>
      <c r="L126" s="511"/>
      <c r="M126" s="511"/>
      <c r="N126" s="511"/>
      <c r="O126" s="205"/>
      <c r="P126" s="93"/>
      <c r="V126" s="534">
        <f>SUM(K117:V117)</f>
        <v>0</v>
      </c>
      <c r="AA126" s="205"/>
      <c r="AB126" s="93"/>
      <c r="AH126" s="534">
        <f>SUM(W117:AH117)</f>
        <v>0</v>
      </c>
      <c r="AL126" s="152"/>
    </row>
    <row r="127" spans="1:38" x14ac:dyDescent="0.2">
      <c r="A127" s="563" t="s">
        <v>187</v>
      </c>
      <c r="B127" s="52"/>
      <c r="C127" s="52"/>
      <c r="D127" s="511"/>
      <c r="E127" s="511"/>
      <c r="F127" s="511"/>
      <c r="G127" s="511"/>
      <c r="H127" s="511"/>
      <c r="I127" s="511"/>
      <c r="J127" s="511"/>
      <c r="K127" s="539">
        <f>SUM(B117:K117)</f>
        <v>0</v>
      </c>
      <c r="L127" s="511"/>
      <c r="M127" s="511"/>
      <c r="N127" s="511"/>
      <c r="O127" s="205"/>
      <c r="P127" s="93"/>
      <c r="W127" s="535">
        <f>SUM(L117:W117)</f>
        <v>0</v>
      </c>
      <c r="AA127" s="205"/>
      <c r="AB127" s="93"/>
      <c r="AI127" s="535">
        <f>SUM(X117:AI117)</f>
        <v>0</v>
      </c>
      <c r="AL127" s="152"/>
    </row>
    <row r="128" spans="1:38" x14ac:dyDescent="0.2">
      <c r="A128" s="564" t="s">
        <v>188</v>
      </c>
      <c r="B128" s="66"/>
      <c r="C128" s="204"/>
      <c r="D128" s="511"/>
      <c r="E128" s="511"/>
      <c r="F128" s="511"/>
      <c r="G128" s="511"/>
      <c r="H128" s="511"/>
      <c r="I128" s="511"/>
      <c r="J128" s="511"/>
      <c r="K128" s="511"/>
      <c r="L128" s="540">
        <f>SUM(B117:L117)</f>
        <v>0</v>
      </c>
      <c r="M128" s="511"/>
      <c r="N128" s="511"/>
      <c r="O128" s="205"/>
      <c r="P128" s="93"/>
      <c r="X128" s="536">
        <f>SUM(M117:X117)</f>
        <v>0</v>
      </c>
      <c r="AA128" s="205"/>
      <c r="AB128" s="93"/>
      <c r="AJ128" s="536">
        <f>SUM(Y117:AJ117)</f>
        <v>0</v>
      </c>
      <c r="AL128" s="152"/>
    </row>
    <row r="129" spans="1:38" x14ac:dyDescent="0.2">
      <c r="A129" s="565" t="s">
        <v>189</v>
      </c>
      <c r="B129" s="52"/>
      <c r="C129" s="52"/>
      <c r="D129" s="511"/>
      <c r="E129" s="511"/>
      <c r="F129" s="511"/>
      <c r="G129" s="511"/>
      <c r="H129" s="511"/>
      <c r="I129" s="511"/>
      <c r="J129" s="511"/>
      <c r="K129" s="511"/>
      <c r="L129" s="511"/>
      <c r="M129" s="542">
        <f>SUM(B117:M117)</f>
        <v>0</v>
      </c>
      <c r="N129" s="511"/>
      <c r="O129" s="205"/>
      <c r="P129" s="93"/>
      <c r="Y129" s="541">
        <f>SUM(N117:Y117)</f>
        <v>0</v>
      </c>
      <c r="AA129" s="205"/>
      <c r="AB129" s="93"/>
      <c r="AK129" s="541">
        <f>SUM(Z117:AK117)</f>
        <v>0</v>
      </c>
      <c r="AL129" s="152"/>
    </row>
    <row r="130" spans="1:38" ht="13.5" thickBot="1" x14ac:dyDescent="0.25">
      <c r="A130" s="566" t="s">
        <v>190</v>
      </c>
      <c r="B130" s="567"/>
      <c r="C130" s="207"/>
      <c r="D130" s="568"/>
      <c r="E130" s="568"/>
      <c r="F130" s="568"/>
      <c r="G130" s="568"/>
      <c r="H130" s="568"/>
      <c r="I130" s="568"/>
      <c r="J130" s="568"/>
      <c r="K130" s="568"/>
      <c r="L130" s="568"/>
      <c r="M130" s="568"/>
      <c r="N130" s="569">
        <f>SUM(B117:N117)</f>
        <v>0</v>
      </c>
      <c r="O130" s="303"/>
      <c r="P130" s="570"/>
      <c r="Q130" s="160"/>
      <c r="R130" s="160"/>
      <c r="S130" s="160"/>
      <c r="T130" s="160"/>
      <c r="U130" s="160"/>
      <c r="V130" s="160"/>
      <c r="W130" s="160"/>
      <c r="X130" s="160"/>
      <c r="Y130" s="160"/>
      <c r="Z130" s="571">
        <f>SUM(O117:Z117)</f>
        <v>0</v>
      </c>
      <c r="AA130" s="303"/>
      <c r="AB130" s="570"/>
      <c r="AC130" s="160"/>
      <c r="AD130" s="160"/>
      <c r="AE130" s="160"/>
      <c r="AF130" s="160"/>
      <c r="AG130" s="160"/>
      <c r="AH130" s="160"/>
      <c r="AI130" s="160"/>
      <c r="AJ130" s="160"/>
      <c r="AK130" s="160"/>
      <c r="AL130" s="572">
        <f>SUM(AA117:AL117)</f>
        <v>0</v>
      </c>
    </row>
    <row r="131" spans="1:38" s="2" customFormat="1" ht="24" customHeight="1" x14ac:dyDescent="0.2">
      <c r="A131" s="641" t="s">
        <v>223</v>
      </c>
      <c r="B131" s="642">
        <f>B113+B95+B77</f>
        <v>0</v>
      </c>
      <c r="C131" s="642">
        <f t="shared" ref="C131:AL131" si="17">C113+C95+C77</f>
        <v>0</v>
      </c>
      <c r="D131" s="642">
        <f t="shared" si="17"/>
        <v>0</v>
      </c>
      <c r="E131" s="642">
        <f t="shared" si="17"/>
        <v>0</v>
      </c>
      <c r="F131" s="642">
        <f t="shared" si="17"/>
        <v>0</v>
      </c>
      <c r="G131" s="642">
        <f t="shared" si="17"/>
        <v>0</v>
      </c>
      <c r="H131" s="642">
        <f t="shared" si="17"/>
        <v>0</v>
      </c>
      <c r="I131" s="642">
        <f t="shared" si="17"/>
        <v>0</v>
      </c>
      <c r="J131" s="642">
        <f t="shared" si="17"/>
        <v>0</v>
      </c>
      <c r="K131" s="642">
        <f t="shared" si="17"/>
        <v>0</v>
      </c>
      <c r="L131" s="642">
        <f t="shared" si="17"/>
        <v>0</v>
      </c>
      <c r="M131" s="642">
        <f t="shared" si="17"/>
        <v>0</v>
      </c>
      <c r="N131" s="642">
        <f t="shared" si="17"/>
        <v>0</v>
      </c>
      <c r="O131" s="642">
        <f t="shared" si="17"/>
        <v>0</v>
      </c>
      <c r="P131" s="642">
        <f t="shared" si="17"/>
        <v>0</v>
      </c>
      <c r="Q131" s="642">
        <f t="shared" si="17"/>
        <v>0</v>
      </c>
      <c r="R131" s="642">
        <f t="shared" si="17"/>
        <v>0</v>
      </c>
      <c r="S131" s="642">
        <f t="shared" si="17"/>
        <v>0</v>
      </c>
      <c r="T131" s="642">
        <f t="shared" si="17"/>
        <v>0</v>
      </c>
      <c r="U131" s="642">
        <f t="shared" si="17"/>
        <v>0</v>
      </c>
      <c r="V131" s="642">
        <f t="shared" si="17"/>
        <v>0</v>
      </c>
      <c r="W131" s="642">
        <f t="shared" si="17"/>
        <v>0</v>
      </c>
      <c r="X131" s="642">
        <f t="shared" si="17"/>
        <v>0</v>
      </c>
      <c r="Y131" s="642">
        <f t="shared" si="17"/>
        <v>0</v>
      </c>
      <c r="Z131" s="642">
        <f t="shared" si="17"/>
        <v>0</v>
      </c>
      <c r="AA131" s="642">
        <f t="shared" si="17"/>
        <v>0</v>
      </c>
      <c r="AB131" s="642">
        <f t="shared" si="17"/>
        <v>0</v>
      </c>
      <c r="AC131" s="642">
        <f t="shared" si="17"/>
        <v>0</v>
      </c>
      <c r="AD131" s="642">
        <f t="shared" si="17"/>
        <v>0</v>
      </c>
      <c r="AE131" s="642">
        <f t="shared" si="17"/>
        <v>0</v>
      </c>
      <c r="AF131" s="642">
        <f t="shared" si="17"/>
        <v>0</v>
      </c>
      <c r="AG131" s="642">
        <f t="shared" si="17"/>
        <v>0</v>
      </c>
      <c r="AH131" s="642">
        <f t="shared" si="17"/>
        <v>0</v>
      </c>
      <c r="AI131" s="642">
        <f t="shared" si="17"/>
        <v>0</v>
      </c>
      <c r="AJ131" s="642">
        <f t="shared" si="17"/>
        <v>0</v>
      </c>
      <c r="AK131" s="642">
        <f t="shared" si="17"/>
        <v>0</v>
      </c>
      <c r="AL131" s="643">
        <f t="shared" si="17"/>
        <v>0</v>
      </c>
    </row>
    <row r="132" spans="1:38" ht="12" customHeight="1" x14ac:dyDescent="0.2">
      <c r="A132" s="644" t="s">
        <v>224</v>
      </c>
      <c r="B132" s="591">
        <f>B114+B96+B78</f>
        <v>0</v>
      </c>
      <c r="C132" s="591">
        <f t="shared" ref="C132:AK132" si="18">C114+C96+C78</f>
        <v>0</v>
      </c>
      <c r="D132" s="591">
        <f t="shared" si="18"/>
        <v>0</v>
      </c>
      <c r="E132" s="591">
        <f t="shared" si="18"/>
        <v>0</v>
      </c>
      <c r="F132" s="591">
        <f t="shared" si="18"/>
        <v>0</v>
      </c>
      <c r="G132" s="591">
        <f t="shared" si="18"/>
        <v>0</v>
      </c>
      <c r="H132" s="591">
        <f t="shared" si="18"/>
        <v>0</v>
      </c>
      <c r="I132" s="591">
        <f t="shared" si="18"/>
        <v>0</v>
      </c>
      <c r="J132" s="591">
        <f t="shared" si="18"/>
        <v>0</v>
      </c>
      <c r="K132" s="591">
        <f t="shared" si="18"/>
        <v>0</v>
      </c>
      <c r="L132" s="591">
        <f t="shared" si="18"/>
        <v>0</v>
      </c>
      <c r="M132" s="591">
        <f t="shared" si="18"/>
        <v>0</v>
      </c>
      <c r="N132" s="591">
        <f t="shared" si="18"/>
        <v>0</v>
      </c>
      <c r="O132" s="591">
        <f t="shared" si="18"/>
        <v>0</v>
      </c>
      <c r="P132" s="591">
        <f t="shared" si="18"/>
        <v>0</v>
      </c>
      <c r="Q132" s="591">
        <f t="shared" si="18"/>
        <v>0</v>
      </c>
      <c r="R132" s="591">
        <f t="shared" si="18"/>
        <v>0</v>
      </c>
      <c r="S132" s="591">
        <f t="shared" si="18"/>
        <v>0</v>
      </c>
      <c r="T132" s="591">
        <f t="shared" si="18"/>
        <v>0</v>
      </c>
      <c r="U132" s="591">
        <f t="shared" si="18"/>
        <v>0</v>
      </c>
      <c r="V132" s="591">
        <f t="shared" si="18"/>
        <v>0</v>
      </c>
      <c r="W132" s="591">
        <f t="shared" si="18"/>
        <v>0</v>
      </c>
      <c r="X132" s="591">
        <f t="shared" si="18"/>
        <v>0</v>
      </c>
      <c r="Y132" s="591">
        <f t="shared" si="18"/>
        <v>0</v>
      </c>
      <c r="Z132" s="591">
        <f>Z114+Z96+Z78</f>
        <v>0</v>
      </c>
      <c r="AA132" s="591">
        <f t="shared" si="18"/>
        <v>0</v>
      </c>
      <c r="AB132" s="591">
        <f t="shared" si="18"/>
        <v>0</v>
      </c>
      <c r="AC132" s="591">
        <f t="shared" si="18"/>
        <v>0</v>
      </c>
      <c r="AD132" s="591">
        <f t="shared" si="18"/>
        <v>0</v>
      </c>
      <c r="AE132" s="591">
        <f t="shared" si="18"/>
        <v>0</v>
      </c>
      <c r="AF132" s="591">
        <f t="shared" si="18"/>
        <v>0</v>
      </c>
      <c r="AG132" s="591">
        <f t="shared" si="18"/>
        <v>0</v>
      </c>
      <c r="AH132" s="591">
        <f t="shared" si="18"/>
        <v>0</v>
      </c>
      <c r="AI132" s="591">
        <f t="shared" si="18"/>
        <v>0</v>
      </c>
      <c r="AJ132" s="591">
        <f t="shared" si="18"/>
        <v>0</v>
      </c>
      <c r="AK132" s="591">
        <f t="shared" si="18"/>
        <v>0</v>
      </c>
      <c r="AL132" s="645">
        <f>AL114+AL96+AL78</f>
        <v>0</v>
      </c>
    </row>
    <row r="133" spans="1:38" ht="12" customHeight="1" x14ac:dyDescent="0.2">
      <c r="A133" s="644" t="s">
        <v>226</v>
      </c>
      <c r="B133" s="591">
        <f>B117+B99+B81</f>
        <v>0</v>
      </c>
      <c r="C133" s="591">
        <f t="shared" ref="C133:AL133" si="19">C117+C99+C81</f>
        <v>0</v>
      </c>
      <c r="D133" s="591">
        <f t="shared" si="19"/>
        <v>0</v>
      </c>
      <c r="E133" s="591">
        <f t="shared" si="19"/>
        <v>0</v>
      </c>
      <c r="F133" s="591">
        <f t="shared" si="19"/>
        <v>0</v>
      </c>
      <c r="G133" s="591">
        <f t="shared" si="19"/>
        <v>0</v>
      </c>
      <c r="H133" s="591">
        <f t="shared" si="19"/>
        <v>0</v>
      </c>
      <c r="I133" s="591">
        <f t="shared" si="19"/>
        <v>0</v>
      </c>
      <c r="J133" s="591">
        <f t="shared" si="19"/>
        <v>0</v>
      </c>
      <c r="K133" s="591">
        <f t="shared" si="19"/>
        <v>0</v>
      </c>
      <c r="L133" s="591">
        <f t="shared" si="19"/>
        <v>0</v>
      </c>
      <c r="M133" s="591">
        <f t="shared" si="19"/>
        <v>0</v>
      </c>
      <c r="N133" s="591">
        <f t="shared" si="19"/>
        <v>0</v>
      </c>
      <c r="O133" s="591">
        <f t="shared" si="19"/>
        <v>0</v>
      </c>
      <c r="P133" s="591">
        <f t="shared" si="19"/>
        <v>0</v>
      </c>
      <c r="Q133" s="591">
        <f t="shared" si="19"/>
        <v>0</v>
      </c>
      <c r="R133" s="591">
        <f t="shared" si="19"/>
        <v>0</v>
      </c>
      <c r="S133" s="591">
        <f t="shared" si="19"/>
        <v>0</v>
      </c>
      <c r="T133" s="591">
        <f t="shared" si="19"/>
        <v>0</v>
      </c>
      <c r="U133" s="591">
        <f t="shared" si="19"/>
        <v>0</v>
      </c>
      <c r="V133" s="591">
        <f t="shared" si="19"/>
        <v>0</v>
      </c>
      <c r="W133" s="591">
        <f t="shared" si="19"/>
        <v>0</v>
      </c>
      <c r="X133" s="591">
        <f t="shared" si="19"/>
        <v>0</v>
      </c>
      <c r="Y133" s="591">
        <f t="shared" si="19"/>
        <v>0</v>
      </c>
      <c r="Z133" s="591">
        <f t="shared" si="19"/>
        <v>0</v>
      </c>
      <c r="AA133" s="591">
        <f t="shared" si="19"/>
        <v>0</v>
      </c>
      <c r="AB133" s="591">
        <f t="shared" si="19"/>
        <v>0</v>
      </c>
      <c r="AC133" s="591">
        <f t="shared" si="19"/>
        <v>0</v>
      </c>
      <c r="AD133" s="591">
        <f t="shared" si="19"/>
        <v>0</v>
      </c>
      <c r="AE133" s="591">
        <f t="shared" si="19"/>
        <v>0</v>
      </c>
      <c r="AF133" s="591">
        <f t="shared" si="19"/>
        <v>0</v>
      </c>
      <c r="AG133" s="591">
        <f t="shared" si="19"/>
        <v>0</v>
      </c>
      <c r="AH133" s="591">
        <f t="shared" si="19"/>
        <v>0</v>
      </c>
      <c r="AI133" s="591">
        <f t="shared" si="19"/>
        <v>0</v>
      </c>
      <c r="AJ133" s="591">
        <f t="shared" si="19"/>
        <v>0</v>
      </c>
      <c r="AK133" s="591">
        <f t="shared" si="19"/>
        <v>0</v>
      </c>
      <c r="AL133" s="645">
        <f t="shared" si="19"/>
        <v>0</v>
      </c>
    </row>
    <row r="134" spans="1:38" x14ac:dyDescent="0.2">
      <c r="A134" s="592" t="s">
        <v>225</v>
      </c>
      <c r="B134" s="594">
        <f>B118+B100+B82</f>
        <v>0</v>
      </c>
      <c r="C134" s="204"/>
      <c r="D134" s="205"/>
      <c r="E134" s="205"/>
      <c r="F134" s="205"/>
      <c r="G134" s="205"/>
      <c r="H134" s="205"/>
      <c r="I134" s="205"/>
      <c r="J134" s="205"/>
      <c r="K134" s="205"/>
      <c r="L134" s="205"/>
      <c r="M134" s="205"/>
      <c r="N134" s="593">
        <f>N118+N100+N82</f>
        <v>0</v>
      </c>
      <c r="O134" s="205"/>
      <c r="P134" s="93"/>
      <c r="Z134" s="520">
        <f>Z118+Z100+Z82</f>
        <v>0</v>
      </c>
      <c r="AL134" s="152"/>
    </row>
    <row r="135" spans="1:38" x14ac:dyDescent="0.2">
      <c r="A135" s="556" t="s">
        <v>181</v>
      </c>
      <c r="B135" s="66"/>
      <c r="C135" s="521">
        <f>C119+C101+C83</f>
        <v>0</v>
      </c>
      <c r="D135" s="205"/>
      <c r="E135" s="205"/>
      <c r="F135" s="205"/>
      <c r="G135" s="205"/>
      <c r="H135" s="205"/>
      <c r="I135" s="205"/>
      <c r="J135" s="205"/>
      <c r="K135" s="205"/>
      <c r="L135" s="205"/>
      <c r="M135" s="205"/>
      <c r="O135" s="522">
        <f>O119+O101+O83</f>
        <v>0</v>
      </c>
      <c r="P135" s="93"/>
      <c r="AA135" s="522">
        <f>AA119+AA101+AA83</f>
        <v>0</v>
      </c>
      <c r="AB135" s="93"/>
      <c r="AL135" s="152"/>
    </row>
    <row r="136" spans="1:38" x14ac:dyDescent="0.2">
      <c r="A136" s="557" t="s">
        <v>192</v>
      </c>
      <c r="B136" s="52"/>
      <c r="C136" s="52"/>
      <c r="D136" s="523">
        <f>D120+D102+D84</f>
        <v>0</v>
      </c>
      <c r="E136" s="511"/>
      <c r="F136" s="511"/>
      <c r="G136" s="511"/>
      <c r="H136" s="511"/>
      <c r="I136" s="511"/>
      <c r="J136" s="511"/>
      <c r="K136" s="511"/>
      <c r="L136" s="511"/>
      <c r="M136" s="511"/>
      <c r="N136" s="511"/>
      <c r="O136" s="205"/>
      <c r="P136" s="524">
        <f>P120+P102+P84</f>
        <v>0</v>
      </c>
      <c r="AA136" s="205"/>
      <c r="AB136" s="524">
        <f>AB120+AB102+AB84</f>
        <v>0</v>
      </c>
      <c r="AL136" s="152"/>
    </row>
    <row r="137" spans="1:38" x14ac:dyDescent="0.2">
      <c r="A137" s="600" t="s">
        <v>191</v>
      </c>
      <c r="B137" s="66"/>
      <c r="C137" s="204"/>
      <c r="D137" s="511"/>
      <c r="E137" s="526">
        <f>E121+E103+E85</f>
        <v>0</v>
      </c>
      <c r="F137" s="511"/>
      <c r="G137" s="511"/>
      <c r="H137" s="511"/>
      <c r="I137" s="511"/>
      <c r="J137" s="511"/>
      <c r="K137" s="511"/>
      <c r="L137" s="511"/>
      <c r="M137" s="511"/>
      <c r="N137" s="511"/>
      <c r="O137" s="205"/>
      <c r="P137" s="93"/>
      <c r="Q137" s="525">
        <f>Q121+Q103+Q85</f>
        <v>0</v>
      </c>
      <c r="AA137" s="205"/>
      <c r="AB137" s="93"/>
      <c r="AC137" s="525">
        <f>AC121+AC103+AC85</f>
        <v>0</v>
      </c>
      <c r="AL137" s="152"/>
    </row>
    <row r="138" spans="1:38" x14ac:dyDescent="0.2">
      <c r="A138" s="558" t="s">
        <v>182</v>
      </c>
      <c r="B138" s="66"/>
      <c r="C138" s="204"/>
      <c r="D138" s="511"/>
      <c r="E138" s="511"/>
      <c r="F138" s="527">
        <f>F122+F104+F86</f>
        <v>0</v>
      </c>
      <c r="G138" s="511"/>
      <c r="H138" s="511"/>
      <c r="I138" s="511"/>
      <c r="J138" s="511"/>
      <c r="K138" s="511"/>
      <c r="L138" s="511"/>
      <c r="M138" s="511"/>
      <c r="N138" s="511"/>
      <c r="O138" s="205"/>
      <c r="P138" s="93"/>
      <c r="R138" s="528">
        <f>R122+R104+R86</f>
        <v>0</v>
      </c>
      <c r="AA138" s="205"/>
      <c r="AB138" s="93"/>
      <c r="AD138" s="528">
        <f>AD122+AD104+AD86</f>
        <v>0</v>
      </c>
      <c r="AL138" s="152"/>
    </row>
    <row r="139" spans="1:38" x14ac:dyDescent="0.2">
      <c r="A139" s="559" t="s">
        <v>183</v>
      </c>
      <c r="B139" s="52"/>
      <c r="C139" s="52"/>
      <c r="D139" s="511"/>
      <c r="E139" s="511"/>
      <c r="F139" s="511"/>
      <c r="G139" s="530">
        <f>G123+G105+G87</f>
        <v>0</v>
      </c>
      <c r="H139" s="511"/>
      <c r="I139" s="511"/>
      <c r="J139" s="511"/>
      <c r="K139" s="511"/>
      <c r="L139" s="511"/>
      <c r="M139" s="511"/>
      <c r="N139" s="511"/>
      <c r="O139" s="205"/>
      <c r="P139" s="93"/>
      <c r="S139" s="529">
        <f>S123+S105+S87</f>
        <v>0</v>
      </c>
      <c r="AA139" s="205"/>
      <c r="AB139" s="93"/>
      <c r="AE139" s="529">
        <f>AE123+AE105+AE87</f>
        <v>0</v>
      </c>
      <c r="AL139" s="152"/>
    </row>
    <row r="140" spans="1:38" x14ac:dyDescent="0.2">
      <c r="A140" s="560" t="s">
        <v>184</v>
      </c>
      <c r="B140" s="66"/>
      <c r="C140" s="204"/>
      <c r="D140" s="511"/>
      <c r="E140" s="511"/>
      <c r="F140" s="511"/>
      <c r="G140" s="511"/>
      <c r="H140" s="531">
        <f>H124+H106+H88</f>
        <v>0</v>
      </c>
      <c r="I140" s="511"/>
      <c r="J140" s="511"/>
      <c r="K140" s="511"/>
      <c r="L140" s="511"/>
      <c r="M140" s="511"/>
      <c r="N140" s="511"/>
      <c r="O140" s="205"/>
      <c r="P140" s="93"/>
      <c r="T140" s="532">
        <f>T124+T106+T88</f>
        <v>0</v>
      </c>
      <c r="AA140" s="205"/>
      <c r="AB140" s="93"/>
      <c r="AF140" s="532">
        <f>AF124+AF106+AF88</f>
        <v>0</v>
      </c>
      <c r="AL140" s="152"/>
    </row>
    <row r="141" spans="1:38" x14ac:dyDescent="0.2">
      <c r="A141" s="561" t="s">
        <v>185</v>
      </c>
      <c r="B141" s="52"/>
      <c r="C141" s="52"/>
      <c r="D141" s="511"/>
      <c r="E141" s="511"/>
      <c r="F141" s="511"/>
      <c r="G141" s="511"/>
      <c r="H141" s="511"/>
      <c r="I141" s="537">
        <f>I125+I107+I89</f>
        <v>0</v>
      </c>
      <c r="J141" s="511"/>
      <c r="K141" s="511"/>
      <c r="L141" s="511"/>
      <c r="M141" s="511"/>
      <c r="N141" s="511"/>
      <c r="O141" s="205"/>
      <c r="P141" s="93"/>
      <c r="U141" s="533">
        <f>U125+U107+U89</f>
        <v>0</v>
      </c>
      <c r="AA141" s="205"/>
      <c r="AB141" s="93"/>
      <c r="AG141" s="533">
        <f>AG125+AG107+AG89</f>
        <v>0</v>
      </c>
      <c r="AL141" s="152"/>
    </row>
    <row r="142" spans="1:38" x14ac:dyDescent="0.2">
      <c r="A142" s="562" t="s">
        <v>186</v>
      </c>
      <c r="B142" s="66"/>
      <c r="C142" s="204"/>
      <c r="D142" s="511"/>
      <c r="E142" s="511"/>
      <c r="F142" s="511"/>
      <c r="G142" s="511"/>
      <c r="H142" s="511"/>
      <c r="I142" s="511"/>
      <c r="J142" s="538">
        <f>J126+J108+J90</f>
        <v>0</v>
      </c>
      <c r="K142" s="511"/>
      <c r="L142" s="511"/>
      <c r="M142" s="511"/>
      <c r="N142" s="511"/>
      <c r="O142" s="205"/>
      <c r="P142" s="93"/>
      <c r="V142" s="534">
        <f>V126+V108+V90</f>
        <v>0</v>
      </c>
      <c r="AA142" s="205"/>
      <c r="AB142" s="93"/>
      <c r="AH142" s="534">
        <f>AH126+AH108+AH90</f>
        <v>0</v>
      </c>
      <c r="AL142" s="152"/>
    </row>
    <row r="143" spans="1:38" x14ac:dyDescent="0.2">
      <c r="A143" s="563" t="s">
        <v>187</v>
      </c>
      <c r="B143" s="52"/>
      <c r="C143" s="52"/>
      <c r="D143" s="511"/>
      <c r="E143" s="511"/>
      <c r="F143" s="511"/>
      <c r="G143" s="511"/>
      <c r="H143" s="511"/>
      <c r="I143" s="511"/>
      <c r="J143" s="511"/>
      <c r="K143" s="539">
        <f>K127+K109+K91</f>
        <v>0</v>
      </c>
      <c r="L143" s="511"/>
      <c r="M143" s="511"/>
      <c r="N143" s="511"/>
      <c r="O143" s="205"/>
      <c r="P143" s="93"/>
      <c r="W143" s="535">
        <f>W127+W109+W91</f>
        <v>0</v>
      </c>
      <c r="AA143" s="205"/>
      <c r="AB143" s="93"/>
      <c r="AI143" s="535">
        <f>AI127+AI109+AI91</f>
        <v>0</v>
      </c>
      <c r="AL143" s="152"/>
    </row>
    <row r="144" spans="1:38" x14ac:dyDescent="0.2">
      <c r="A144" s="564" t="s">
        <v>188</v>
      </c>
      <c r="B144" s="66"/>
      <c r="C144" s="204"/>
      <c r="D144" s="511"/>
      <c r="E144" s="511"/>
      <c r="F144" s="511"/>
      <c r="G144" s="511"/>
      <c r="H144" s="511"/>
      <c r="I144" s="511"/>
      <c r="J144" s="511"/>
      <c r="K144" s="511"/>
      <c r="L144" s="540">
        <f>L128+L110+L92</f>
        <v>0</v>
      </c>
      <c r="M144" s="511"/>
      <c r="N144" s="511"/>
      <c r="O144" s="205"/>
      <c r="P144" s="93"/>
      <c r="X144" s="536">
        <f>X128+X110+X92</f>
        <v>0</v>
      </c>
      <c r="AA144" s="205"/>
      <c r="AB144" s="93"/>
      <c r="AJ144" s="536">
        <f>AJ128+AJ110+AJ92</f>
        <v>0</v>
      </c>
      <c r="AL144" s="152"/>
    </row>
    <row r="145" spans="1:38" x14ac:dyDescent="0.2">
      <c r="A145" s="565" t="s">
        <v>189</v>
      </c>
      <c r="B145" s="52"/>
      <c r="C145" s="52"/>
      <c r="D145" s="511"/>
      <c r="E145" s="511"/>
      <c r="F145" s="511"/>
      <c r="G145" s="511"/>
      <c r="H145" s="511"/>
      <c r="I145" s="511"/>
      <c r="J145" s="511"/>
      <c r="K145" s="511"/>
      <c r="L145" s="511"/>
      <c r="M145" s="542">
        <f>M129+M111+M93</f>
        <v>0</v>
      </c>
      <c r="N145" s="511"/>
      <c r="O145" s="205"/>
      <c r="P145" s="93"/>
      <c r="Y145" s="541">
        <f>Y129+Y111+Y93</f>
        <v>0</v>
      </c>
      <c r="AA145" s="205"/>
      <c r="AB145" s="93"/>
      <c r="AK145" s="541">
        <f>AK129+AK111+AK93</f>
        <v>0</v>
      </c>
      <c r="AL145" s="152"/>
    </row>
    <row r="146" spans="1:38" ht="13.5" thickBot="1" x14ac:dyDescent="0.25">
      <c r="A146" s="566" t="s">
        <v>190</v>
      </c>
      <c r="B146" s="567"/>
      <c r="C146" s="207"/>
      <c r="D146" s="568"/>
      <c r="E146" s="568"/>
      <c r="F146" s="568"/>
      <c r="G146" s="568"/>
      <c r="H146" s="568"/>
      <c r="I146" s="568"/>
      <c r="J146" s="568"/>
      <c r="K146" s="568"/>
      <c r="L146" s="568"/>
      <c r="M146" s="568"/>
      <c r="N146" s="569">
        <f>N130+N112+N94</f>
        <v>0</v>
      </c>
      <c r="O146" s="303"/>
      <c r="P146" s="570"/>
      <c r="Q146" s="160"/>
      <c r="R146" s="160"/>
      <c r="S146" s="160"/>
      <c r="T146" s="160"/>
      <c r="U146" s="160"/>
      <c r="V146" s="160"/>
      <c r="W146" s="160"/>
      <c r="X146" s="160"/>
      <c r="Y146" s="160"/>
      <c r="Z146" s="571">
        <f>Z130+Z112+Z94</f>
        <v>0</v>
      </c>
      <c r="AA146" s="303"/>
      <c r="AB146" s="570"/>
      <c r="AC146" s="160"/>
      <c r="AD146" s="160"/>
      <c r="AE146" s="160"/>
      <c r="AF146" s="160"/>
      <c r="AG146" s="160"/>
      <c r="AH146" s="160"/>
      <c r="AI146" s="160"/>
      <c r="AJ146" s="160"/>
      <c r="AK146" s="160"/>
      <c r="AL146" s="572">
        <f>AL130+AL112+AL94</f>
        <v>0</v>
      </c>
    </row>
    <row r="147" spans="1:38" x14ac:dyDescent="0.2">
      <c r="A147" s="630" t="s">
        <v>508</v>
      </c>
      <c r="B147" s="620"/>
      <c r="C147" s="621"/>
      <c r="D147" s="622"/>
      <c r="E147" s="622"/>
      <c r="F147" s="622"/>
      <c r="G147" s="622"/>
      <c r="H147" s="622"/>
      <c r="I147" s="622"/>
      <c r="J147" s="622"/>
      <c r="K147" s="622"/>
      <c r="L147" s="622"/>
      <c r="M147" s="622"/>
      <c r="N147" s="622"/>
      <c r="O147" s="622"/>
      <c r="P147" s="622"/>
      <c r="Q147" s="623"/>
      <c r="R147" s="623"/>
      <c r="S147" s="623"/>
      <c r="T147" s="623"/>
      <c r="U147" s="623"/>
      <c r="V147" s="623"/>
      <c r="W147" s="623"/>
      <c r="X147" s="623"/>
      <c r="Y147" s="623"/>
      <c r="Z147" s="623"/>
      <c r="AA147" s="623"/>
      <c r="AB147" s="623"/>
      <c r="AC147" s="623"/>
      <c r="AD147" s="623"/>
      <c r="AE147" s="623"/>
      <c r="AF147" s="623"/>
      <c r="AG147" s="623"/>
      <c r="AH147" s="623"/>
      <c r="AI147" s="623"/>
      <c r="AJ147" s="623"/>
      <c r="AK147" s="623"/>
      <c r="AL147" s="631"/>
    </row>
    <row r="148" spans="1:38" x14ac:dyDescent="0.2">
      <c r="A148" s="624" t="s">
        <v>509</v>
      </c>
      <c r="B148" s="576">
        <f>B$132+B134</f>
        <v>0</v>
      </c>
      <c r="C148" s="204"/>
      <c r="D148" s="205"/>
      <c r="E148" s="205"/>
      <c r="F148" s="205"/>
      <c r="G148" s="205"/>
      <c r="H148" s="205"/>
      <c r="I148" s="205"/>
      <c r="J148" s="205"/>
      <c r="K148" s="205"/>
      <c r="L148" s="205"/>
      <c r="M148" s="205"/>
      <c r="N148" s="576">
        <f>N$132+N134+H132</f>
        <v>0</v>
      </c>
      <c r="O148" s="205"/>
      <c r="P148" s="93"/>
      <c r="Z148" s="576">
        <f>Z$132+Z134</f>
        <v>0</v>
      </c>
      <c r="AL148" s="152"/>
    </row>
    <row r="149" spans="1:38" x14ac:dyDescent="0.2">
      <c r="A149" s="556" t="s">
        <v>181</v>
      </c>
      <c r="B149" s="625"/>
      <c r="C149" s="576">
        <f>C$132+C135+B$132</f>
        <v>0</v>
      </c>
      <c r="D149" s="205"/>
      <c r="E149" s="205"/>
      <c r="F149" s="205"/>
      <c r="G149" s="205"/>
      <c r="H149" s="205"/>
      <c r="I149" s="205"/>
      <c r="J149" s="205"/>
      <c r="K149" s="205"/>
      <c r="L149" s="205"/>
      <c r="M149" s="205"/>
      <c r="O149" s="576">
        <f>O$132+O135+N$132+H132</f>
        <v>0</v>
      </c>
      <c r="P149" s="205"/>
      <c r="Q149" s="205"/>
      <c r="R149" s="205"/>
      <c r="S149" s="205"/>
      <c r="T149" s="205"/>
      <c r="U149" s="205"/>
      <c r="V149" s="205"/>
      <c r="W149" s="205"/>
      <c r="X149" s="205"/>
      <c r="Y149" s="205"/>
      <c r="AA149" s="576">
        <f>AA$132+AA135+Z$132</f>
        <v>0</v>
      </c>
      <c r="AB149" s="205"/>
      <c r="AC149" s="205"/>
      <c r="AD149" s="205"/>
      <c r="AE149" s="205"/>
      <c r="AF149" s="205"/>
      <c r="AG149" s="205"/>
      <c r="AH149" s="205"/>
      <c r="AI149" s="205"/>
      <c r="AJ149" s="205"/>
      <c r="AK149" s="205"/>
      <c r="AL149" s="152"/>
    </row>
    <row r="150" spans="1:38" x14ac:dyDescent="0.2">
      <c r="A150" s="557" t="s">
        <v>192</v>
      </c>
      <c r="B150" s="52"/>
      <c r="C150" s="52"/>
      <c r="D150" s="576">
        <f>D$132+D136+C$132+B$132</f>
        <v>0</v>
      </c>
      <c r="E150" s="511"/>
      <c r="F150" s="511"/>
      <c r="G150" s="511"/>
      <c r="H150" s="511"/>
      <c r="I150" s="511"/>
      <c r="J150" s="511"/>
      <c r="K150" s="511"/>
      <c r="L150" s="511"/>
      <c r="M150" s="511"/>
      <c r="N150" s="511"/>
      <c r="O150" s="52"/>
      <c r="P150" s="576">
        <f>P$132+P136+O$132+N$132+H132</f>
        <v>0</v>
      </c>
      <c r="Q150" s="511"/>
      <c r="R150" s="511"/>
      <c r="S150" s="511"/>
      <c r="T150" s="511"/>
      <c r="U150" s="511"/>
      <c r="V150" s="511"/>
      <c r="W150" s="511"/>
      <c r="X150" s="511"/>
      <c r="Y150" s="511"/>
      <c r="Z150" s="511"/>
      <c r="AA150" s="52"/>
      <c r="AB150" s="576">
        <f>AB$132+AB136+AA$132+Z$132</f>
        <v>0</v>
      </c>
      <c r="AC150" s="511"/>
      <c r="AD150" s="511"/>
      <c r="AE150" s="511"/>
      <c r="AF150" s="511"/>
      <c r="AG150" s="511"/>
      <c r="AH150" s="511"/>
      <c r="AI150" s="511"/>
      <c r="AJ150" s="511"/>
      <c r="AK150" s="511"/>
      <c r="AL150" s="626"/>
    </row>
    <row r="151" spans="1:38" x14ac:dyDescent="0.2">
      <c r="A151" s="558" t="s">
        <v>191</v>
      </c>
      <c r="B151" s="625"/>
      <c r="C151" s="204"/>
      <c r="D151" s="511"/>
      <c r="E151" s="576">
        <f>E$132+E137+D$132+C$132+B132</f>
        <v>0</v>
      </c>
      <c r="F151" s="511"/>
      <c r="G151" s="511"/>
      <c r="H151" s="511"/>
      <c r="I151" s="511"/>
      <c r="J151" s="511"/>
      <c r="K151" s="511"/>
      <c r="L151" s="511"/>
      <c r="M151" s="511"/>
      <c r="N151" s="511"/>
      <c r="O151" s="204"/>
      <c r="P151" s="511"/>
      <c r="Q151" s="576">
        <f>Q$132+Q137+P$132+O$132+N132+H132</f>
        <v>0</v>
      </c>
      <c r="R151" s="511"/>
      <c r="S151" s="511"/>
      <c r="T151" s="511"/>
      <c r="U151" s="511"/>
      <c r="V151" s="511"/>
      <c r="W151" s="511"/>
      <c r="X151" s="511"/>
      <c r="Y151" s="511"/>
      <c r="Z151" s="511"/>
      <c r="AA151" s="204"/>
      <c r="AB151" s="511"/>
      <c r="AC151" s="576">
        <f>AC$132+AC137+AB$132+AA$132+Z132</f>
        <v>0</v>
      </c>
      <c r="AD151" s="511"/>
      <c r="AE151" s="511"/>
      <c r="AF151" s="511"/>
      <c r="AG151" s="511"/>
      <c r="AH151" s="511"/>
      <c r="AI151" s="511"/>
      <c r="AJ151" s="511"/>
      <c r="AK151" s="511"/>
      <c r="AL151" s="626"/>
    </row>
    <row r="152" spans="1:38" x14ac:dyDescent="0.2">
      <c r="A152" s="559" t="s">
        <v>182</v>
      </c>
      <c r="B152" s="625"/>
      <c r="C152" s="204"/>
      <c r="D152" s="511"/>
      <c r="E152" s="511"/>
      <c r="F152" s="576">
        <f>F$132+F138+E$132+D$132+B132+C132</f>
        <v>0</v>
      </c>
      <c r="G152" s="511"/>
      <c r="H152" s="511"/>
      <c r="I152" s="511"/>
      <c r="J152" s="511"/>
      <c r="K152" s="511"/>
      <c r="L152" s="511"/>
      <c r="M152" s="511"/>
      <c r="N152" s="511"/>
      <c r="O152" s="204"/>
      <c r="P152" s="511"/>
      <c r="Q152" s="511"/>
      <c r="R152" s="576">
        <f>R$132+R138+Q$132+P$132+N132+O132+H132</f>
        <v>0</v>
      </c>
      <c r="S152" s="511"/>
      <c r="T152" s="511"/>
      <c r="U152" s="511"/>
      <c r="V152" s="511"/>
      <c r="W152" s="511"/>
      <c r="X152" s="511"/>
      <c r="Y152" s="511"/>
      <c r="Z152" s="511"/>
      <c r="AA152" s="204"/>
      <c r="AB152" s="511"/>
      <c r="AC152" s="511"/>
      <c r="AD152" s="576">
        <f>AD$132+AD138+AC$132+AB$132+Z132+AA132</f>
        <v>0</v>
      </c>
      <c r="AE152" s="511"/>
      <c r="AF152" s="511"/>
      <c r="AG152" s="511"/>
      <c r="AH152" s="511"/>
      <c r="AI152" s="511"/>
      <c r="AJ152" s="511"/>
      <c r="AK152" s="511"/>
      <c r="AL152" s="626"/>
    </row>
    <row r="153" spans="1:38" x14ac:dyDescent="0.2">
      <c r="A153" s="560" t="s">
        <v>183</v>
      </c>
      <c r="B153" s="52"/>
      <c r="C153" s="52"/>
      <c r="D153" s="511"/>
      <c r="E153" s="511"/>
      <c r="F153" s="511"/>
      <c r="G153" s="576">
        <f>G$132+G139+F$132+E$132+B132+C132+D132</f>
        <v>0</v>
      </c>
      <c r="H153" s="511"/>
      <c r="I153" s="511"/>
      <c r="J153" s="511"/>
      <c r="K153" s="511"/>
      <c r="L153" s="511"/>
      <c r="M153" s="511"/>
      <c r="N153" s="511"/>
      <c r="O153" s="52"/>
      <c r="P153" s="511"/>
      <c r="Q153" s="511"/>
      <c r="R153" s="511"/>
      <c r="S153" s="576">
        <f>S$132+S139+R$132+Q$132+N132+O132+P132+H132</f>
        <v>0</v>
      </c>
      <c r="T153" s="511"/>
      <c r="U153" s="511"/>
      <c r="V153" s="511"/>
      <c r="W153" s="511"/>
      <c r="X153" s="511"/>
      <c r="Y153" s="511"/>
      <c r="Z153" s="511"/>
      <c r="AA153" s="52"/>
      <c r="AB153" s="511"/>
      <c r="AC153" s="511"/>
      <c r="AD153" s="511"/>
      <c r="AE153" s="576">
        <f>AE$132+AE139+AD$132+AC$132+Z132+AA132+AB132</f>
        <v>0</v>
      </c>
      <c r="AF153" s="511"/>
      <c r="AG153" s="511"/>
      <c r="AH153" s="511"/>
      <c r="AI153" s="511"/>
      <c r="AJ153" s="511"/>
      <c r="AK153" s="511"/>
      <c r="AL153" s="626"/>
    </row>
    <row r="154" spans="1:38" x14ac:dyDescent="0.2">
      <c r="A154" s="560" t="s">
        <v>184</v>
      </c>
      <c r="B154" s="625"/>
      <c r="C154" s="204"/>
      <c r="D154" s="511"/>
      <c r="E154" s="511"/>
      <c r="F154" s="511"/>
      <c r="G154" s="511"/>
      <c r="H154" s="576">
        <f>H$132+H140+G$132+F$132+B132+C132+D132+E132</f>
        <v>0</v>
      </c>
      <c r="I154" s="511"/>
      <c r="J154" s="511"/>
      <c r="K154" s="511"/>
      <c r="L154" s="511"/>
      <c r="M154" s="511"/>
      <c r="N154" s="511"/>
      <c r="O154" s="204"/>
      <c r="P154" s="511"/>
      <c r="Q154" s="511"/>
      <c r="R154" s="511"/>
      <c r="S154" s="511"/>
      <c r="T154" s="576">
        <f>T$132+T140+S$132+R$132+N132+O132+P132+Q132</f>
        <v>0</v>
      </c>
      <c r="U154" s="511"/>
      <c r="V154" s="511"/>
      <c r="W154" s="511"/>
      <c r="X154" s="511"/>
      <c r="Y154" s="511"/>
      <c r="Z154" s="511"/>
      <c r="AA154" s="204"/>
      <c r="AB154" s="511"/>
      <c r="AC154" s="511"/>
      <c r="AD154" s="511"/>
      <c r="AE154" s="511"/>
      <c r="AF154" s="576">
        <f>AF$132+AF140+AE$132+AD$132+Z132+AA132+AB132+AC132</f>
        <v>0</v>
      </c>
      <c r="AG154" s="511"/>
      <c r="AH154" s="511"/>
      <c r="AI154" s="511"/>
      <c r="AJ154" s="511"/>
      <c r="AK154" s="511"/>
      <c r="AL154" s="626"/>
    </row>
    <row r="155" spans="1:38" x14ac:dyDescent="0.2">
      <c r="A155" s="561" t="s">
        <v>185</v>
      </c>
      <c r="B155" s="52"/>
      <c r="C155" s="52"/>
      <c r="D155" s="511"/>
      <c r="E155" s="511"/>
      <c r="F155" s="511"/>
      <c r="G155" s="511"/>
      <c r="H155" s="511"/>
      <c r="I155" s="576">
        <f>I$132+I141+H$132+G$132+F132+E132+D132+C132+B132</f>
        <v>0</v>
      </c>
      <c r="J155" s="511"/>
      <c r="K155" s="511"/>
      <c r="L155" s="511"/>
      <c r="M155" s="511"/>
      <c r="N155" s="511"/>
      <c r="O155" s="52"/>
      <c r="P155" s="511"/>
      <c r="Q155" s="511"/>
      <c r="R155" s="511"/>
      <c r="S155" s="511"/>
      <c r="T155" s="511"/>
      <c r="U155" s="576">
        <f>U$132+U141+T$132+S$132+R132+Q132+P132+O132+N132</f>
        <v>0</v>
      </c>
      <c r="V155" s="511"/>
      <c r="W155" s="511"/>
      <c r="X155" s="511"/>
      <c r="Y155" s="511"/>
      <c r="Z155" s="511"/>
      <c r="AA155" s="52"/>
      <c r="AB155" s="511"/>
      <c r="AC155" s="511"/>
      <c r="AD155" s="511"/>
      <c r="AE155" s="511"/>
      <c r="AF155" s="511"/>
      <c r="AG155" s="576">
        <f>AG$132+AG141+AF$132+AE$132+AD132+AC132+AB132+AA132+Z132</f>
        <v>0</v>
      </c>
      <c r="AH155" s="511"/>
      <c r="AI155" s="511"/>
      <c r="AJ155" s="511"/>
      <c r="AK155" s="511"/>
      <c r="AL155" s="626"/>
    </row>
    <row r="156" spans="1:38" x14ac:dyDescent="0.2">
      <c r="A156" s="562" t="s">
        <v>186</v>
      </c>
      <c r="B156" s="625"/>
      <c r="C156" s="204"/>
      <c r="D156" s="511"/>
      <c r="E156" s="511"/>
      <c r="F156" s="511"/>
      <c r="G156" s="511"/>
      <c r="H156" s="511"/>
      <c r="I156" s="511"/>
      <c r="J156" s="576">
        <f>J$132+J142+I$132+H$132++G132+F132+E132+D132+C132+B132</f>
        <v>0</v>
      </c>
      <c r="K156" s="511"/>
      <c r="L156" s="511"/>
      <c r="M156" s="511"/>
      <c r="N156" s="511"/>
      <c r="O156" s="204"/>
      <c r="P156" s="511"/>
      <c r="Q156" s="511"/>
      <c r="R156" s="511"/>
      <c r="S156" s="511"/>
      <c r="T156" s="511"/>
      <c r="U156" s="511"/>
      <c r="V156" s="576">
        <f>V$132+V142+U$132+T$132++S132+R132+Q132+P132+O132+N132</f>
        <v>0</v>
      </c>
      <c r="W156" s="511"/>
      <c r="X156" s="511"/>
      <c r="Y156" s="511"/>
      <c r="Z156" s="511"/>
      <c r="AA156" s="204"/>
      <c r="AB156" s="511"/>
      <c r="AC156" s="511"/>
      <c r="AD156" s="511"/>
      <c r="AE156" s="511"/>
      <c r="AF156" s="511"/>
      <c r="AG156" s="511"/>
      <c r="AH156" s="576">
        <f>AH$132+AH142+AG$132+AF$132++AE132+AD132+AC132+AB132+AA132+Z132</f>
        <v>0</v>
      </c>
      <c r="AI156" s="511"/>
      <c r="AJ156" s="511"/>
      <c r="AK156" s="511"/>
      <c r="AL156" s="626"/>
    </row>
    <row r="157" spans="1:38" x14ac:dyDescent="0.2">
      <c r="A157" s="563" t="s">
        <v>187</v>
      </c>
      <c r="B157" s="52"/>
      <c r="C157" s="52"/>
      <c r="D157" s="511"/>
      <c r="E157" s="511"/>
      <c r="F157" s="511"/>
      <c r="G157" s="511"/>
      <c r="H157" s="511"/>
      <c r="I157" s="511"/>
      <c r="J157" s="511"/>
      <c r="K157" s="576">
        <f>K$132+K143+J$132+I$132++B132+C132+D132+E132+F132+G132+H132</f>
        <v>0</v>
      </c>
      <c r="L157" s="511"/>
      <c r="M157" s="511"/>
      <c r="N157" s="511"/>
      <c r="O157" s="52"/>
      <c r="P157" s="511"/>
      <c r="Q157" s="511"/>
      <c r="R157" s="511"/>
      <c r="S157" s="511"/>
      <c r="T157" s="511"/>
      <c r="U157" s="511"/>
      <c r="V157" s="511"/>
      <c r="W157" s="576">
        <f>W$132+W143+V$132+U$132++N132+O132+P132+Q132+R132+S132+T132</f>
        <v>0</v>
      </c>
      <c r="X157" s="511"/>
      <c r="Y157" s="511"/>
      <c r="Z157" s="511"/>
      <c r="AA157" s="52"/>
      <c r="AB157" s="511"/>
      <c r="AC157" s="511"/>
      <c r="AD157" s="511"/>
      <c r="AE157" s="511"/>
      <c r="AF157" s="511"/>
      <c r="AG157" s="511"/>
      <c r="AH157" s="511"/>
      <c r="AI157" s="576">
        <f>AI$132+AI143+AH$132+AG$132++Z132+AA132+AB132+AC132+AD132+AE132+AF132</f>
        <v>0</v>
      </c>
      <c r="AJ157" s="511"/>
      <c r="AK157" s="511"/>
      <c r="AL157" s="626"/>
    </row>
    <row r="158" spans="1:38" x14ac:dyDescent="0.2">
      <c r="A158" s="564" t="s">
        <v>188</v>
      </c>
      <c r="B158" s="625"/>
      <c r="C158" s="204"/>
      <c r="D158" s="511"/>
      <c r="E158" s="511"/>
      <c r="F158" s="511"/>
      <c r="G158" s="511"/>
      <c r="H158" s="511"/>
      <c r="I158" s="511"/>
      <c r="J158" s="511"/>
      <c r="K158" s="511"/>
      <c r="L158" s="576">
        <f>L$132+L144+K$132+J$132+I132+H132+G132+F132+E132+D132+C132+B132</f>
        <v>0</v>
      </c>
      <c r="M158" s="511"/>
      <c r="N158" s="511"/>
      <c r="O158" s="204"/>
      <c r="P158" s="511"/>
      <c r="Q158" s="511"/>
      <c r="R158" s="511"/>
      <c r="S158" s="511"/>
      <c r="T158" s="511"/>
      <c r="U158" s="511"/>
      <c r="V158" s="511"/>
      <c r="W158" s="511"/>
      <c r="X158" s="576">
        <f>X$132+X144+W$132+V$132+U132+T132+S132+R132+Q132+P132+O132+N132</f>
        <v>0</v>
      </c>
      <c r="Y158" s="511"/>
      <c r="Z158" s="511"/>
      <c r="AA158" s="204"/>
      <c r="AB158" s="511"/>
      <c r="AC158" s="511"/>
      <c r="AD158" s="511"/>
      <c r="AE158" s="511"/>
      <c r="AF158" s="511"/>
      <c r="AG158" s="511"/>
      <c r="AH158" s="511"/>
      <c r="AI158" s="511"/>
      <c r="AJ158" s="576">
        <f>AJ$132+AJ144+AI$132+AH$132+AG132+AF132+AE132+AD132+AC132+AB132+AA132+Z132</f>
        <v>0</v>
      </c>
      <c r="AK158" s="511"/>
      <c r="AL158" s="626"/>
    </row>
    <row r="159" spans="1:38" x14ac:dyDescent="0.2">
      <c r="A159" s="565" t="s">
        <v>189</v>
      </c>
      <c r="B159" s="52"/>
      <c r="C159" s="52"/>
      <c r="D159" s="511"/>
      <c r="E159" s="511"/>
      <c r="F159" s="511"/>
      <c r="G159" s="511"/>
      <c r="H159" s="511"/>
      <c r="I159" s="511"/>
      <c r="J159" s="511"/>
      <c r="K159" s="511"/>
      <c r="L159" s="511"/>
      <c r="M159" s="576">
        <f>M$132+M145+L$132+K$132+J132+I132+H132+G132+F132+E132+D132+C132+B132</f>
        <v>0</v>
      </c>
      <c r="N159" s="511"/>
      <c r="O159" s="52"/>
      <c r="P159" s="511"/>
      <c r="Q159" s="511"/>
      <c r="R159" s="511"/>
      <c r="S159" s="511"/>
      <c r="T159" s="511"/>
      <c r="U159" s="511"/>
      <c r="V159" s="511"/>
      <c r="W159" s="511"/>
      <c r="X159" s="511"/>
      <c r="Y159" s="576">
        <f>Y$132+Y145+X$132+W$132+V132+U132+T132+S132+R132+Q132+P132+O132+N132</f>
        <v>0</v>
      </c>
      <c r="Z159" s="511"/>
      <c r="AA159" s="52"/>
      <c r="AB159" s="511"/>
      <c r="AC159" s="511"/>
      <c r="AD159" s="511"/>
      <c r="AE159" s="511"/>
      <c r="AF159" s="511"/>
      <c r="AG159" s="511"/>
      <c r="AH159" s="511"/>
      <c r="AI159" s="511"/>
      <c r="AJ159" s="511"/>
      <c r="AK159" s="576">
        <f>AK$132+AK145+AJ$132+AI$132+AH132+AG132+AF132+AE132+AD132+AC132+AB132+AA132+Z132</f>
        <v>0</v>
      </c>
      <c r="AL159" s="626"/>
    </row>
    <row r="160" spans="1:38" ht="13.5" thickBot="1" x14ac:dyDescent="0.25">
      <c r="A160" s="566" t="s">
        <v>190</v>
      </c>
      <c r="B160" s="627"/>
      <c r="C160" s="207"/>
      <c r="D160" s="568"/>
      <c r="E160" s="568"/>
      <c r="F160" s="568"/>
      <c r="G160" s="568"/>
      <c r="H160" s="568"/>
      <c r="I160" s="568"/>
      <c r="J160" s="568"/>
      <c r="K160" s="568"/>
      <c r="L160" s="568"/>
      <c r="M160" s="568"/>
      <c r="N160" s="628">
        <f>N$132+N146+M$132+L$132+K132+J132+I132+H132+G132+F132+E132+D132+C132+B132</f>
        <v>0</v>
      </c>
      <c r="O160" s="207"/>
      <c r="P160" s="568"/>
      <c r="Q160" s="568"/>
      <c r="R160" s="568"/>
      <c r="S160" s="568"/>
      <c r="T160" s="568"/>
      <c r="U160" s="568"/>
      <c r="V160" s="568"/>
      <c r="W160" s="568"/>
      <c r="X160" s="568"/>
      <c r="Y160" s="568"/>
      <c r="Z160" s="628">
        <f>Z$132+Z146+Y$132+X$132+W132+V132+U132+T132+S132+R132+Q132+P132+O132</f>
        <v>0</v>
      </c>
      <c r="AA160" s="207"/>
      <c r="AB160" s="568"/>
      <c r="AC160" s="568"/>
      <c r="AD160" s="568"/>
      <c r="AE160" s="568"/>
      <c r="AF160" s="568"/>
      <c r="AG160" s="568"/>
      <c r="AH160" s="568"/>
      <c r="AI160" s="568"/>
      <c r="AJ160" s="568"/>
      <c r="AK160" s="568"/>
      <c r="AL160" s="629">
        <f>AL$132+AL146+AK$132+AJ$132+AI132+AH132+AG132+AF132+AE132+AD132+AC132+AB132+AA132</f>
        <v>0</v>
      </c>
    </row>
    <row r="161" spans="1:38" x14ac:dyDescent="0.2">
      <c r="A161" s="552" t="s">
        <v>199</v>
      </c>
      <c r="B161" s="553">
        <f>L22</f>
        <v>0</v>
      </c>
      <c r="C161" s="577">
        <f>B161-B162</f>
        <v>0</v>
      </c>
      <c r="D161" s="577">
        <f>C161-C162</f>
        <v>0</v>
      </c>
      <c r="E161" s="577">
        <f t="shared" ref="E161:AL161" si="20">D161-D162</f>
        <v>0</v>
      </c>
      <c r="F161" s="577">
        <f t="shared" si="20"/>
        <v>0</v>
      </c>
      <c r="G161" s="577">
        <f t="shared" si="20"/>
        <v>0</v>
      </c>
      <c r="H161" s="577">
        <f t="shared" si="20"/>
        <v>0</v>
      </c>
      <c r="I161" s="577">
        <f t="shared" si="20"/>
        <v>0</v>
      </c>
      <c r="J161" s="577">
        <f t="shared" si="20"/>
        <v>0</v>
      </c>
      <c r="K161" s="577">
        <f t="shared" si="20"/>
        <v>0</v>
      </c>
      <c r="L161" s="577">
        <f t="shared" si="20"/>
        <v>0</v>
      </c>
      <c r="M161" s="577">
        <f t="shared" si="20"/>
        <v>0</v>
      </c>
      <c r="N161" s="577">
        <f t="shared" si="20"/>
        <v>0</v>
      </c>
      <c r="O161" s="577">
        <f t="shared" si="20"/>
        <v>0</v>
      </c>
      <c r="P161" s="577">
        <f t="shared" si="20"/>
        <v>0</v>
      </c>
      <c r="Q161" s="577">
        <f t="shared" si="20"/>
        <v>0</v>
      </c>
      <c r="R161" s="577">
        <f t="shared" si="20"/>
        <v>0</v>
      </c>
      <c r="S161" s="577">
        <f t="shared" si="20"/>
        <v>0</v>
      </c>
      <c r="T161" s="577">
        <f t="shared" si="20"/>
        <v>0</v>
      </c>
      <c r="U161" s="577">
        <f t="shared" si="20"/>
        <v>0</v>
      </c>
      <c r="V161" s="577">
        <f t="shared" si="20"/>
        <v>0</v>
      </c>
      <c r="W161" s="577">
        <f t="shared" si="20"/>
        <v>0</v>
      </c>
      <c r="X161" s="577">
        <f t="shared" si="20"/>
        <v>0</v>
      </c>
      <c r="Y161" s="577">
        <f t="shared" si="20"/>
        <v>0</v>
      </c>
      <c r="Z161" s="577">
        <f t="shared" si="20"/>
        <v>0</v>
      </c>
      <c r="AA161" s="577">
        <f t="shared" si="20"/>
        <v>0</v>
      </c>
      <c r="AB161" s="577">
        <f t="shared" si="20"/>
        <v>0</v>
      </c>
      <c r="AC161" s="577">
        <f t="shared" si="20"/>
        <v>0</v>
      </c>
      <c r="AD161" s="577">
        <f t="shared" si="20"/>
        <v>0</v>
      </c>
      <c r="AE161" s="577">
        <f t="shared" si="20"/>
        <v>0</v>
      </c>
      <c r="AF161" s="577">
        <f t="shared" si="20"/>
        <v>0</v>
      </c>
      <c r="AG161" s="577">
        <f t="shared" si="20"/>
        <v>0</v>
      </c>
      <c r="AH161" s="577">
        <f t="shared" si="20"/>
        <v>0</v>
      </c>
      <c r="AI161" s="577">
        <f t="shared" si="20"/>
        <v>0</v>
      </c>
      <c r="AJ161" s="577">
        <f t="shared" si="20"/>
        <v>0</v>
      </c>
      <c r="AK161" s="577">
        <f t="shared" si="20"/>
        <v>0</v>
      </c>
      <c r="AL161" s="578">
        <f t="shared" si="20"/>
        <v>0</v>
      </c>
    </row>
    <row r="162" spans="1:38" x14ac:dyDescent="0.2">
      <c r="A162" s="554" t="s">
        <v>177</v>
      </c>
      <c r="B162" s="512">
        <f>K29</f>
        <v>0</v>
      </c>
      <c r="C162" s="513">
        <f>L29/3</f>
        <v>0</v>
      </c>
      <c r="D162" s="635">
        <f>C162</f>
        <v>0</v>
      </c>
      <c r="E162" s="635">
        <f>D162</f>
        <v>0</v>
      </c>
      <c r="F162" s="513">
        <f>M29/3</f>
        <v>0</v>
      </c>
      <c r="G162" s="635">
        <f>F162</f>
        <v>0</v>
      </c>
      <c r="H162" s="635">
        <f>G162</f>
        <v>0</v>
      </c>
      <c r="I162" s="513">
        <f>N29/3</f>
        <v>0</v>
      </c>
      <c r="J162" s="635">
        <f>I162</f>
        <v>0</v>
      </c>
      <c r="K162" s="635">
        <f>J162</f>
        <v>0</v>
      </c>
      <c r="L162" s="513">
        <f>O29/3</f>
        <v>0</v>
      </c>
      <c r="M162" s="635">
        <f>L162</f>
        <v>0</v>
      </c>
      <c r="N162" s="635">
        <f>M162</f>
        <v>0</v>
      </c>
      <c r="O162" s="513">
        <f>P29/3</f>
        <v>0</v>
      </c>
      <c r="P162" s="635">
        <f>O162</f>
        <v>0</v>
      </c>
      <c r="Q162" s="635">
        <f>P162</f>
        <v>0</v>
      </c>
      <c r="R162" s="513">
        <f>Q29/3</f>
        <v>0</v>
      </c>
      <c r="S162" s="635">
        <f>R162</f>
        <v>0</v>
      </c>
      <c r="T162" s="635">
        <f>S162</f>
        <v>0</v>
      </c>
      <c r="U162" s="513">
        <f>R29/3</f>
        <v>0</v>
      </c>
      <c r="V162" s="635">
        <f>U162</f>
        <v>0</v>
      </c>
      <c r="W162" s="635">
        <f>V162</f>
        <v>0</v>
      </c>
      <c r="X162" s="513">
        <f>S29/3</f>
        <v>0</v>
      </c>
      <c r="Y162" s="635">
        <f>X162</f>
        <v>0</v>
      </c>
      <c r="Z162" s="635">
        <f>Y162</f>
        <v>0</v>
      </c>
      <c r="AA162" s="513">
        <f>T29/3</f>
        <v>0</v>
      </c>
      <c r="AB162" s="635">
        <f>AA162</f>
        <v>0</v>
      </c>
      <c r="AC162" s="635">
        <f>AB162</f>
        <v>0</v>
      </c>
      <c r="AD162" s="513">
        <f>U29/3</f>
        <v>0</v>
      </c>
      <c r="AE162" s="635">
        <f>AD162</f>
        <v>0</v>
      </c>
      <c r="AF162" s="635">
        <f>AE162</f>
        <v>0</v>
      </c>
      <c r="AG162" s="513">
        <f>V29/3</f>
        <v>0</v>
      </c>
      <c r="AH162" s="635">
        <f>AG162</f>
        <v>0</v>
      </c>
      <c r="AI162" s="635">
        <f>AH162</f>
        <v>0</v>
      </c>
      <c r="AJ162" s="513">
        <f>W29/3</f>
        <v>0</v>
      </c>
      <c r="AK162" s="635">
        <f>AJ162</f>
        <v>0</v>
      </c>
      <c r="AL162" s="636">
        <f>AK162</f>
        <v>0</v>
      </c>
    </row>
    <row r="163" spans="1:38" x14ac:dyDescent="0.2">
      <c r="A163" s="554" t="s">
        <v>178</v>
      </c>
      <c r="B163" s="512">
        <f>K28</f>
        <v>0</v>
      </c>
      <c r="C163" s="573">
        <f>L27</f>
        <v>0</v>
      </c>
      <c r="D163" s="574">
        <f>C163</f>
        <v>0</v>
      </c>
      <c r="E163" s="574">
        <f>D163</f>
        <v>0</v>
      </c>
      <c r="F163" s="574">
        <f>M27</f>
        <v>0</v>
      </c>
      <c r="G163" s="574">
        <f>F163</f>
        <v>0</v>
      </c>
      <c r="H163" s="574">
        <f>G163</f>
        <v>0</v>
      </c>
      <c r="I163" s="574">
        <f>N27</f>
        <v>0</v>
      </c>
      <c r="J163" s="574">
        <f>I163</f>
        <v>0</v>
      </c>
      <c r="K163" s="574">
        <f>J163</f>
        <v>0</v>
      </c>
      <c r="L163" s="575">
        <f>O27</f>
        <v>0</v>
      </c>
      <c r="M163" s="574">
        <f>L163</f>
        <v>0</v>
      </c>
      <c r="N163" s="574">
        <f>M163</f>
        <v>0</v>
      </c>
      <c r="O163" s="513">
        <f>P27</f>
        <v>0</v>
      </c>
      <c r="P163" s="574">
        <f>O163</f>
        <v>0</v>
      </c>
      <c r="Q163" s="574">
        <f>P163</f>
        <v>0</v>
      </c>
      <c r="R163" s="513">
        <f>Q27</f>
        <v>0</v>
      </c>
      <c r="S163" s="574">
        <f>R163</f>
        <v>0</v>
      </c>
      <c r="T163" s="574">
        <f>S163</f>
        <v>0</v>
      </c>
      <c r="U163" s="513">
        <f>R27</f>
        <v>0</v>
      </c>
      <c r="V163" s="574">
        <f>U163</f>
        <v>0</v>
      </c>
      <c r="W163" s="574">
        <f>V163</f>
        <v>0</v>
      </c>
      <c r="X163" s="513">
        <f>S27</f>
        <v>0</v>
      </c>
      <c r="Y163" s="574">
        <f>X163</f>
        <v>0</v>
      </c>
      <c r="Z163" s="574">
        <f>Y163</f>
        <v>0</v>
      </c>
      <c r="AA163" s="513">
        <f>T27</f>
        <v>0</v>
      </c>
      <c r="AB163" s="574">
        <f>AA163</f>
        <v>0</v>
      </c>
      <c r="AC163" s="574">
        <f>AB163</f>
        <v>0</v>
      </c>
      <c r="AD163" s="513">
        <f>U27</f>
        <v>0</v>
      </c>
      <c r="AE163" s="574">
        <f>AD163</f>
        <v>0</v>
      </c>
      <c r="AF163" s="574">
        <f>AE163</f>
        <v>0</v>
      </c>
      <c r="AG163" s="513">
        <f>V27</f>
        <v>0</v>
      </c>
      <c r="AH163" s="574">
        <f>AG163</f>
        <v>0</v>
      </c>
      <c r="AI163" s="574">
        <f>AH163</f>
        <v>0</v>
      </c>
      <c r="AJ163" s="513">
        <f>W27</f>
        <v>0</v>
      </c>
      <c r="AK163" s="574">
        <f>AJ163</f>
        <v>0</v>
      </c>
      <c r="AL163" s="637">
        <f>AK163</f>
        <v>0</v>
      </c>
    </row>
    <row r="164" spans="1:38" x14ac:dyDescent="0.2">
      <c r="A164" s="555" t="s">
        <v>180</v>
      </c>
      <c r="B164" s="519">
        <f>K28</f>
        <v>0</v>
      </c>
      <c r="L164" s="205"/>
      <c r="M164" s="205"/>
      <c r="N164" s="520">
        <f>SUM(C163:N163)</f>
        <v>0</v>
      </c>
      <c r="O164" s="205"/>
      <c r="P164" s="93"/>
      <c r="Z164" s="520">
        <f>SUM(O163:Z163)</f>
        <v>0</v>
      </c>
      <c r="AL164" s="152" t="s">
        <v>0</v>
      </c>
    </row>
    <row r="165" spans="1:38" x14ac:dyDescent="0.2">
      <c r="A165" s="556" t="s">
        <v>181</v>
      </c>
      <c r="B165" s="66"/>
      <c r="C165" s="521">
        <f>$L$27*C$76</f>
        <v>0</v>
      </c>
      <c r="D165" s="205"/>
      <c r="E165" s="205"/>
      <c r="F165" s="205"/>
      <c r="G165" s="205"/>
      <c r="H165" s="205"/>
      <c r="I165" s="205"/>
      <c r="J165" s="205"/>
      <c r="K165" s="205"/>
      <c r="L165" s="205"/>
      <c r="M165" s="205"/>
      <c r="O165" s="522">
        <f>SUM(D163:O163)</f>
        <v>0</v>
      </c>
      <c r="P165" s="93"/>
      <c r="AA165" s="522">
        <f>SUM(P163:AA163)</f>
        <v>0</v>
      </c>
      <c r="AB165" s="93"/>
      <c r="AL165" s="152"/>
    </row>
    <row r="166" spans="1:38" x14ac:dyDescent="0.2">
      <c r="A166" s="557" t="s">
        <v>192</v>
      </c>
      <c r="B166" s="52"/>
      <c r="C166" s="52"/>
      <c r="D166" s="523">
        <f>$L$27*D$76</f>
        <v>0</v>
      </c>
      <c r="E166" s="511"/>
      <c r="F166" s="511"/>
      <c r="G166" s="511"/>
      <c r="H166" s="511"/>
      <c r="I166" s="511"/>
      <c r="J166" s="511"/>
      <c r="K166" s="511"/>
      <c r="L166" s="511"/>
      <c r="M166" s="511"/>
      <c r="N166" s="511"/>
      <c r="O166" s="205"/>
      <c r="P166" s="524">
        <f>SUM(E163:P163)</f>
        <v>0</v>
      </c>
      <c r="AA166" s="205"/>
      <c r="AB166" s="524">
        <f>SUM(Q163:AB163)</f>
        <v>0</v>
      </c>
      <c r="AL166" s="152"/>
    </row>
    <row r="167" spans="1:38" x14ac:dyDescent="0.2">
      <c r="A167" s="600" t="s">
        <v>191</v>
      </c>
      <c r="B167" s="66"/>
      <c r="C167" s="204"/>
      <c r="D167" s="511"/>
      <c r="E167" s="526">
        <f>$L$27*E$76</f>
        <v>0</v>
      </c>
      <c r="F167" s="511"/>
      <c r="G167" s="511"/>
      <c r="H167" s="511"/>
      <c r="I167" s="511"/>
      <c r="J167" s="511"/>
      <c r="K167" s="511"/>
      <c r="L167" s="511"/>
      <c r="M167" s="511"/>
      <c r="N167" s="511"/>
      <c r="O167" s="205"/>
      <c r="P167" s="93"/>
      <c r="Q167" s="525">
        <f>SUM(F163:Q163)</f>
        <v>0</v>
      </c>
      <c r="AA167" s="205"/>
      <c r="AB167" s="93"/>
      <c r="AC167" s="525">
        <f>SUM(R163:AC163)</f>
        <v>0</v>
      </c>
      <c r="AL167" s="152"/>
    </row>
    <row r="168" spans="1:38" x14ac:dyDescent="0.2">
      <c r="A168" s="558" t="s">
        <v>182</v>
      </c>
      <c r="B168" s="66"/>
      <c r="C168" s="204"/>
      <c r="D168" s="511"/>
      <c r="E168" s="511"/>
      <c r="F168" s="527">
        <f>F$76*$M$27</f>
        <v>0</v>
      </c>
      <c r="G168" s="511"/>
      <c r="H168" s="511"/>
      <c r="I168" s="511"/>
      <c r="J168" s="511"/>
      <c r="K168" s="511"/>
      <c r="L168" s="511"/>
      <c r="M168" s="511"/>
      <c r="N168" s="511"/>
      <c r="O168" s="205"/>
      <c r="P168" s="93"/>
      <c r="R168" s="528">
        <f>SUM(G163:R163)</f>
        <v>0</v>
      </c>
      <c r="AA168" s="205"/>
      <c r="AB168" s="93"/>
      <c r="AD168" s="528">
        <f>SUM(S163:AD163)</f>
        <v>0</v>
      </c>
      <c r="AL168" s="152"/>
    </row>
    <row r="169" spans="1:38" x14ac:dyDescent="0.2">
      <c r="A169" s="559" t="s">
        <v>183</v>
      </c>
      <c r="B169" s="52"/>
      <c r="C169" s="52"/>
      <c r="D169" s="511"/>
      <c r="E169" s="511"/>
      <c r="F169" s="511"/>
      <c r="G169" s="530">
        <f>G$76*$M$27</f>
        <v>0</v>
      </c>
      <c r="H169" s="511"/>
      <c r="I169" s="511"/>
      <c r="J169" s="511"/>
      <c r="K169" s="511"/>
      <c r="L169" s="511"/>
      <c r="M169" s="511"/>
      <c r="N169" s="511"/>
      <c r="O169" s="205"/>
      <c r="P169" s="93"/>
      <c r="S169" s="529">
        <f>SUM(H163:S163)</f>
        <v>0</v>
      </c>
      <c r="AA169" s="205"/>
      <c r="AB169" s="93"/>
      <c r="AE169" s="529">
        <f>SUM(T163:AE163)</f>
        <v>0</v>
      </c>
      <c r="AL169" s="152"/>
    </row>
    <row r="170" spans="1:38" x14ac:dyDescent="0.2">
      <c r="A170" s="560" t="s">
        <v>184</v>
      </c>
      <c r="B170" s="66"/>
      <c r="C170" s="204"/>
      <c r="D170" s="511"/>
      <c r="E170" s="511"/>
      <c r="F170" s="511"/>
      <c r="G170" s="511"/>
      <c r="H170" s="531">
        <f>H$76*$M$27</f>
        <v>0</v>
      </c>
      <c r="I170" s="511"/>
      <c r="J170" s="511"/>
      <c r="K170" s="511"/>
      <c r="L170" s="511"/>
      <c r="M170" s="511"/>
      <c r="N170" s="511"/>
      <c r="O170" s="205"/>
      <c r="P170" s="93"/>
      <c r="T170" s="532">
        <f>SUM(I163:T163)</f>
        <v>0</v>
      </c>
      <c r="AA170" s="205"/>
      <c r="AB170" s="93"/>
      <c r="AF170" s="532">
        <f>SUM(U163:AF163)</f>
        <v>0</v>
      </c>
      <c r="AL170" s="152"/>
    </row>
    <row r="171" spans="1:38" x14ac:dyDescent="0.2">
      <c r="A171" s="561" t="s">
        <v>185</v>
      </c>
      <c r="B171" s="52"/>
      <c r="C171" s="52"/>
      <c r="D171" s="511"/>
      <c r="E171" s="511"/>
      <c r="F171" s="511"/>
      <c r="G171" s="511"/>
      <c r="H171" s="511"/>
      <c r="I171" s="537">
        <f>I$76*$N$27</f>
        <v>0</v>
      </c>
      <c r="J171" s="511"/>
      <c r="K171" s="511"/>
      <c r="L171" s="511"/>
      <c r="M171" s="511"/>
      <c r="N171" s="511"/>
      <c r="O171" s="205"/>
      <c r="P171" s="93"/>
      <c r="U171" s="533">
        <f>SUM(J163:U163)</f>
        <v>0</v>
      </c>
      <c r="AA171" s="205"/>
      <c r="AB171" s="93"/>
      <c r="AG171" s="533">
        <f>SUM(V163:AG163)</f>
        <v>0</v>
      </c>
      <c r="AL171" s="152"/>
    </row>
    <row r="172" spans="1:38" x14ac:dyDescent="0.2">
      <c r="A172" s="562" t="s">
        <v>186</v>
      </c>
      <c r="B172" s="66"/>
      <c r="C172" s="204"/>
      <c r="D172" s="511"/>
      <c r="E172" s="511"/>
      <c r="F172" s="511"/>
      <c r="G172" s="511"/>
      <c r="H172" s="511"/>
      <c r="I172" s="511"/>
      <c r="J172" s="538">
        <f>J$76*$N$27</f>
        <v>0</v>
      </c>
      <c r="K172" s="511"/>
      <c r="L172" s="511"/>
      <c r="M172" s="511"/>
      <c r="N172" s="511"/>
      <c r="O172" s="205"/>
      <c r="P172" s="93"/>
      <c r="V172" s="534">
        <f>SUM(K163:V163)</f>
        <v>0</v>
      </c>
      <c r="AA172" s="205"/>
      <c r="AB172" s="93"/>
      <c r="AH172" s="534">
        <f>SUM(W163:AH163)</f>
        <v>0</v>
      </c>
      <c r="AL172" s="152"/>
    </row>
    <row r="173" spans="1:38" x14ac:dyDescent="0.2">
      <c r="A173" s="563" t="s">
        <v>187</v>
      </c>
      <c r="B173" s="52"/>
      <c r="C173" s="52"/>
      <c r="D173" s="511"/>
      <c r="E173" s="511"/>
      <c r="F173" s="511"/>
      <c r="G173" s="511"/>
      <c r="H173" s="511"/>
      <c r="I173" s="511"/>
      <c r="J173" s="511"/>
      <c r="K173" s="539">
        <f>K$76*$N$27</f>
        <v>0</v>
      </c>
      <c r="L173" s="511"/>
      <c r="M173" s="511"/>
      <c r="N173" s="511"/>
      <c r="O173" s="205"/>
      <c r="P173" s="93"/>
      <c r="W173" s="535">
        <f>SUM(L163:W163)</f>
        <v>0</v>
      </c>
      <c r="AA173" s="205"/>
      <c r="AB173" s="93"/>
      <c r="AI173" s="535">
        <f>SUM(X163:AI163)</f>
        <v>0</v>
      </c>
      <c r="AL173" s="152"/>
    </row>
    <row r="174" spans="1:38" x14ac:dyDescent="0.2">
      <c r="A174" s="564" t="s">
        <v>188</v>
      </c>
      <c r="B174" s="66"/>
      <c r="C174" s="204"/>
      <c r="D174" s="511"/>
      <c r="E174" s="511"/>
      <c r="F174" s="511"/>
      <c r="G174" s="511"/>
      <c r="H174" s="511"/>
      <c r="I174" s="511"/>
      <c r="J174" s="511"/>
      <c r="K174" s="511"/>
      <c r="L174" s="540">
        <f>L$76*$O$27</f>
        <v>0</v>
      </c>
      <c r="M174" s="511"/>
      <c r="N174" s="511"/>
      <c r="O174" s="205"/>
      <c r="P174" s="93"/>
      <c r="X174" s="536">
        <f>SUM(M163:X163)</f>
        <v>0</v>
      </c>
      <c r="AA174" s="205"/>
      <c r="AB174" s="93"/>
      <c r="AJ174" s="536">
        <f>SUM(Y163:AJ163)</f>
        <v>0</v>
      </c>
      <c r="AL174" s="152"/>
    </row>
    <row r="175" spans="1:38" x14ac:dyDescent="0.2">
      <c r="A175" s="565" t="s">
        <v>189</v>
      </c>
      <c r="B175" s="52"/>
      <c r="C175" s="52"/>
      <c r="D175" s="511"/>
      <c r="E175" s="511"/>
      <c r="F175" s="511"/>
      <c r="G175" s="511"/>
      <c r="H175" s="511"/>
      <c r="I175" s="511"/>
      <c r="J175" s="511"/>
      <c r="K175" s="511"/>
      <c r="L175" s="511"/>
      <c r="M175" s="542">
        <f>M$76*$O$27</f>
        <v>0</v>
      </c>
      <c r="N175" s="511"/>
      <c r="O175" s="205"/>
      <c r="P175" s="93"/>
      <c r="Y175" s="541">
        <f>SUM(N163:Y163)</f>
        <v>0</v>
      </c>
      <c r="AA175" s="205"/>
      <c r="AB175" s="93"/>
      <c r="AK175" s="541">
        <f>SUM(Z163:AK163)</f>
        <v>0</v>
      </c>
      <c r="AL175" s="152"/>
    </row>
    <row r="176" spans="1:38" x14ac:dyDescent="0.2">
      <c r="A176" s="638" t="s">
        <v>190</v>
      </c>
      <c r="B176" s="66"/>
      <c r="C176" s="204"/>
      <c r="D176" s="511"/>
      <c r="E176" s="511"/>
      <c r="F176" s="511"/>
      <c r="G176" s="511"/>
      <c r="H176" s="511"/>
      <c r="I176" s="511"/>
      <c r="J176" s="511"/>
      <c r="K176" s="511"/>
      <c r="L176" s="511"/>
      <c r="M176" s="511"/>
      <c r="N176" s="543">
        <f>N$76*$O$27</f>
        <v>0</v>
      </c>
      <c r="O176" s="205"/>
      <c r="P176" s="93"/>
      <c r="Z176" s="544">
        <f>SUM(O163:Z163)</f>
        <v>0</v>
      </c>
      <c r="AA176" s="205"/>
      <c r="AB176" s="93"/>
      <c r="AL176" s="639">
        <f>SUM(AA163:AL163)</f>
        <v>0</v>
      </c>
    </row>
    <row r="177" spans="1:38" ht="13.5" thickBot="1" x14ac:dyDescent="0.25">
      <c r="A177" s="235"/>
      <c r="B177" s="216"/>
      <c r="C177" s="227"/>
      <c r="D177" s="7"/>
      <c r="E177" s="7"/>
      <c r="F177" s="7"/>
      <c r="G177" s="7"/>
      <c r="H177" s="7"/>
      <c r="I177" s="7"/>
      <c r="J177" s="7"/>
      <c r="K177" s="7"/>
      <c r="L177" s="7"/>
      <c r="M177" s="7"/>
      <c r="N177" s="7"/>
      <c r="O177" s="7"/>
      <c r="P177" s="7"/>
      <c r="AL177" s="152"/>
    </row>
    <row r="178" spans="1:38" x14ac:dyDescent="0.2">
      <c r="A178" s="630" t="s">
        <v>227</v>
      </c>
      <c r="B178" s="620"/>
      <c r="C178" s="621"/>
      <c r="D178" s="622"/>
      <c r="E178" s="622"/>
      <c r="F178" s="622"/>
      <c r="G178" s="622"/>
      <c r="H178" s="622"/>
      <c r="I178" s="622"/>
      <c r="J178" s="622"/>
      <c r="K178" s="622"/>
      <c r="L178" s="622"/>
      <c r="M178" s="622"/>
      <c r="N178" s="622"/>
      <c r="O178" s="622"/>
      <c r="P178" s="622"/>
      <c r="Q178" s="623"/>
      <c r="R178" s="623"/>
      <c r="S178" s="623"/>
      <c r="T178" s="623"/>
      <c r="U178" s="623"/>
      <c r="V178" s="623"/>
      <c r="W178" s="623"/>
      <c r="X178" s="623"/>
      <c r="Y178" s="623"/>
      <c r="Z178" s="623"/>
      <c r="AA178" s="623"/>
      <c r="AB178" s="623"/>
      <c r="AC178" s="623"/>
      <c r="AD178" s="623"/>
      <c r="AE178" s="623"/>
      <c r="AF178" s="623"/>
      <c r="AG178" s="623"/>
      <c r="AH178" s="623"/>
      <c r="AI178" s="623"/>
      <c r="AJ178" s="623"/>
      <c r="AK178" s="623"/>
      <c r="AL178" s="631"/>
    </row>
    <row r="179" spans="1:38" x14ac:dyDescent="0.2">
      <c r="A179" s="632" t="s">
        <v>197</v>
      </c>
      <c r="B179" s="512">
        <f>B77+B95+B113</f>
        <v>0</v>
      </c>
      <c r="C179" s="512">
        <f t="shared" ref="C179:AL179" si="21">C77+C95+C113</f>
        <v>0</v>
      </c>
      <c r="D179" s="512">
        <f t="shared" si="21"/>
        <v>0</v>
      </c>
      <c r="E179" s="512">
        <f t="shared" si="21"/>
        <v>0</v>
      </c>
      <c r="F179" s="512">
        <f t="shared" si="21"/>
        <v>0</v>
      </c>
      <c r="G179" s="512">
        <f t="shared" si="21"/>
        <v>0</v>
      </c>
      <c r="H179" s="512">
        <f t="shared" si="21"/>
        <v>0</v>
      </c>
      <c r="I179" s="512">
        <f t="shared" si="21"/>
        <v>0</v>
      </c>
      <c r="J179" s="512">
        <f t="shared" si="21"/>
        <v>0</v>
      </c>
      <c r="K179" s="512">
        <f t="shared" si="21"/>
        <v>0</v>
      </c>
      <c r="L179" s="512">
        <f t="shared" si="21"/>
        <v>0</v>
      </c>
      <c r="M179" s="512">
        <f t="shared" si="21"/>
        <v>0</v>
      </c>
      <c r="N179" s="512">
        <f t="shared" si="21"/>
        <v>0</v>
      </c>
      <c r="O179" s="512">
        <f t="shared" si="21"/>
        <v>0</v>
      </c>
      <c r="P179" s="512">
        <f t="shared" si="21"/>
        <v>0</v>
      </c>
      <c r="Q179" s="512">
        <f t="shared" si="21"/>
        <v>0</v>
      </c>
      <c r="R179" s="512">
        <f t="shared" si="21"/>
        <v>0</v>
      </c>
      <c r="S179" s="512">
        <f t="shared" si="21"/>
        <v>0</v>
      </c>
      <c r="T179" s="512">
        <f t="shared" si="21"/>
        <v>0</v>
      </c>
      <c r="U179" s="512">
        <f t="shared" si="21"/>
        <v>0</v>
      </c>
      <c r="V179" s="512">
        <f t="shared" si="21"/>
        <v>0</v>
      </c>
      <c r="W179" s="512">
        <f t="shared" si="21"/>
        <v>0</v>
      </c>
      <c r="X179" s="512">
        <f t="shared" si="21"/>
        <v>0</v>
      </c>
      <c r="Y179" s="512">
        <f t="shared" si="21"/>
        <v>0</v>
      </c>
      <c r="Z179" s="512">
        <f t="shared" si="21"/>
        <v>0</v>
      </c>
      <c r="AA179" s="512">
        <f t="shared" si="21"/>
        <v>0</v>
      </c>
      <c r="AB179" s="512">
        <f t="shared" si="21"/>
        <v>0</v>
      </c>
      <c r="AC179" s="512">
        <f t="shared" si="21"/>
        <v>0</v>
      </c>
      <c r="AD179" s="512">
        <f t="shared" si="21"/>
        <v>0</v>
      </c>
      <c r="AE179" s="512">
        <f t="shared" si="21"/>
        <v>0</v>
      </c>
      <c r="AF179" s="512">
        <f t="shared" si="21"/>
        <v>0</v>
      </c>
      <c r="AG179" s="512">
        <f t="shared" si="21"/>
        <v>0</v>
      </c>
      <c r="AH179" s="512">
        <f t="shared" si="21"/>
        <v>0</v>
      </c>
      <c r="AI179" s="512">
        <f t="shared" si="21"/>
        <v>0</v>
      </c>
      <c r="AJ179" s="512">
        <f t="shared" si="21"/>
        <v>0</v>
      </c>
      <c r="AK179" s="512">
        <f t="shared" si="21"/>
        <v>0</v>
      </c>
      <c r="AL179" s="633">
        <f t="shared" si="21"/>
        <v>0</v>
      </c>
    </row>
    <row r="180" spans="1:38" x14ac:dyDescent="0.2">
      <c r="A180" s="554" t="s">
        <v>198</v>
      </c>
      <c r="B180" s="512">
        <f t="shared" ref="B180:AL180" si="22">B78+B96+B114+B162</f>
        <v>0</v>
      </c>
      <c r="C180" s="512">
        <f t="shared" si="22"/>
        <v>0</v>
      </c>
      <c r="D180" s="512">
        <f t="shared" si="22"/>
        <v>0</v>
      </c>
      <c r="E180" s="512">
        <f t="shared" si="22"/>
        <v>0</v>
      </c>
      <c r="F180" s="512">
        <f t="shared" si="22"/>
        <v>0</v>
      </c>
      <c r="G180" s="512">
        <f t="shared" si="22"/>
        <v>0</v>
      </c>
      <c r="H180" s="512">
        <f t="shared" si="22"/>
        <v>0</v>
      </c>
      <c r="I180" s="512">
        <f t="shared" si="22"/>
        <v>0</v>
      </c>
      <c r="J180" s="512">
        <f t="shared" si="22"/>
        <v>0</v>
      </c>
      <c r="K180" s="512">
        <f t="shared" si="22"/>
        <v>0</v>
      </c>
      <c r="L180" s="512">
        <f t="shared" si="22"/>
        <v>0</v>
      </c>
      <c r="M180" s="512">
        <f t="shared" si="22"/>
        <v>0</v>
      </c>
      <c r="N180" s="512">
        <f>N78+N96+N114+N162</f>
        <v>0</v>
      </c>
      <c r="O180" s="512">
        <f t="shared" si="22"/>
        <v>0</v>
      </c>
      <c r="P180" s="512">
        <f t="shared" si="22"/>
        <v>0</v>
      </c>
      <c r="Q180" s="512">
        <f t="shared" si="22"/>
        <v>0</v>
      </c>
      <c r="R180" s="512">
        <f t="shared" si="22"/>
        <v>0</v>
      </c>
      <c r="S180" s="512">
        <f t="shared" si="22"/>
        <v>0</v>
      </c>
      <c r="T180" s="512">
        <f t="shared" si="22"/>
        <v>0</v>
      </c>
      <c r="U180" s="512">
        <f t="shared" si="22"/>
        <v>0</v>
      </c>
      <c r="V180" s="512">
        <f t="shared" si="22"/>
        <v>0</v>
      </c>
      <c r="W180" s="512">
        <f t="shared" si="22"/>
        <v>0</v>
      </c>
      <c r="X180" s="512">
        <f t="shared" si="22"/>
        <v>0</v>
      </c>
      <c r="Y180" s="512">
        <f t="shared" si="22"/>
        <v>0</v>
      </c>
      <c r="Z180" s="512">
        <f t="shared" si="22"/>
        <v>0</v>
      </c>
      <c r="AA180" s="512">
        <f t="shared" si="22"/>
        <v>0</v>
      </c>
      <c r="AB180" s="512">
        <f t="shared" si="22"/>
        <v>0</v>
      </c>
      <c r="AC180" s="512">
        <f t="shared" si="22"/>
        <v>0</v>
      </c>
      <c r="AD180" s="512">
        <f t="shared" si="22"/>
        <v>0</v>
      </c>
      <c r="AE180" s="512">
        <f t="shared" si="22"/>
        <v>0</v>
      </c>
      <c r="AF180" s="512">
        <f t="shared" si="22"/>
        <v>0</v>
      </c>
      <c r="AG180" s="512">
        <f t="shared" si="22"/>
        <v>0</v>
      </c>
      <c r="AH180" s="512">
        <f t="shared" si="22"/>
        <v>0</v>
      </c>
      <c r="AI180" s="512">
        <f t="shared" si="22"/>
        <v>0</v>
      </c>
      <c r="AJ180" s="512">
        <f t="shared" si="22"/>
        <v>0</v>
      </c>
      <c r="AK180" s="512">
        <f t="shared" si="22"/>
        <v>0</v>
      </c>
      <c r="AL180" s="512">
        <f t="shared" si="22"/>
        <v>0</v>
      </c>
    </row>
    <row r="181" spans="1:38" x14ac:dyDescent="0.2">
      <c r="A181" s="576" t="s">
        <v>217</v>
      </c>
      <c r="B181" s="519">
        <f>B180</f>
        <v>0</v>
      </c>
      <c r="C181" s="204"/>
      <c r="D181" s="205"/>
      <c r="E181" s="205"/>
      <c r="F181" s="205"/>
      <c r="G181" s="205"/>
      <c r="H181" s="205"/>
      <c r="I181" s="205"/>
      <c r="J181" s="205"/>
      <c r="K181" s="205"/>
      <c r="L181" s="205"/>
      <c r="M181" s="205"/>
      <c r="N181" s="519">
        <f>SUM(C$180:N$180)</f>
        <v>0</v>
      </c>
      <c r="O181" s="205"/>
      <c r="P181" s="93"/>
      <c r="Z181" s="519">
        <f>SUM(O$180:Z$180)</f>
        <v>0</v>
      </c>
      <c r="AL181" s="152"/>
    </row>
    <row r="182" spans="1:38" x14ac:dyDescent="0.2">
      <c r="A182" s="556" t="s">
        <v>181</v>
      </c>
      <c r="B182" s="66"/>
      <c r="C182" s="521">
        <f>B180+C180</f>
        <v>0</v>
      </c>
      <c r="D182" s="205"/>
      <c r="E182" s="205"/>
      <c r="F182" s="205"/>
      <c r="G182" s="205"/>
      <c r="H182" s="205"/>
      <c r="I182" s="205"/>
      <c r="J182" s="205"/>
      <c r="K182" s="205"/>
      <c r="L182" s="205"/>
      <c r="M182" s="205"/>
      <c r="O182" s="522">
        <f>SUM(D$180:O$180)</f>
        <v>0</v>
      </c>
      <c r="P182" s="93"/>
      <c r="AA182" s="522">
        <f>SUM(P$180:AA$180)</f>
        <v>0</v>
      </c>
      <c r="AB182" s="93"/>
      <c r="AL182" s="152"/>
    </row>
    <row r="183" spans="1:38" x14ac:dyDescent="0.2">
      <c r="A183" s="557" t="s">
        <v>192</v>
      </c>
      <c r="B183" s="52"/>
      <c r="C183" s="52"/>
      <c r="D183" s="523">
        <f>B180+C180+D180</f>
        <v>0</v>
      </c>
      <c r="E183" s="511"/>
      <c r="F183" s="511"/>
      <c r="G183" s="511"/>
      <c r="H183" s="511"/>
      <c r="I183" s="511"/>
      <c r="J183" s="511"/>
      <c r="K183" s="511"/>
      <c r="L183" s="511"/>
      <c r="M183" s="511"/>
      <c r="N183" s="511"/>
      <c r="O183" s="205"/>
      <c r="P183" s="524">
        <f>SUM(E$180:P$180)</f>
        <v>0</v>
      </c>
      <c r="AA183" s="205"/>
      <c r="AB183" s="524">
        <f>SUM(Q$180:AB$180)</f>
        <v>0</v>
      </c>
      <c r="AL183" s="152"/>
    </row>
    <row r="184" spans="1:38" x14ac:dyDescent="0.2">
      <c r="A184" s="600" t="s">
        <v>191</v>
      </c>
      <c r="B184" s="66"/>
      <c r="C184" s="204"/>
      <c r="D184" s="511"/>
      <c r="E184" s="526">
        <f>SUM(B180:E180)</f>
        <v>0</v>
      </c>
      <c r="F184" s="511"/>
      <c r="G184" s="511"/>
      <c r="H184" s="511"/>
      <c r="I184" s="511"/>
      <c r="J184" s="511"/>
      <c r="K184" s="511"/>
      <c r="L184" s="511"/>
      <c r="M184" s="511"/>
      <c r="N184" s="511"/>
      <c r="O184" s="205"/>
      <c r="P184" s="93"/>
      <c r="Q184" s="525">
        <f>SUM(F$180:Q$180)</f>
        <v>0</v>
      </c>
      <c r="AA184" s="205"/>
      <c r="AB184" s="93"/>
      <c r="AC184" s="525">
        <f>SUM(R$180:AC$180)</f>
        <v>0</v>
      </c>
      <c r="AL184" s="152"/>
    </row>
    <row r="185" spans="1:38" x14ac:dyDescent="0.2">
      <c r="A185" s="558" t="s">
        <v>182</v>
      </c>
      <c r="B185" s="66"/>
      <c r="C185" s="204"/>
      <c r="D185" s="511"/>
      <c r="E185" s="511"/>
      <c r="F185" s="527">
        <f>SUM(B180:F180)</f>
        <v>0</v>
      </c>
      <c r="G185" s="511"/>
      <c r="H185" s="511"/>
      <c r="I185" s="511"/>
      <c r="J185" s="511"/>
      <c r="K185" s="511"/>
      <c r="L185" s="511"/>
      <c r="M185" s="511"/>
      <c r="N185" s="511"/>
      <c r="O185" s="205"/>
      <c r="P185" s="93"/>
      <c r="R185" s="528">
        <f>SUM(G$180:R$180)</f>
        <v>0</v>
      </c>
      <c r="AA185" s="205"/>
      <c r="AB185" s="93"/>
      <c r="AD185" s="528">
        <f>SUM(S$180:AD$180)</f>
        <v>0</v>
      </c>
      <c r="AL185" s="152"/>
    </row>
    <row r="186" spans="1:38" x14ac:dyDescent="0.2">
      <c r="A186" s="559" t="s">
        <v>183</v>
      </c>
      <c r="B186" s="52"/>
      <c r="C186" s="52"/>
      <c r="D186" s="511"/>
      <c r="E186" s="511"/>
      <c r="F186" s="511"/>
      <c r="G186" s="530">
        <f>SUM(B180:G180)</f>
        <v>0</v>
      </c>
      <c r="H186" s="511"/>
      <c r="I186" s="511"/>
      <c r="J186" s="511"/>
      <c r="K186" s="511"/>
      <c r="L186" s="511"/>
      <c r="M186" s="511"/>
      <c r="N186" s="511"/>
      <c r="O186" s="205"/>
      <c r="P186" s="93"/>
      <c r="S186" s="529">
        <f>SUM(H$180:S$180)</f>
        <v>0</v>
      </c>
      <c r="AA186" s="205"/>
      <c r="AB186" s="93"/>
      <c r="AE186" s="529">
        <f>SUM(T$180:AE$180)</f>
        <v>0</v>
      </c>
      <c r="AL186" s="152"/>
    </row>
    <row r="187" spans="1:38" x14ac:dyDescent="0.2">
      <c r="A187" s="560" t="s">
        <v>184</v>
      </c>
      <c r="B187" s="66"/>
      <c r="C187" s="204"/>
      <c r="D187" s="511"/>
      <c r="E187" s="511"/>
      <c r="F187" s="511"/>
      <c r="G187" s="511"/>
      <c r="H187" s="531">
        <f>SUM(B180:H180)</f>
        <v>0</v>
      </c>
      <c r="I187" s="511"/>
      <c r="J187" s="511"/>
      <c r="K187" s="511"/>
      <c r="L187" s="511"/>
      <c r="M187" s="511"/>
      <c r="N187" s="511"/>
      <c r="O187" s="205"/>
      <c r="P187" s="93"/>
      <c r="T187" s="532">
        <f>SUM(I$180:T$180)</f>
        <v>0</v>
      </c>
      <c r="AA187" s="205"/>
      <c r="AB187" s="93"/>
      <c r="AF187" s="532">
        <f>SUM(U$180:AF$180)</f>
        <v>0</v>
      </c>
      <c r="AL187" s="152"/>
    </row>
    <row r="188" spans="1:38" x14ac:dyDescent="0.2">
      <c r="A188" s="561" t="s">
        <v>185</v>
      </c>
      <c r="B188" s="52"/>
      <c r="C188" s="52"/>
      <c r="D188" s="511"/>
      <c r="E188" s="511"/>
      <c r="F188" s="511"/>
      <c r="G188" s="511"/>
      <c r="H188" s="511"/>
      <c r="I188" s="537">
        <f>SUM(B180:I180)</f>
        <v>0</v>
      </c>
      <c r="J188" s="511"/>
      <c r="K188" s="511"/>
      <c r="L188" s="511"/>
      <c r="M188" s="511"/>
      <c r="N188" s="511"/>
      <c r="O188" s="205"/>
      <c r="P188" s="93"/>
      <c r="U188" s="533">
        <f>SUM(J$180:U$180)</f>
        <v>0</v>
      </c>
      <c r="AA188" s="205"/>
      <c r="AB188" s="93"/>
      <c r="AG188" s="533">
        <f>SUM(V$180:AG$180)</f>
        <v>0</v>
      </c>
      <c r="AL188" s="152"/>
    </row>
    <row r="189" spans="1:38" x14ac:dyDescent="0.2">
      <c r="A189" s="562" t="s">
        <v>186</v>
      </c>
      <c r="B189" s="66"/>
      <c r="C189" s="204"/>
      <c r="D189" s="511"/>
      <c r="E189" s="511"/>
      <c r="F189" s="511"/>
      <c r="G189" s="511"/>
      <c r="H189" s="511"/>
      <c r="I189" s="511"/>
      <c r="J189" s="538">
        <f>SUM(B180:K180)</f>
        <v>0</v>
      </c>
      <c r="K189" s="511"/>
      <c r="L189" s="511"/>
      <c r="M189" s="511"/>
      <c r="N189" s="511"/>
      <c r="O189" s="205"/>
      <c r="P189" s="93"/>
      <c r="V189" s="534">
        <f>SUM(K$180:V$180)</f>
        <v>0</v>
      </c>
      <c r="AA189" s="205"/>
      <c r="AB189" s="93"/>
      <c r="AH189" s="534">
        <f>SUM(W$180:AH$180)</f>
        <v>0</v>
      </c>
      <c r="AL189" s="152"/>
    </row>
    <row r="190" spans="1:38" x14ac:dyDescent="0.2">
      <c r="A190" s="563" t="s">
        <v>187</v>
      </c>
      <c r="B190" s="52"/>
      <c r="C190" s="52"/>
      <c r="D190" s="511"/>
      <c r="E190" s="511"/>
      <c r="F190" s="511"/>
      <c r="G190" s="511"/>
      <c r="H190" s="511"/>
      <c r="I190" s="511"/>
      <c r="J190" s="511"/>
      <c r="K190" s="539">
        <f>SUM(B180:K180)</f>
        <v>0</v>
      </c>
      <c r="L190" s="511"/>
      <c r="M190" s="511"/>
      <c r="N190" s="511"/>
      <c r="O190" s="205"/>
      <c r="P190" s="93"/>
      <c r="W190" s="535">
        <f>SUM(L$180:W$180)</f>
        <v>0</v>
      </c>
      <c r="AA190" s="205"/>
      <c r="AB190" s="93"/>
      <c r="AI190" s="535">
        <f>SUM(X$180:AI$180)</f>
        <v>0</v>
      </c>
      <c r="AL190" s="152"/>
    </row>
    <row r="191" spans="1:38" x14ac:dyDescent="0.2">
      <c r="A191" s="564" t="s">
        <v>188</v>
      </c>
      <c r="B191" s="66"/>
      <c r="C191" s="204"/>
      <c r="D191" s="511"/>
      <c r="E191" s="511"/>
      <c r="F191" s="511"/>
      <c r="G191" s="511"/>
      <c r="H191" s="511"/>
      <c r="I191" s="511"/>
      <c r="J191" s="511"/>
      <c r="K191" s="511"/>
      <c r="L191" s="540">
        <f>SUM(B180:L180)</f>
        <v>0</v>
      </c>
      <c r="M191" s="511"/>
      <c r="N191" s="511"/>
      <c r="O191" s="205"/>
      <c r="P191" s="93"/>
      <c r="X191" s="536">
        <f>SUM(M$180:X$180)</f>
        <v>0</v>
      </c>
      <c r="AA191" s="205"/>
      <c r="AB191" s="93"/>
      <c r="AJ191" s="536">
        <f>SUM(Y$180:AJ$180)</f>
        <v>0</v>
      </c>
      <c r="AL191" s="152"/>
    </row>
    <row r="192" spans="1:38" x14ac:dyDescent="0.2">
      <c r="A192" s="565" t="s">
        <v>189</v>
      </c>
      <c r="B192" s="52"/>
      <c r="C192" s="52"/>
      <c r="D192" s="511"/>
      <c r="E192" s="511"/>
      <c r="F192" s="511"/>
      <c r="G192" s="511"/>
      <c r="H192" s="511"/>
      <c r="I192" s="511"/>
      <c r="J192" s="511"/>
      <c r="K192" s="511"/>
      <c r="L192" s="511"/>
      <c r="M192" s="542">
        <f>SUM(B180:M180)</f>
        <v>0</v>
      </c>
      <c r="N192" s="511"/>
      <c r="O192" s="205"/>
      <c r="P192" s="93"/>
      <c r="Y192" s="541">
        <f>SUM(N$180:Y$180)</f>
        <v>0</v>
      </c>
      <c r="AA192" s="205"/>
      <c r="AB192" s="93"/>
      <c r="AK192" s="541">
        <f>SUM(Z$180:AK$180)</f>
        <v>0</v>
      </c>
      <c r="AL192" s="152"/>
    </row>
    <row r="193" spans="1:38" ht="13.5" thickBot="1" x14ac:dyDescent="0.25">
      <c r="A193" s="566" t="s">
        <v>190</v>
      </c>
      <c r="B193" s="567"/>
      <c r="C193" s="207"/>
      <c r="D193" s="568"/>
      <c r="E193" s="568"/>
      <c r="F193" s="568"/>
      <c r="G193" s="568"/>
      <c r="H193" s="568"/>
      <c r="I193" s="568"/>
      <c r="J193" s="568"/>
      <c r="K193" s="568"/>
      <c r="L193" s="568"/>
      <c r="M193" s="568"/>
      <c r="N193" s="569">
        <f>SUM(B180:N180)</f>
        <v>0</v>
      </c>
      <c r="O193" s="303"/>
      <c r="P193" s="570"/>
      <c r="Q193" s="160"/>
      <c r="R193" s="160"/>
      <c r="S193" s="160"/>
      <c r="T193" s="160"/>
      <c r="U193" s="160"/>
      <c r="V193" s="160"/>
      <c r="W193" s="160"/>
      <c r="X193" s="160"/>
      <c r="Y193" s="160"/>
      <c r="Z193" s="571">
        <f>SUM(O$180:Z$180)</f>
        <v>0</v>
      </c>
      <c r="AA193" s="303"/>
      <c r="AB193" s="570"/>
      <c r="AC193" s="160"/>
      <c r="AD193" s="160"/>
      <c r="AE193" s="160"/>
      <c r="AF193" s="160"/>
      <c r="AG193" s="160"/>
      <c r="AH193" s="160"/>
      <c r="AI193" s="160"/>
      <c r="AJ193" s="160"/>
      <c r="AK193" s="160"/>
      <c r="AL193" s="572">
        <f>SUM(AA$180:AL$180)</f>
        <v>0</v>
      </c>
    </row>
    <row r="194" spans="1:38" x14ac:dyDescent="0.2">
      <c r="A194" s="576" t="s">
        <v>216</v>
      </c>
      <c r="B194" s="519">
        <f>B82+B100+B118+B164</f>
        <v>0</v>
      </c>
      <c r="C194" s="204"/>
      <c r="D194" s="205"/>
      <c r="E194" s="205"/>
      <c r="F194" s="205"/>
      <c r="G194" s="205"/>
      <c r="H194" s="205"/>
      <c r="I194" s="205"/>
      <c r="J194" s="205"/>
      <c r="K194" s="205"/>
      <c r="L194" s="205"/>
      <c r="M194" s="205"/>
      <c r="N194" s="519">
        <f>N82+N100+N118+N164</f>
        <v>0</v>
      </c>
      <c r="O194" s="205"/>
      <c r="P194" s="93"/>
      <c r="Z194" s="519">
        <f>Z82+Z100+Z118+Z164</f>
        <v>0</v>
      </c>
      <c r="AL194" s="152"/>
    </row>
    <row r="195" spans="1:38" x14ac:dyDescent="0.2">
      <c r="A195" s="556" t="s">
        <v>181</v>
      </c>
      <c r="B195" s="66"/>
      <c r="C195" s="521">
        <f>C83+C101+C119+C165</f>
        <v>0</v>
      </c>
      <c r="D195" s="205"/>
      <c r="E195" s="205"/>
      <c r="F195" s="205"/>
      <c r="G195" s="205"/>
      <c r="H195" s="205"/>
      <c r="I195" s="205"/>
      <c r="J195" s="205"/>
      <c r="K195" s="205"/>
      <c r="L195" s="205"/>
      <c r="M195" s="205"/>
      <c r="O195" s="522">
        <f>O83+O101+O119+O165</f>
        <v>0</v>
      </c>
      <c r="P195" s="93"/>
      <c r="AA195" s="522">
        <f>AA83+AA101+AA119+AA165</f>
        <v>0</v>
      </c>
      <c r="AB195" s="93"/>
      <c r="AL195" s="152"/>
    </row>
    <row r="196" spans="1:38" x14ac:dyDescent="0.2">
      <c r="A196" s="557" t="s">
        <v>192</v>
      </c>
      <c r="B196" s="52"/>
      <c r="C196" s="52"/>
      <c r="D196" s="523">
        <f>D84+D102+D120+D166</f>
        <v>0</v>
      </c>
      <c r="E196" s="511"/>
      <c r="F196" s="511"/>
      <c r="G196" s="511"/>
      <c r="H196" s="511"/>
      <c r="I196" s="511"/>
      <c r="J196" s="511"/>
      <c r="K196" s="511"/>
      <c r="L196" s="511"/>
      <c r="M196" s="511"/>
      <c r="N196" s="511"/>
      <c r="O196" s="205"/>
      <c r="P196" s="524">
        <f>P84+P102+P120+P166</f>
        <v>0</v>
      </c>
      <c r="AA196" s="205"/>
      <c r="AB196" s="524">
        <f>AB84+AB102+AB120+AB166</f>
        <v>0</v>
      </c>
      <c r="AL196" s="152"/>
    </row>
    <row r="197" spans="1:38" x14ac:dyDescent="0.2">
      <c r="A197" s="600" t="s">
        <v>191</v>
      </c>
      <c r="B197" s="66"/>
      <c r="C197" s="204"/>
      <c r="D197" s="511"/>
      <c r="E197" s="526">
        <f>E85+E103+E121+E167</f>
        <v>0</v>
      </c>
      <c r="F197" s="511"/>
      <c r="G197" s="511"/>
      <c r="H197" s="511"/>
      <c r="I197" s="511"/>
      <c r="J197" s="511"/>
      <c r="K197" s="511"/>
      <c r="L197" s="511"/>
      <c r="M197" s="511"/>
      <c r="N197" s="511"/>
      <c r="O197" s="205"/>
      <c r="P197" s="93"/>
      <c r="Q197" s="525">
        <f>Q85+Q103+Q121+Q167</f>
        <v>0</v>
      </c>
      <c r="AA197" s="205"/>
      <c r="AB197" s="93"/>
      <c r="AC197" s="525">
        <f>AC85+AC103+AC121+AC167</f>
        <v>0</v>
      </c>
      <c r="AL197" s="152"/>
    </row>
    <row r="198" spans="1:38" x14ac:dyDescent="0.2">
      <c r="A198" s="558" t="s">
        <v>182</v>
      </c>
      <c r="B198" s="66"/>
      <c r="C198" s="204"/>
      <c r="D198" s="511"/>
      <c r="E198" s="511"/>
      <c r="F198" s="527">
        <f>F86+F104+F122+F168</f>
        <v>0</v>
      </c>
      <c r="G198" s="511"/>
      <c r="H198" s="511"/>
      <c r="I198" s="511"/>
      <c r="J198" s="511"/>
      <c r="K198" s="511"/>
      <c r="L198" s="511"/>
      <c r="M198" s="511"/>
      <c r="N198" s="511"/>
      <c r="O198" s="205"/>
      <c r="P198" s="93"/>
      <c r="R198" s="528">
        <f>R86+R104+R122+R168</f>
        <v>0</v>
      </c>
      <c r="AA198" s="205"/>
      <c r="AB198" s="93"/>
      <c r="AD198" s="528">
        <f>AD86+AD104+AD122+AD168</f>
        <v>0</v>
      </c>
      <c r="AL198" s="152"/>
    </row>
    <row r="199" spans="1:38" x14ac:dyDescent="0.2">
      <c r="A199" s="559" t="s">
        <v>183</v>
      </c>
      <c r="B199" s="52"/>
      <c r="C199" s="52"/>
      <c r="D199" s="511"/>
      <c r="E199" s="511"/>
      <c r="F199" s="511"/>
      <c r="G199" s="530">
        <f>G87+G105+G123+G169</f>
        <v>0</v>
      </c>
      <c r="H199" s="511"/>
      <c r="I199" s="511"/>
      <c r="J199" s="511"/>
      <c r="K199" s="511"/>
      <c r="L199" s="511"/>
      <c r="M199" s="511"/>
      <c r="N199" s="511"/>
      <c r="O199" s="205"/>
      <c r="P199" s="93"/>
      <c r="S199" s="529">
        <f>S87+S105+S123+S169</f>
        <v>0</v>
      </c>
      <c r="AA199" s="205"/>
      <c r="AB199" s="93"/>
      <c r="AE199" s="529">
        <f>AE87+AE105+AE123+AE169</f>
        <v>0</v>
      </c>
      <c r="AL199" s="152"/>
    </row>
    <row r="200" spans="1:38" x14ac:dyDescent="0.2">
      <c r="A200" s="560" t="s">
        <v>184</v>
      </c>
      <c r="B200" s="66"/>
      <c r="C200" s="204"/>
      <c r="D200" s="511"/>
      <c r="E200" s="511"/>
      <c r="F200" s="511"/>
      <c r="G200" s="511"/>
      <c r="H200" s="531">
        <f>H88+H106+H124+H170</f>
        <v>0</v>
      </c>
      <c r="I200" s="511"/>
      <c r="J200" s="511"/>
      <c r="K200" s="511"/>
      <c r="L200" s="511"/>
      <c r="M200" s="511"/>
      <c r="N200" s="511"/>
      <c r="O200" s="205"/>
      <c r="P200" s="93"/>
      <c r="T200" s="532">
        <f>T88+T106+T124+T170</f>
        <v>0</v>
      </c>
      <c r="AA200" s="205"/>
      <c r="AB200" s="93"/>
      <c r="AF200" s="532">
        <f>AF88+AF106+AF124+AF170</f>
        <v>0</v>
      </c>
      <c r="AL200" s="152"/>
    </row>
    <row r="201" spans="1:38" x14ac:dyDescent="0.2">
      <c r="A201" s="561" t="s">
        <v>185</v>
      </c>
      <c r="B201" s="52"/>
      <c r="C201" s="52"/>
      <c r="D201" s="511"/>
      <c r="E201" s="511"/>
      <c r="F201" s="511"/>
      <c r="G201" s="511"/>
      <c r="H201" s="511"/>
      <c r="I201" s="537">
        <f>I89+I107+I125+I171</f>
        <v>0</v>
      </c>
      <c r="J201" s="511"/>
      <c r="K201" s="511"/>
      <c r="L201" s="511"/>
      <c r="M201" s="511"/>
      <c r="N201" s="511"/>
      <c r="O201" s="205"/>
      <c r="P201" s="93"/>
      <c r="U201" s="533">
        <f>U89+U107+U125+U171</f>
        <v>0</v>
      </c>
      <c r="AA201" s="205"/>
      <c r="AB201" s="93"/>
      <c r="AG201" s="533">
        <f>AG89+AG107+AG125+AG171</f>
        <v>0</v>
      </c>
      <c r="AL201" s="152"/>
    </row>
    <row r="202" spans="1:38" x14ac:dyDescent="0.2">
      <c r="A202" s="562" t="s">
        <v>186</v>
      </c>
      <c r="B202" s="66"/>
      <c r="C202" s="204"/>
      <c r="D202" s="511"/>
      <c r="E202" s="511"/>
      <c r="F202" s="511"/>
      <c r="G202" s="511"/>
      <c r="H202" s="511"/>
      <c r="I202" s="511"/>
      <c r="J202" s="538">
        <f>J90+J108+J126+J172</f>
        <v>0</v>
      </c>
      <c r="K202" s="511"/>
      <c r="L202" s="511"/>
      <c r="M202" s="511"/>
      <c r="N202" s="511"/>
      <c r="O202" s="205"/>
      <c r="P202" s="93"/>
      <c r="V202" s="534">
        <f>V90+V108+V126+V172</f>
        <v>0</v>
      </c>
      <c r="AA202" s="205"/>
      <c r="AB202" s="93"/>
      <c r="AG202">
        <f>AG90+AG108+AG126+AG172</f>
        <v>0</v>
      </c>
      <c r="AH202" s="534">
        <f>AH90+AH108+AH126+AH172</f>
        <v>0</v>
      </c>
      <c r="AL202" s="152"/>
    </row>
    <row r="203" spans="1:38" x14ac:dyDescent="0.2">
      <c r="A203" s="563" t="s">
        <v>187</v>
      </c>
      <c r="B203" s="52"/>
      <c r="C203" s="52"/>
      <c r="D203" s="511"/>
      <c r="E203" s="511"/>
      <c r="F203" s="511"/>
      <c r="G203" s="511"/>
      <c r="H203" s="511"/>
      <c r="I203" s="511"/>
      <c r="J203" s="511"/>
      <c r="K203" s="539">
        <f>K91+K109+K127+K173</f>
        <v>0</v>
      </c>
      <c r="L203" s="511"/>
      <c r="M203" s="511"/>
      <c r="N203" s="511"/>
      <c r="O203" s="205"/>
      <c r="P203" s="93"/>
      <c r="W203" s="535">
        <f>W91+W109+W127+W173</f>
        <v>0</v>
      </c>
      <c r="AA203" s="205"/>
      <c r="AB203" s="93"/>
      <c r="AI203" s="535">
        <f>AI91+AI109+AI127+AI173</f>
        <v>0</v>
      </c>
      <c r="AL203" s="152"/>
    </row>
    <row r="204" spans="1:38" x14ac:dyDescent="0.2">
      <c r="A204" s="564" t="s">
        <v>188</v>
      </c>
      <c r="B204" s="66"/>
      <c r="C204" s="204"/>
      <c r="D204" s="511"/>
      <c r="E204" s="511"/>
      <c r="F204" s="511"/>
      <c r="G204" s="511"/>
      <c r="H204" s="511"/>
      <c r="I204" s="511"/>
      <c r="J204" s="511"/>
      <c r="K204" s="511"/>
      <c r="L204" s="540">
        <f>L92+L110+L128+L174</f>
        <v>0</v>
      </c>
      <c r="M204" s="511"/>
      <c r="N204" s="511"/>
      <c r="O204" s="205"/>
      <c r="P204" s="93"/>
      <c r="X204" s="536">
        <f>X92+X110+X128+X174</f>
        <v>0</v>
      </c>
      <c r="AA204" s="205"/>
      <c r="AB204" s="93"/>
      <c r="AJ204" s="536">
        <f>AJ92+AJ110+AJ128+AJ174</f>
        <v>0</v>
      </c>
      <c r="AL204" s="152"/>
    </row>
    <row r="205" spans="1:38" x14ac:dyDescent="0.2">
      <c r="A205" s="565" t="s">
        <v>189</v>
      </c>
      <c r="B205" s="52"/>
      <c r="C205" s="52"/>
      <c r="D205" s="511"/>
      <c r="E205" s="511"/>
      <c r="F205" s="511"/>
      <c r="G205" s="511"/>
      <c r="H205" s="511"/>
      <c r="I205" s="511"/>
      <c r="J205" s="511"/>
      <c r="K205" s="511"/>
      <c r="L205" s="511"/>
      <c r="M205" s="542">
        <f>M93+M111+M129+M175</f>
        <v>0</v>
      </c>
      <c r="N205" s="511"/>
      <c r="O205" s="205"/>
      <c r="P205" s="93"/>
      <c r="Y205" s="541">
        <f>Y93+Y111+Y129+Y175</f>
        <v>0</v>
      </c>
      <c r="AA205" s="205"/>
      <c r="AB205" s="93"/>
      <c r="AK205" s="541">
        <f>AK93+AK111+AK129+AK175</f>
        <v>0</v>
      </c>
      <c r="AL205" s="152"/>
    </row>
    <row r="206" spans="1:38" ht="13.5" thickBot="1" x14ac:dyDescent="0.25">
      <c r="A206" s="566" t="s">
        <v>190</v>
      </c>
      <c r="B206" s="567"/>
      <c r="C206" s="207"/>
      <c r="D206" s="568"/>
      <c r="E206" s="568"/>
      <c r="F206" s="568"/>
      <c r="G206" s="568"/>
      <c r="H206" s="568"/>
      <c r="I206" s="568"/>
      <c r="J206" s="568"/>
      <c r="K206" s="568"/>
      <c r="L206" s="568"/>
      <c r="M206" s="568"/>
      <c r="N206" s="569">
        <f>N94+N112+N130+N176</f>
        <v>0</v>
      </c>
      <c r="O206" s="303"/>
      <c r="P206" s="570"/>
      <c r="Q206" s="160"/>
      <c r="R206" s="160"/>
      <c r="S206" s="160"/>
      <c r="T206" s="160"/>
      <c r="U206" s="160"/>
      <c r="V206" s="160"/>
      <c r="W206" s="160"/>
      <c r="X206" s="160"/>
      <c r="Y206" s="160"/>
      <c r="Z206" s="571">
        <f>Z94+Z112+Z130+Z176</f>
        <v>0</v>
      </c>
      <c r="AA206" s="303"/>
      <c r="AB206" s="570"/>
      <c r="AC206" s="160"/>
      <c r="AD206" s="160"/>
      <c r="AE206" s="160"/>
      <c r="AF206" s="160"/>
      <c r="AG206" s="160"/>
      <c r="AH206" s="160"/>
      <c r="AI206" s="160"/>
      <c r="AJ206" s="160"/>
      <c r="AK206" s="160"/>
      <c r="AL206" s="572">
        <f>AL94+AL112+AL130+AL176</f>
        <v>0</v>
      </c>
    </row>
  </sheetData>
  <sheetProtection algorithmName="SHA-512" hashValue="We8Wm66Tsv6GdLReLcPDYHgiSWLms4Kp5ryvd0ggrLRDN7j4hcZCMTtGygV/M2PriGUydN9wxVVqpeXJ9BDHQQ==" saltValue="xtyTldpjYbpQbh1LHvplgA==" spinCount="100000" sheet="1" objects="1" scenarios="1" selectLockedCells="1" selectUnlockedCells="1"/>
  <mergeCells count="4">
    <mergeCell ref="D2:E2"/>
    <mergeCell ref="G19:I19"/>
    <mergeCell ref="C27:E27"/>
    <mergeCell ref="G27:I27"/>
  </mergeCells>
  <pageMargins left="0.7" right="0.7" top="0.75" bottom="0.75" header="0.3" footer="0.3"/>
  <pageSetup paperSize="9" orientation="portrait" horizontalDpi="1200" verticalDpi="4"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ul17"/>
  <dimension ref="A16:J45"/>
  <sheetViews>
    <sheetView workbookViewId="0"/>
  </sheetViews>
  <sheetFormatPr defaultRowHeight="12.75" x14ac:dyDescent="0.2"/>
  <cols>
    <col min="1" max="1" width="15.28515625" bestFit="1" customWidth="1"/>
    <col min="3" max="3" width="11.28515625" customWidth="1"/>
    <col min="4" max="4" width="9.140625" bestFit="1" customWidth="1"/>
    <col min="5" max="6" width="15.5703125" bestFit="1" customWidth="1"/>
  </cols>
  <sheetData>
    <row r="16" spans="3:3" x14ac:dyDescent="0.2">
      <c r="C16" s="286" t="s">
        <v>0</v>
      </c>
    </row>
    <row r="18" spans="1:10" x14ac:dyDescent="0.2">
      <c r="C18" s="2" t="s">
        <v>570</v>
      </c>
    </row>
    <row r="19" spans="1:10" x14ac:dyDescent="0.2">
      <c r="J19" s="2" t="s">
        <v>571</v>
      </c>
    </row>
    <row r="20" spans="1:10" ht="15.6" customHeight="1" x14ac:dyDescent="0.2">
      <c r="B20" s="271" t="s">
        <v>569</v>
      </c>
      <c r="C20" s="822"/>
      <c r="D20" s="162"/>
      <c r="E20" s="162"/>
      <c r="F20" s="162"/>
      <c r="G20" s="162"/>
    </row>
    <row r="21" spans="1:10" x14ac:dyDescent="0.2">
      <c r="A21" s="286" t="s">
        <v>125</v>
      </c>
      <c r="B21" s="688">
        <f>'Ekonomiska parametrar'!P4</f>
        <v>2023</v>
      </c>
      <c r="C21" s="689">
        <f>'Ekonomiska parametrar'!H4</f>
        <v>2024</v>
      </c>
      <c r="D21" s="31">
        <f>'K2 Försäljning'!C12</f>
        <v>2026</v>
      </c>
      <c r="E21" s="31">
        <f>'K2 Försäljning'!D12</f>
        <v>2027</v>
      </c>
      <c r="F21" s="31">
        <f>'K2 Försäljning'!E12</f>
        <v>2028</v>
      </c>
    </row>
    <row r="22" spans="1:10" x14ac:dyDescent="0.2">
      <c r="A22" s="95">
        <f>'K3 Resultat'!$F$97</f>
        <v>0</v>
      </c>
      <c r="B22" s="850">
        <f>IF($A22=0,0,LOOKUP($A22,'Ekonomiska parametrar'!$B$7:$B$71,'Ekonomiska parametrar'!N$7:N52))/1000</f>
        <v>0</v>
      </c>
      <c r="C22" s="850">
        <f>IF($A22=0,0,LOOKUP($A22,'Ekonomiska parametrar'!$B$7:$B$71,'Ekonomiska parametrar'!F$7:F71))/1000</f>
        <v>0</v>
      </c>
      <c r="D22" s="851">
        <f>'K3 Resultat'!E82/1000</f>
        <v>0</v>
      </c>
      <c r="E22" s="851">
        <f>'K3 Resultat'!F82/1000</f>
        <v>0</v>
      </c>
      <c r="F22" s="851">
        <f>'K3 Resultat'!G82/1000</f>
        <v>0</v>
      </c>
      <c r="G22" s="286" t="s">
        <v>584</v>
      </c>
    </row>
    <row r="23" spans="1:10" x14ac:dyDescent="0.2">
      <c r="B23" s="945">
        <f>IF($A22=0,0,LOOKUP($A22,'Ekonomiska parametrar'!$B$7:$B$71,'Ekonomiska parametrar'!Q$7:Q$52))/1000</f>
        <v>0</v>
      </c>
      <c r="C23" s="945">
        <f>IF($A22=0,0,LOOKUP($A22,'Ekonomiska parametrar'!$B$7:$B$71,'Ekonomiska parametrar'!I$7:I$71))/1000</f>
        <v>0</v>
      </c>
      <c r="D23" s="851">
        <f>'K1 Kostnader'!F124/1000/'K3 Resultat'!F40</f>
        <v>0</v>
      </c>
      <c r="E23" s="851">
        <f>'K1 Kostnader'!G124/1000/'K3 Resultat'!H40</f>
        <v>0</v>
      </c>
      <c r="F23" s="851">
        <f>'K1 Kostnader'!H124/1000/'K3 Resultat'!K40</f>
        <v>0</v>
      </c>
      <c r="G23" s="286" t="s">
        <v>629</v>
      </c>
    </row>
    <row r="24" spans="1:10" x14ac:dyDescent="0.2">
      <c r="A24" s="402"/>
      <c r="B24" s="402"/>
      <c r="C24" s="402"/>
      <c r="D24" s="402"/>
      <c r="E24" s="402"/>
      <c r="F24" s="402"/>
      <c r="G24" s="402"/>
    </row>
    <row r="25" spans="1:10" x14ac:dyDescent="0.2">
      <c r="A25" s="402"/>
      <c r="B25" s="402"/>
      <c r="C25" s="402"/>
      <c r="D25" s="403"/>
      <c r="E25" s="403"/>
      <c r="F25" s="403"/>
      <c r="G25" s="402"/>
    </row>
    <row r="26" spans="1:10" x14ac:dyDescent="0.2">
      <c r="A26" s="404"/>
      <c r="B26" s="404"/>
      <c r="C26" s="402"/>
      <c r="D26" s="402"/>
      <c r="E26" s="402"/>
      <c r="F26" s="402"/>
      <c r="G26" s="402"/>
    </row>
    <row r="27" spans="1:10" x14ac:dyDescent="0.2">
      <c r="B27" s="288" t="s">
        <v>568</v>
      </c>
      <c r="C27" s="400"/>
      <c r="D27" s="400"/>
      <c r="E27" s="400"/>
      <c r="F27" s="400"/>
    </row>
    <row r="28" spans="1:10" x14ac:dyDescent="0.2">
      <c r="A28" s="286" t="s">
        <v>125</v>
      </c>
      <c r="B28" s="690">
        <f>B21</f>
        <v>2023</v>
      </c>
      <c r="C28" s="691">
        <f>C21</f>
        <v>2024</v>
      </c>
      <c r="D28" s="507">
        <f>'[3]K2 Myynti'!C$12</f>
        <v>2022</v>
      </c>
      <c r="E28" s="507">
        <f>'[3]K2 Myynti'!D$12</f>
        <v>2023</v>
      </c>
      <c r="F28" s="507">
        <f>'[3]K2 Myynti'!E$12</f>
        <v>2024</v>
      </c>
    </row>
    <row r="29" spans="1:10" x14ac:dyDescent="0.2">
      <c r="A29" s="95">
        <f>'K3 Resultat'!$F$97</f>
        <v>0</v>
      </c>
      <c r="B29" s="818">
        <f>IF($A29=0,0,LOOKUP($A29,'Ekonomiska parametrar'!$B$7:$B$71,'Ekonomiska parametrar'!O$7:O$52))</f>
        <v>0</v>
      </c>
      <c r="C29" s="818">
        <f>IF($A29=0,0,LOOKUP($A29,'Ekonomiska parametrar'!$B$7:$B$71,'Ekonomiska parametrar'!G$7:G$71))</f>
        <v>0</v>
      </c>
      <c r="D29" s="819">
        <f>'K3 Resultat'!G49/100</f>
        <v>0</v>
      </c>
      <c r="E29" s="819">
        <f>'K3 Resultat'!J49/100</f>
        <v>0</v>
      </c>
      <c r="F29" s="819">
        <f>'K3 Resultat'!L49/100</f>
        <v>0</v>
      </c>
      <c r="G29" s="286" t="s">
        <v>374</v>
      </c>
    </row>
    <row r="30" spans="1:10" x14ac:dyDescent="0.2">
      <c r="A30" s="95"/>
      <c r="B30" s="820"/>
      <c r="C30" s="820"/>
      <c r="D30" s="273"/>
      <c r="E30" s="273"/>
      <c r="F30" s="273"/>
      <c r="G30" s="286"/>
    </row>
    <row r="31" spans="1:10" x14ac:dyDescent="0.2">
      <c r="A31" s="95"/>
      <c r="B31" s="820"/>
      <c r="C31" s="820"/>
      <c r="D31" s="273"/>
      <c r="E31" s="273"/>
      <c r="F31" s="273"/>
      <c r="G31" s="286"/>
    </row>
    <row r="33" spans="1:7" x14ac:dyDescent="0.2">
      <c r="C33" s="286"/>
    </row>
    <row r="34" spans="1:7" x14ac:dyDescent="0.2">
      <c r="A34" s="286"/>
      <c r="B34" s="286"/>
      <c r="D34" s="31"/>
      <c r="E34" s="31"/>
      <c r="F34" s="31"/>
    </row>
    <row r="35" spans="1:7" x14ac:dyDescent="0.2">
      <c r="A35" s="95"/>
      <c r="B35" s="95"/>
      <c r="D35" s="50"/>
      <c r="E35" s="50"/>
      <c r="F35" s="50"/>
    </row>
    <row r="36" spans="1:7" x14ac:dyDescent="0.2">
      <c r="C36" s="2" t="s">
        <v>412</v>
      </c>
    </row>
    <row r="37" spans="1:7" ht="15.6" customHeight="1" x14ac:dyDescent="0.2">
      <c r="B37" s="288" t="s">
        <v>569</v>
      </c>
      <c r="C37" s="817"/>
      <c r="D37" s="366"/>
      <c r="E37" s="366"/>
      <c r="F37" s="366"/>
      <c r="G37" s="366"/>
    </row>
    <row r="38" spans="1:7" x14ac:dyDescent="0.2">
      <c r="A38" s="286" t="s">
        <v>125</v>
      </c>
      <c r="B38" s="688">
        <f>B21</f>
        <v>2023</v>
      </c>
      <c r="C38" s="688">
        <f t="shared" ref="C38:F38" si="0">C21</f>
        <v>2024</v>
      </c>
      <c r="D38" s="690">
        <f t="shared" si="0"/>
        <v>2026</v>
      </c>
      <c r="E38" s="690">
        <f t="shared" si="0"/>
        <v>2027</v>
      </c>
      <c r="F38" s="690">
        <f t="shared" si="0"/>
        <v>2028</v>
      </c>
    </row>
    <row r="39" spans="1:7" x14ac:dyDescent="0.2">
      <c r="A39" s="95">
        <f>'FS3 Resultat'!$F$97</f>
        <v>0</v>
      </c>
      <c r="B39" s="850">
        <f>IF($A39=0,0,LOOKUP($A39,'Ekonomiska parametrar'!$B$7:$B$71,'Ekonomiska parametrar'!N$7:N52))/1000</f>
        <v>0</v>
      </c>
      <c r="C39" s="850">
        <f>IF($A39=0,0,LOOKUP($A39,'Ekonomiska parametrar'!$B$7:$B$71,'Ekonomiska parametrar'!F$7:F71))/1000</f>
        <v>0</v>
      </c>
      <c r="D39" s="851">
        <f>'FS3 Resultat'!E82/1000</f>
        <v>0</v>
      </c>
      <c r="E39" s="851">
        <f>'FS3 Resultat'!F82/1000</f>
        <v>0</v>
      </c>
      <c r="F39" s="851">
        <f>'FS3 Resultat'!G82/1000</f>
        <v>0</v>
      </c>
      <c r="G39" s="286" t="s">
        <v>584</v>
      </c>
    </row>
    <row r="40" spans="1:7" x14ac:dyDescent="0.2">
      <c r="B40" s="850">
        <f>IF($A39=0,0,LOOKUP($A39,'Ekonomiska parametrar'!$B$7:$B$71,'Ekonomiska parametrar'!Q$7:Q$52))/1000</f>
        <v>0</v>
      </c>
      <c r="C40" s="850">
        <f>IF($A39=0,0,LOOKUP($A39,'Ekonomiska parametrar'!$B$7:$B$71,'Ekonomiska parametrar'!I$7:I$71))/1000</f>
        <v>0</v>
      </c>
      <c r="D40" s="851">
        <f>'FS1 Kostnader '!F124/1000/'FS3 Resultat'!F40</f>
        <v>0</v>
      </c>
      <c r="E40" s="851">
        <f>'FS1 Kostnader '!G124/1000/'FS3 Resultat'!H40</f>
        <v>0</v>
      </c>
      <c r="F40" s="851">
        <f>'FS1 Kostnader '!H124/1000/'FS3 Resultat'!K40</f>
        <v>0</v>
      </c>
      <c r="G40" s="286" t="s">
        <v>629</v>
      </c>
    </row>
    <row r="42" spans="1:7" x14ac:dyDescent="0.2">
      <c r="B42" s="2" t="s">
        <v>568</v>
      </c>
    </row>
    <row r="43" spans="1:7" x14ac:dyDescent="0.2">
      <c r="A43" s="286" t="s">
        <v>125</v>
      </c>
      <c r="B43" s="690">
        <f>B21</f>
        <v>2023</v>
      </c>
      <c r="C43" s="691">
        <f>C21</f>
        <v>2024</v>
      </c>
      <c r="D43" s="821">
        <f>'FS2 Försäljning '!C12</f>
        <v>2027</v>
      </c>
      <c r="E43" s="821">
        <f>'FS2 Försäljning '!D12</f>
        <v>2028</v>
      </c>
      <c r="F43" s="821">
        <f>'FS2 Försäljning '!E12</f>
        <v>2029</v>
      </c>
    </row>
    <row r="44" spans="1:7" x14ac:dyDescent="0.2">
      <c r="A44" s="95">
        <f>'FS3 Resultat'!F97</f>
        <v>0</v>
      </c>
      <c r="B44" s="824">
        <f>IF($A44=0,0,LOOKUP($A44,'Ekonomiska parametrar'!$B$7:$B$71,'Ekonomiska parametrar'!O$7:O$52))</f>
        <v>0</v>
      </c>
      <c r="C44" s="824">
        <f>IF($A44=0,0,LOOKUP($A44,'Ekonomiska parametrar'!$B$7:$B$71,'Ekonomiska parametrar'!G$7:G$71))</f>
        <v>0</v>
      </c>
      <c r="D44" s="825">
        <f>'FS3 Resultat'!G49/100</f>
        <v>0</v>
      </c>
      <c r="E44" s="825">
        <f>'FS3 Resultat'!J49/100</f>
        <v>0</v>
      </c>
      <c r="F44" s="825">
        <f>'FS3 Resultat'!L49/100</f>
        <v>0</v>
      </c>
      <c r="G44" s="286" t="s">
        <v>374</v>
      </c>
    </row>
    <row r="45" spans="1:7" x14ac:dyDescent="0.2">
      <c r="A45" s="95"/>
      <c r="B45" s="400"/>
      <c r="C45" s="823" t="s">
        <v>0</v>
      </c>
      <c r="D45" s="273"/>
      <c r="E45" s="273"/>
      <c r="F45" s="273"/>
      <c r="G45" s="286"/>
    </row>
  </sheetData>
  <sheetProtection algorithmName="SHA-512" hashValue="0GpVXyUDt1hT+1KKA6bGDFw9cHBftZBm+7mxIF1zpsJ/8wEasE5jYEgjg/trOOk81oAG4mlHSd1vB9l5m6BuRA==" saltValue="rmk6x2/x13EEy/BzKI+mNQ==" spinCount="100000" sheet="1" objects="1" scenarios="1" selectLockedCells="1" selectUnlockedCells="1"/>
  <pageMargins left="0.7" right="0.7" top="0.75" bottom="0.75" header="0.3" footer="0.3"/>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ul3">
    <tabColor rgb="FFFFFF00"/>
  </sheetPr>
  <dimension ref="A1:W188"/>
  <sheetViews>
    <sheetView showGridLines="0" showZeros="0" zoomScaleNormal="100" workbookViewId="0">
      <selection activeCell="N28" sqref="N28"/>
    </sheetView>
  </sheetViews>
  <sheetFormatPr defaultRowHeight="12.75" x14ac:dyDescent="0.2"/>
  <cols>
    <col min="1" max="1" width="5.7109375" customWidth="1"/>
    <col min="2" max="2" width="7.5703125" style="95" customWidth="1"/>
    <col min="3" max="3" width="3.7109375" style="14" customWidth="1"/>
    <col min="4" max="4" width="53.28515625" customWidth="1"/>
    <col min="5" max="5" width="8.28515625" customWidth="1"/>
    <col min="6" max="8" width="10.7109375" customWidth="1"/>
    <col min="9" max="9" width="2.5703125" customWidth="1"/>
    <col min="10" max="11" width="9.140625" customWidth="1"/>
    <col min="12" max="12" width="7.85546875" customWidth="1"/>
    <col min="17" max="18" width="8.85546875" customWidth="1"/>
  </cols>
  <sheetData>
    <row r="1" spans="1:20" x14ac:dyDescent="0.2">
      <c r="A1" s="286" t="s">
        <v>0</v>
      </c>
    </row>
    <row r="2" spans="1:20" ht="15" customHeight="1" x14ac:dyDescent="0.2">
      <c r="C2" s="1632" t="s">
        <v>236</v>
      </c>
      <c r="D2" s="1633"/>
      <c r="E2" s="1633"/>
      <c r="F2" s="1633"/>
      <c r="G2" s="1633"/>
      <c r="H2" s="1633"/>
      <c r="J2" s="1629" t="s">
        <v>239</v>
      </c>
      <c r="K2" s="1629"/>
      <c r="L2" s="1629"/>
      <c r="M2" s="603"/>
      <c r="N2" s="1630"/>
      <c r="O2" s="1630"/>
      <c r="P2" s="1630"/>
    </row>
    <row r="3" spans="1:20" ht="15" customHeight="1" x14ac:dyDescent="0.25">
      <c r="C3" s="485"/>
      <c r="D3" s="485"/>
      <c r="E3" s="1635"/>
      <c r="F3" s="1635"/>
      <c r="G3" s="1635"/>
      <c r="H3" s="1635"/>
    </row>
    <row r="4" spans="1:20" ht="15" customHeight="1" x14ac:dyDescent="0.3">
      <c r="C4" s="1638" t="s">
        <v>237</v>
      </c>
      <c r="D4" s="1639"/>
      <c r="E4" s="1639"/>
      <c r="F4" s="1639"/>
      <c r="G4" s="1639"/>
      <c r="H4" s="1639"/>
      <c r="J4" s="1636"/>
      <c r="K4" s="1636"/>
    </row>
    <row r="5" spans="1:20" ht="12" customHeight="1" x14ac:dyDescent="0.2">
      <c r="C5" s="101" t="s">
        <v>632</v>
      </c>
      <c r="E5" s="71"/>
      <c r="G5" s="1"/>
      <c r="H5" s="486" t="s">
        <v>0</v>
      </c>
      <c r="I5" s="28"/>
      <c r="J5" s="1636"/>
      <c r="K5" s="1636"/>
      <c r="S5" s="293"/>
    </row>
    <row r="6" spans="1:20" ht="12" customHeight="1" x14ac:dyDescent="0.25">
      <c r="C6" s="63" t="str">
        <f>Startsidan!G35</f>
        <v>Business Kristinestad och Dynamo Närpes</v>
      </c>
      <c r="E6" s="2"/>
      <c r="F6" s="33"/>
      <c r="G6" s="36"/>
      <c r="H6" s="36"/>
      <c r="I6" s="33"/>
      <c r="J6" s="12"/>
      <c r="R6" s="19"/>
      <c r="S6" s="19"/>
    </row>
    <row r="7" spans="1:20" ht="12" customHeight="1" x14ac:dyDescent="0.25">
      <c r="C7" s="101"/>
      <c r="E7" s="2"/>
      <c r="F7" s="33"/>
      <c r="G7" s="36"/>
      <c r="H7" s="36"/>
      <c r="I7" s="33"/>
      <c r="J7" s="12"/>
      <c r="R7" s="19"/>
      <c r="S7" s="19"/>
    </row>
    <row r="8" spans="1:20" ht="12" customHeight="1" x14ac:dyDescent="0.2">
      <c r="C8" s="101" t="s">
        <v>238</v>
      </c>
      <c r="E8" s="71"/>
      <c r="F8" s="36"/>
      <c r="G8" s="36"/>
      <c r="H8" s="36"/>
      <c r="I8" s="42"/>
      <c r="J8" s="71"/>
      <c r="R8" s="19"/>
      <c r="S8" s="19"/>
    </row>
    <row r="9" spans="1:20" ht="13.5" customHeight="1" x14ac:dyDescent="0.2">
      <c r="C9" s="1641">
        <v>0</v>
      </c>
      <c r="D9" s="1641"/>
      <c r="E9" s="1640"/>
      <c r="F9" s="1640"/>
      <c r="G9" s="1640"/>
      <c r="H9" s="1640"/>
      <c r="I9" s="51"/>
      <c r="J9" s="1642">
        <f>C9</f>
        <v>0</v>
      </c>
      <c r="K9" s="1642"/>
      <c r="L9" s="1642"/>
      <c r="M9" s="1642"/>
      <c r="N9" s="1642"/>
      <c r="R9" s="19"/>
      <c r="S9" s="19"/>
    </row>
    <row r="10" spans="1:20" ht="9.75" customHeight="1" thickBot="1" x14ac:dyDescent="0.25">
      <c r="G10" s="27"/>
      <c r="J10" s="1"/>
      <c r="K10" s="1"/>
      <c r="L10" s="1"/>
      <c r="M10" s="1"/>
      <c r="N10" s="1"/>
      <c r="O10" s="1"/>
      <c r="P10" s="1"/>
      <c r="Q10" s="1"/>
      <c r="R10" s="19"/>
      <c r="S10" s="19"/>
    </row>
    <row r="11" spans="1:20" ht="13.5" customHeight="1" x14ac:dyDescent="0.2">
      <c r="B11" s="1634" t="s">
        <v>235</v>
      </c>
      <c r="C11" s="1105"/>
      <c r="D11" s="1631" t="str">
        <f>IF(F13=12,"VERKSAMHETSKOSTNADER UNDER RÄKENSKAPSPERIODEN ","VERKSAMHETSKOSTNADER UNDER RÄKENSKAPSPERIODEN (moms 0 %). OBSERVERA RÄKENSKAPSPERIODENS LÄNGD!")</f>
        <v xml:space="preserve">VERKSAMHETSKOSTNADER UNDER RÄKENSKAPSPERIODEN </v>
      </c>
      <c r="E11" s="1631"/>
      <c r="F11" s="1063" t="s">
        <v>313</v>
      </c>
      <c r="G11" s="1063" t="s">
        <v>314</v>
      </c>
      <c r="H11" s="1063" t="s">
        <v>315</v>
      </c>
      <c r="I11" s="45"/>
      <c r="J11" s="1025" t="s">
        <v>310</v>
      </c>
      <c r="K11" s="1016"/>
      <c r="L11" s="1017"/>
      <c r="M11" s="1018"/>
      <c r="N11" s="1018"/>
      <c r="O11" s="1018"/>
      <c r="P11" s="1018"/>
      <c r="Q11" s="1355"/>
      <c r="R11" s="1059"/>
      <c r="S11" s="1059"/>
      <c r="T11" s="1356"/>
    </row>
    <row r="12" spans="1:20" ht="13.5" customHeight="1" thickBot="1" x14ac:dyDescent="0.25">
      <c r="B12" s="1634"/>
      <c r="C12" s="1105"/>
      <c r="D12" s="1631"/>
      <c r="E12" s="1631"/>
      <c r="F12" s="395">
        <v>2026</v>
      </c>
      <c r="G12" s="395">
        <f>F12+1</f>
        <v>2027</v>
      </c>
      <c r="H12" s="395">
        <f>G12+1</f>
        <v>2028</v>
      </c>
      <c r="I12" s="46"/>
      <c r="J12" s="1026" t="s">
        <v>0</v>
      </c>
      <c r="K12" s="286"/>
      <c r="L12" s="1357"/>
      <c r="M12" s="1357"/>
      <c r="N12" s="241"/>
      <c r="O12" s="1354"/>
      <c r="P12" s="1354"/>
      <c r="Q12" s="1354"/>
      <c r="R12" s="157"/>
      <c r="S12" s="157"/>
      <c r="T12" s="1298"/>
    </row>
    <row r="13" spans="1:20" ht="12.75" customHeight="1" thickBot="1" x14ac:dyDescent="0.25">
      <c r="B13" s="651"/>
      <c r="C13" s="1104"/>
      <c r="D13" s="1637" t="s">
        <v>241</v>
      </c>
      <c r="E13" s="1637"/>
      <c r="F13" s="467">
        <v>12</v>
      </c>
      <c r="G13" s="518">
        <v>12</v>
      </c>
      <c r="H13" s="518">
        <v>12</v>
      </c>
      <c r="I13" s="46"/>
      <c r="J13" s="1026"/>
      <c r="K13" s="8"/>
      <c r="L13" s="412"/>
      <c r="M13" s="412"/>
      <c r="N13" s="346"/>
      <c r="O13" s="157"/>
      <c r="P13" s="157"/>
      <c r="Q13" s="1268" t="s">
        <v>760</v>
      </c>
      <c r="R13" s="157"/>
      <c r="S13" s="157"/>
      <c r="T13" s="1298"/>
    </row>
    <row r="14" spans="1:20" ht="12.75" customHeight="1" thickBot="1" x14ac:dyDescent="0.25">
      <c r="B14" s="652" t="s">
        <v>105</v>
      </c>
      <c r="C14" s="681" t="s">
        <v>4</v>
      </c>
      <c r="D14" s="604" t="s">
        <v>716</v>
      </c>
      <c r="E14" s="604"/>
      <c r="F14" s="711">
        <f>F16*F18</f>
        <v>0</v>
      </c>
      <c r="G14" s="711">
        <f>G16*G18</f>
        <v>0</v>
      </c>
      <c r="H14" s="711">
        <f>H16*H18</f>
        <v>0</v>
      </c>
      <c r="I14" s="46"/>
      <c r="J14" s="1609" t="s">
        <v>311</v>
      </c>
      <c r="K14" s="1610"/>
      <c r="L14" s="355"/>
      <c r="M14" s="355"/>
      <c r="N14" s="1021"/>
      <c r="O14" s="1021"/>
      <c r="P14" s="1021"/>
      <c r="Q14" s="1264"/>
      <c r="R14" s="1264"/>
      <c r="S14" s="1264"/>
      <c r="T14" s="1265"/>
    </row>
    <row r="15" spans="1:20" ht="12.75" customHeight="1" x14ac:dyDescent="0.2">
      <c r="B15" s="653" t="s">
        <v>0</v>
      </c>
      <c r="C15" s="310"/>
      <c r="D15" s="1624" t="s">
        <v>776</v>
      </c>
      <c r="E15" s="1624"/>
      <c r="F15" s="712">
        <f>(F16+F17)*F18</f>
        <v>0</v>
      </c>
      <c r="G15" s="712">
        <f>(G16+G17)*G18</f>
        <v>0</v>
      </c>
      <c r="H15" s="712">
        <f>(H16+H17)*H18</f>
        <v>0</v>
      </c>
      <c r="I15" s="3"/>
      <c r="J15" s="314">
        <f>Teksti38</f>
        <v>2027</v>
      </c>
      <c r="K15" s="314">
        <f>Teksti39</f>
        <v>2028</v>
      </c>
      <c r="L15" s="412"/>
      <c r="M15" s="412"/>
      <c r="N15" s="751"/>
      <c r="O15" s="751"/>
      <c r="P15" s="751"/>
      <c r="Q15" s="751"/>
      <c r="R15" s="751"/>
      <c r="S15" s="751"/>
      <c r="T15" s="1020"/>
    </row>
    <row r="16" spans="1:20" ht="12.75" customHeight="1" x14ac:dyDescent="0.2">
      <c r="B16" s="653"/>
      <c r="C16" s="310"/>
      <c r="D16" s="1644" t="s">
        <v>393</v>
      </c>
      <c r="E16" s="1644"/>
      <c r="F16" s="752">
        <v>0</v>
      </c>
      <c r="G16" s="752">
        <f>F16 +F16*J16</f>
        <v>0</v>
      </c>
      <c r="H16" s="752">
        <f>G16 +G16*K16</f>
        <v>0</v>
      </c>
      <c r="I16" s="3"/>
      <c r="J16" s="261">
        <v>0.03</v>
      </c>
      <c r="K16" s="468">
        <f>J16</f>
        <v>0.03</v>
      </c>
      <c r="L16" s="751"/>
      <c r="M16" s="751"/>
      <c r="N16" s="751"/>
      <c r="O16" s="751"/>
      <c r="P16" s="751"/>
      <c r="Q16" s="751"/>
      <c r="R16" s="751"/>
      <c r="S16" s="751"/>
      <c r="T16" s="1020"/>
    </row>
    <row r="17" spans="1:20" ht="12.75" customHeight="1" x14ac:dyDescent="0.2">
      <c r="B17" s="653"/>
      <c r="C17" s="310"/>
      <c r="D17" s="1644" t="s">
        <v>242</v>
      </c>
      <c r="E17" s="1644"/>
      <c r="F17" s="752">
        <v>0</v>
      </c>
      <c r="G17" s="752">
        <f>F17 +F17*J17</f>
        <v>0</v>
      </c>
      <c r="H17" s="752">
        <f>G17 +G17*K17</f>
        <v>0</v>
      </c>
      <c r="I17" s="3"/>
      <c r="J17" s="468">
        <v>0.03</v>
      </c>
      <c r="K17" s="468">
        <f>J17</f>
        <v>0.03</v>
      </c>
      <c r="L17" s="751"/>
      <c r="M17" s="751"/>
      <c r="N17" s="751"/>
      <c r="O17" s="751"/>
      <c r="P17" s="751"/>
      <c r="Q17" s="751"/>
      <c r="R17" s="751"/>
      <c r="S17" s="751"/>
      <c r="T17" s="1020"/>
    </row>
    <row r="18" spans="1:20" ht="12.75" customHeight="1" x14ac:dyDescent="0.2">
      <c r="B18" s="653"/>
      <c r="C18" s="310"/>
      <c r="D18" s="1644" t="s">
        <v>243</v>
      </c>
      <c r="E18" s="1644"/>
      <c r="F18" s="753">
        <f>F13</f>
        <v>12</v>
      </c>
      <c r="G18" s="753">
        <f>12.5</f>
        <v>12.5</v>
      </c>
      <c r="H18" s="753">
        <f>G18</f>
        <v>12.5</v>
      </c>
      <c r="I18" s="3"/>
      <c r="J18" s="701"/>
      <c r="K18" s="751"/>
      <c r="L18" s="751"/>
      <c r="M18" s="751"/>
      <c r="N18" s="751"/>
      <c r="O18" s="751"/>
      <c r="P18" s="751"/>
      <c r="Q18" s="751"/>
      <c r="R18" s="751"/>
      <c r="S18" s="751"/>
      <c r="T18" s="1020"/>
    </row>
    <row r="19" spans="1:20" ht="12.75" customHeight="1" thickBot="1" x14ac:dyDescent="0.25">
      <c r="B19" s="653"/>
      <c r="C19" s="312"/>
      <c r="D19" s="1643" t="s">
        <v>576</v>
      </c>
      <c r="E19" s="1643"/>
      <c r="F19" s="336">
        <v>1</v>
      </c>
      <c r="G19" s="336">
        <f>F19</f>
        <v>1</v>
      </c>
      <c r="H19" s="336">
        <f>G19</f>
        <v>1</v>
      </c>
      <c r="I19" s="3"/>
      <c r="J19" s="701"/>
      <c r="K19" s="751"/>
      <c r="L19" s="751"/>
      <c r="M19" s="751"/>
      <c r="N19" s="751"/>
      <c r="O19" s="751"/>
      <c r="P19" s="751"/>
      <c r="Q19" s="751"/>
      <c r="R19" s="751"/>
      <c r="S19" s="751"/>
      <c r="T19" s="1020"/>
    </row>
    <row r="20" spans="1:20" ht="12.75" customHeight="1" x14ac:dyDescent="0.2">
      <c r="A20" s="162"/>
      <c r="C20" s="681" t="s">
        <v>5</v>
      </c>
      <c r="D20" s="1621" t="s">
        <v>717</v>
      </c>
      <c r="E20" s="1621"/>
      <c r="F20" s="713">
        <f>IF($F13=6,'1Kauppa AT lainat ja avustukset'!B148,IF($F13=7,'1Kauppa AT lainat ja avustukset'!C149,IF($F13=8,'1Kauppa AT lainat ja avustukset'!D150,IF($F13=9,'1Kauppa AT lainat ja avustukset'!E151,IF($F13=10,'1Kauppa AT lainat ja avustukset'!F152,IF($F13=11,'1Kauppa AT lainat ja avustukset'!G153,IF($F13=12,'1Kauppa AT lainat ja avustukset'!H154,IF($F13=12,'1Kauppa AT lainat ja avustukset'!I155,IF($F13=14,'1Kauppa AT lainat ja avustukset'!J156,IF($F13=15,'1Kauppa AT lainat ja avustukset'!K157,IF($F13=16,'1Kauppa AT lainat ja avustukset'!L158,IF($F13=17,'1Kauppa AT lainat ja avustukset'!M159,'1Kauppa AT lainat ja avustukset'!N160))))))))))))</f>
        <v>0</v>
      </c>
      <c r="G20" s="714">
        <f>IF($F13=6,'1Kauppa AT lainat ja avustukset'!N148,IF($F13=7,'1Kauppa AT lainat ja avustukset'!O149,IF($F13=8,'1Kauppa AT lainat ja avustukset'!P150,IF($F13=9,'1Kauppa AT lainat ja avustukset'!Q151,IF($F13=10,'1Kauppa AT lainat ja avustukset'!R152,IF($F13=11,'1Kauppa AT lainat ja avustukset'!S153,IF($F13=12,'1Kauppa AT lainat ja avustukset'!T154,IF($F13=13,'1Kauppa AT lainat ja avustukset'!U155,IF($F13=14,'1Kauppa AT lainat ja avustukset'!V156,IF($F13=15,'1Kauppa AT lainat ja avustukset'!W157,IF($F13=16,'1Kauppa AT lainat ja avustukset'!X158,IF($F13=17,'1Kauppa AT lainat ja avustukset'!Y159,'1Kauppa AT lainat ja avustukset'!Z160))))))))))))</f>
        <v>0</v>
      </c>
      <c r="H20" s="714">
        <f>IF($F13=6,'1Kauppa AT lainat ja avustukset'!Z148,IF($F13=7,'1Kauppa AT lainat ja avustukset'!AA149,IF($F13=8,'1Kauppa AT lainat ja avustukset'!AB150,IF($F13=9,'1Kauppa AT lainat ja avustukset'!AC151,IF($F13=10,'1Kauppa AT lainat ja avustukset'!AD152,IF($F13=11,'1Kauppa AT lainat ja avustukset'!AE153,IF($F13=12,'1Kauppa AT lainat ja avustukset'!AF154,IF($F13=13,'1Kauppa AT lainat ja avustukset'!AG155,IF($F13=14,'1Kauppa AT lainat ja avustukset'!AH156,IF($F13=15,'1Kauppa AT lainat ja avustukset'!AI157,IF($F13=16,'1Kauppa AT lainat ja avustukset'!AJ158,IF($F13=17,'1Kauppa AT lainat ja avustukset'!AK159,'1Kauppa AT lainat ja avustukset'!AL160))))))))))))</f>
        <v>0</v>
      </c>
      <c r="I20" s="5"/>
      <c r="J20" s="701"/>
      <c r="K20" s="751"/>
      <c r="L20" s="751"/>
      <c r="M20" s="751"/>
      <c r="N20" s="751"/>
      <c r="O20" s="751"/>
      <c r="P20" s="751"/>
      <c r="Q20" s="751"/>
      <c r="R20" s="751"/>
      <c r="S20" s="751"/>
      <c r="T20" s="1020"/>
    </row>
    <row r="21" spans="1:20" ht="12.75" customHeight="1" x14ac:dyDescent="0.2">
      <c r="B21" s="653"/>
      <c r="C21" s="310"/>
      <c r="D21" s="1645" t="s">
        <v>244</v>
      </c>
      <c r="E21" s="1645"/>
      <c r="F21" s="754">
        <f>IF($F13=6,'1Kauppa AT lainat ja avustukset'!B134,IF($F13=7,'1Kauppa AT lainat ja avustukset'!C135,IF($F13=8,'1Kauppa AT lainat ja avustukset'!D136,IF($F13=9,'1Kauppa AT lainat ja avustukset'!E137,IF($F13=10,'1Kauppa AT lainat ja avustukset'!F138,IF($F13=11,'1Kauppa AT lainat ja avustukset'!G139,IF($F13=12,'1Kauppa AT lainat ja avustukset'!H140,IF($F13=13,'1Kauppa AT lainat ja avustukset'!I141,IF($F13=14,'1Kauppa AT lainat ja avustukset'!J142,IF($F13=15,'1Kauppa AT lainat ja avustukset'!K143,IF($F13=16,'1Kauppa AT lainat ja avustukset'!L144,IF($F13=17,'1Kauppa AT lainat ja avustukset'!M145,'1Kauppa AT lainat ja avustukset'!N146))))))))))))</f>
        <v>0</v>
      </c>
      <c r="G21" s="755">
        <f>IF($F13=6,'1Kauppa AT lainat ja avustukset'!N134,IF($F13=7,'1Kauppa AT lainat ja avustukset'!O135,IF($F13=8,'1Kauppa AT lainat ja avustukset'!P136,IF($F13=9,'1Kauppa AT lainat ja avustukset'!Q137,IF($F13=10,'1Kauppa AT lainat ja avustukset'!R138,IF($F13=11,'1Kauppa AT lainat ja avustukset'!S139,IF($F13=12,'1Kauppa AT lainat ja avustukset'!T140,IF($F13=13,'1Kauppa AT lainat ja avustukset'!U141,IF($F13=14,'1Kauppa AT lainat ja avustukset'!V142,IF($F13=15,'1Kauppa AT lainat ja avustukset'!W143,IF($F13=16,'1Kauppa AT lainat ja avustukset'!X144,IF($F13=17,'1Kauppa AT lainat ja avustukset'!Y145,'1Kauppa AT lainat ja avustukset'!Z146))))))))))))</f>
        <v>0</v>
      </c>
      <c r="H21" s="715">
        <f>IF($F13=6,'1Kauppa AT lainat ja avustukset'!Z134,IF($F13=7,'1Kauppa AT lainat ja avustukset'!AA135,IF($F13=8,'1Kauppa AT lainat ja avustukset'!AB136,IF($F13=9,'1Kauppa AT lainat ja avustukset'!AC137,IF($F13=10,'1Kauppa AT lainat ja avustukset'!AD138,IF($F13=11,'1Kauppa AT lainat ja avustukset'!AE139,IF($F13=12,'1Kauppa AT lainat ja avustukset'!AF140,IF($F13=13,'1Kauppa AT lainat ja avustukset'!AG141,IF($F13=14,'1Kauppa AT lainat ja avustukset'!AH142,IF($F13=15,'1Kauppa AT lainat ja avustukset'!AI143,IF($F13=16,'1Kauppa AT lainat ja avustukset'!AJ144,IF($F13=17,'1Kauppa AT lainat ja avustukset'!AK145,'1Kauppa AT lainat ja avustukset'!AL146))))))))))))</f>
        <v>0</v>
      </c>
      <c r="I21" s="5"/>
      <c r="J21" s="701"/>
      <c r="K21" s="751"/>
      <c r="L21" s="751"/>
      <c r="M21" s="751"/>
      <c r="N21" s="751"/>
      <c r="O21" s="751"/>
      <c r="P21" s="751"/>
      <c r="Q21" s="751"/>
      <c r="R21" s="751"/>
      <c r="S21" s="751"/>
      <c r="T21" s="1020"/>
    </row>
    <row r="22" spans="1:20" ht="12.75" customHeight="1" thickBot="1" x14ac:dyDescent="0.25">
      <c r="A22" s="162"/>
      <c r="B22" s="653"/>
      <c r="C22" s="312"/>
      <c r="D22" s="1646" t="s">
        <v>245</v>
      </c>
      <c r="E22" s="1646"/>
      <c r="F22" s="716">
        <f>IF($F13&lt;12,'1Kauppa AT lainat ja avustukset'!G131,IF($F13&lt;18,'1Kauppa AT lainat ja avustukset'!M131,'1Kauppa AT lainat ja avustukset'!N131))</f>
        <v>0</v>
      </c>
      <c r="G22" s="717">
        <f>IF($F13&lt;12,'1Kauppa AT lainat ja avustukset'!S131,IF($F13&lt;18,'1Kauppa AT lainat ja avustukset'!Y131,'1Kauppa AT lainat ja avustukset'!Z131))</f>
        <v>0</v>
      </c>
      <c r="H22" s="717">
        <f>IF($F13&lt;12,'1Kauppa AT lainat ja avustukset'!AE131,IF($F13&lt;18,'1Kauppa AT lainat ja avustukset'!AK131,'1Kauppa AT lainat ja avustukset'!AL131))</f>
        <v>0</v>
      </c>
      <c r="I22" s="5"/>
      <c r="J22" s="701"/>
      <c r="K22" s="751"/>
      <c r="L22" s="751"/>
      <c r="M22" s="751"/>
      <c r="N22" s="751"/>
      <c r="O22" s="751"/>
      <c r="P22" s="751"/>
      <c r="Q22" s="751"/>
      <c r="R22" s="751"/>
      <c r="S22" s="751"/>
      <c r="T22" s="1020"/>
    </row>
    <row r="23" spans="1:20" ht="12.75" customHeight="1" thickBot="1" x14ac:dyDescent="0.25">
      <c r="A23" s="2"/>
      <c r="B23" s="652" t="s">
        <v>107</v>
      </c>
      <c r="C23" s="663" t="s">
        <v>6</v>
      </c>
      <c r="D23" s="351" t="s">
        <v>246</v>
      </c>
      <c r="E23" s="664"/>
      <c r="F23" s="707">
        <f>F14+F20</f>
        <v>0</v>
      </c>
      <c r="G23" s="707">
        <f>G14+G20</f>
        <v>0</v>
      </c>
      <c r="H23" s="707">
        <f>H14+H20</f>
        <v>0</v>
      </c>
      <c r="I23" s="5"/>
      <c r="J23" s="701"/>
      <c r="K23" s="751"/>
      <c r="L23" s="751"/>
      <c r="M23" s="751"/>
      <c r="N23" s="751"/>
      <c r="O23" s="751"/>
      <c r="P23" s="751"/>
      <c r="Q23" s="751"/>
      <c r="R23" s="1360"/>
      <c r="S23" s="1360"/>
      <c r="T23" s="1020"/>
    </row>
    <row r="24" spans="1:20" ht="6" customHeight="1" x14ac:dyDescent="0.2">
      <c r="A24" s="162"/>
      <c r="B24" s="654"/>
      <c r="C24" s="310"/>
      <c r="D24" s="63"/>
      <c r="E24" s="63"/>
      <c r="F24" s="334"/>
      <c r="G24" s="334"/>
      <c r="H24" s="334"/>
      <c r="I24" s="3"/>
      <c r="J24" s="1029"/>
      <c r="K24" s="412"/>
      <c r="L24" s="412"/>
      <c r="M24" s="412"/>
      <c r="N24" s="412"/>
      <c r="O24" s="412"/>
      <c r="P24" s="412"/>
      <c r="Q24" s="412"/>
      <c r="R24" s="1361"/>
      <c r="S24" s="1361"/>
      <c r="T24" s="1022"/>
    </row>
    <row r="25" spans="1:20" ht="18.95" customHeight="1" thickBot="1" x14ac:dyDescent="0.25">
      <c r="B25" s="653"/>
      <c r="C25" s="1338" t="s">
        <v>0</v>
      </c>
      <c r="D25" s="1482" t="s">
        <v>785</v>
      </c>
      <c r="E25" s="1339"/>
      <c r="F25" s="1340"/>
      <c r="G25" s="1340"/>
      <c r="H25" s="1340"/>
      <c r="I25" s="286"/>
      <c r="J25" s="701"/>
      <c r="K25" s="751"/>
      <c r="L25" s="751"/>
      <c r="M25" s="751"/>
      <c r="N25" s="751"/>
      <c r="O25" s="751"/>
      <c r="P25" s="751"/>
      <c r="Q25" s="751"/>
      <c r="R25" s="751"/>
      <c r="S25" s="751"/>
      <c r="T25" s="1020"/>
    </row>
    <row r="26" spans="1:20" x14ac:dyDescent="0.2">
      <c r="B26" s="655" t="s">
        <v>129</v>
      </c>
      <c r="C26" s="682" t="s">
        <v>7</v>
      </c>
      <c r="D26" s="1621" t="s">
        <v>718</v>
      </c>
      <c r="E26" s="1621"/>
      <c r="F26" s="719">
        <f>IF(F27=0,0,-F13*PMT('K3 Resultat'!$H22/12,'K3 Resultat'!$I22*12,'K3 Resultat'!$K22)+F13*10)</f>
        <v>0</v>
      </c>
      <c r="G26" s="719">
        <f>IF(G27=0,0,-G13*PMT('K3 Resultat'!$H22/12,'K3 Resultat'!$I22*12,'K3 Resultat'!$K22)+G13*10)</f>
        <v>0</v>
      </c>
      <c r="H26" s="719">
        <f>IF(H27=0,0,-H13*PMT('K3 Resultat'!$H22/12,'K3 Resultat'!$I22*12,'K3 Resultat'!$K22)+H13*10)</f>
        <v>0</v>
      </c>
      <c r="I26" s="48"/>
      <c r="J26" s="701"/>
      <c r="K26" s="751"/>
      <c r="L26" s="751"/>
      <c r="M26" s="751"/>
      <c r="N26" s="751"/>
      <c r="O26" s="751"/>
      <c r="P26" s="751"/>
      <c r="Q26" s="751"/>
      <c r="R26" s="751"/>
      <c r="S26" s="751"/>
      <c r="T26" s="1020"/>
    </row>
    <row r="27" spans="1:20" ht="13.5" thickBot="1" x14ac:dyDescent="0.25">
      <c r="A27" s="162"/>
      <c r="B27" s="656"/>
      <c r="C27" s="349"/>
      <c r="D27" s="1617" t="s">
        <v>247</v>
      </c>
      <c r="E27" s="1617"/>
      <c r="F27" s="720">
        <f>'K3 Resultat'!K22</f>
        <v>0</v>
      </c>
      <c r="G27" s="720">
        <f>IF('K3 Resultat'!$I$22&lt;2,0,'K1 Kostnader'!F27)</f>
        <v>0</v>
      </c>
      <c r="H27" s="720">
        <f>IF('K3 Resultat'!$I$22&lt;3,0,'K1 Kostnader'!G27)</f>
        <v>0</v>
      </c>
      <c r="I27" s="44"/>
      <c r="J27" s="701"/>
      <c r="K27" s="751"/>
      <c r="L27" s="751"/>
      <c r="M27" s="751"/>
      <c r="N27" s="751"/>
      <c r="O27" s="751"/>
      <c r="P27" s="751"/>
      <c r="Q27" s="751"/>
      <c r="R27" s="751"/>
      <c r="S27" s="751"/>
      <c r="T27" s="1020"/>
    </row>
    <row r="28" spans="1:20" s="2" customFormat="1" ht="12.75" customHeight="1" thickBot="1" x14ac:dyDescent="0.25">
      <c r="A28"/>
      <c r="B28" s="655" t="s">
        <v>175</v>
      </c>
      <c r="C28" s="350" t="s">
        <v>8</v>
      </c>
      <c r="D28" s="1263" t="s">
        <v>248</v>
      </c>
      <c r="E28" s="481"/>
      <c r="F28" s="711">
        <f>Lönekostnader!C83</f>
        <v>0</v>
      </c>
      <c r="G28" s="711">
        <f>Lönekostnader!D83</f>
        <v>0</v>
      </c>
      <c r="H28" s="711">
        <f>Lönekostnader!E83</f>
        <v>0</v>
      </c>
      <c r="I28" s="5"/>
      <c r="J28" s="1029"/>
      <c r="K28" s="751"/>
      <c r="L28" s="751"/>
      <c r="M28" s="751"/>
      <c r="N28" s="751"/>
      <c r="O28" s="751"/>
      <c r="P28" s="751"/>
      <c r="Q28" s="751"/>
      <c r="R28" s="1360"/>
      <c r="S28" s="1360"/>
      <c r="T28" s="1020"/>
    </row>
    <row r="29" spans="1:20" s="2" customFormat="1" ht="12.75" customHeight="1" thickBot="1" x14ac:dyDescent="0.25">
      <c r="A29" s="162"/>
      <c r="B29" s="655" t="s">
        <v>108</v>
      </c>
      <c r="C29" s="682" t="s">
        <v>9</v>
      </c>
      <c r="D29" s="665" t="s">
        <v>719</v>
      </c>
      <c r="E29" s="342"/>
      <c r="F29" s="711">
        <f>F30+F33</f>
        <v>0</v>
      </c>
      <c r="G29" s="711">
        <f>G30+G33</f>
        <v>0</v>
      </c>
      <c r="H29" s="711">
        <f>H30+H33</f>
        <v>0</v>
      </c>
      <c r="I29" s="5"/>
      <c r="J29" s="701"/>
      <c r="K29" s="751"/>
      <c r="L29" s="751"/>
      <c r="M29" s="751"/>
      <c r="N29" s="751"/>
      <c r="O29" s="751"/>
      <c r="P29" s="751"/>
      <c r="Q29" s="751"/>
      <c r="R29" s="1360"/>
      <c r="S29" s="1360"/>
      <c r="T29" s="1020"/>
    </row>
    <row r="30" spans="1:20" s="2" customFormat="1" x14ac:dyDescent="0.2">
      <c r="A30"/>
      <c r="B30" s="656" t="s">
        <v>0</v>
      </c>
      <c r="C30" s="157" t="s">
        <v>0</v>
      </c>
      <c r="D30" s="662" t="s">
        <v>249</v>
      </c>
      <c r="E30" s="662"/>
      <c r="F30" s="721">
        <f>F31*F13*F32/12</f>
        <v>0</v>
      </c>
      <c r="G30" s="721">
        <f>G31*G32</f>
        <v>0</v>
      </c>
      <c r="H30" s="721">
        <f>H31*H32</f>
        <v>0</v>
      </c>
      <c r="I30" s="5"/>
      <c r="J30" s="1607"/>
      <c r="K30" s="1608"/>
      <c r="L30" s="751"/>
      <c r="M30" s="751"/>
      <c r="N30" s="751"/>
      <c r="O30" s="751"/>
      <c r="P30" s="751"/>
      <c r="Q30" s="751"/>
      <c r="R30" s="1360"/>
      <c r="S30" s="1360"/>
      <c r="T30" s="1020"/>
    </row>
    <row r="31" spans="1:20" s="2" customFormat="1" x14ac:dyDescent="0.2">
      <c r="A31" s="162"/>
      <c r="B31" s="656"/>
      <c r="C31" s="157"/>
      <c r="D31" s="343" t="s">
        <v>250</v>
      </c>
      <c r="E31" s="343"/>
      <c r="F31" s="756">
        <v>0.1903</v>
      </c>
      <c r="G31" s="756">
        <f>F31</f>
        <v>0.1903</v>
      </c>
      <c r="H31" s="756">
        <f>G31</f>
        <v>0.1903</v>
      </c>
      <c r="I31" s="5"/>
      <c r="J31" s="701"/>
      <c r="K31" s="751"/>
      <c r="L31" s="751"/>
      <c r="M31" s="751"/>
      <c r="N31" s="751"/>
      <c r="O31" s="751"/>
      <c r="P31" s="751"/>
      <c r="Q31" s="751"/>
      <c r="R31" s="1360"/>
      <c r="S31" s="1360"/>
      <c r="T31" s="1020"/>
    </row>
    <row r="32" spans="1:20" s="2" customFormat="1" x14ac:dyDescent="0.2">
      <c r="A32"/>
      <c r="B32" s="656"/>
      <c r="C32" s="157"/>
      <c r="D32" s="1620" t="s">
        <v>251</v>
      </c>
      <c r="E32" s="1620"/>
      <c r="F32" s="757">
        <f>12.5*F16+12.5*F17</f>
        <v>0</v>
      </c>
      <c r="G32" s="757">
        <f t="shared" ref="G32:H32" si="0">12.5*G16+12.5*G17</f>
        <v>0</v>
      </c>
      <c r="H32" s="757">
        <f t="shared" si="0"/>
        <v>0</v>
      </c>
      <c r="I32" s="5"/>
      <c r="J32" s="701"/>
      <c r="K32" s="751"/>
      <c r="L32" s="751"/>
      <c r="M32" s="751"/>
      <c r="N32" s="751"/>
      <c r="O32" s="751"/>
      <c r="P32" s="751"/>
      <c r="Q32" s="751"/>
      <c r="R32" s="1360"/>
      <c r="S32" s="1360"/>
      <c r="T32" s="1020"/>
    </row>
    <row r="33" spans="1:20" s="2" customFormat="1" x14ac:dyDescent="0.2">
      <c r="A33" s="162"/>
      <c r="B33" s="656"/>
      <c r="C33" s="157"/>
      <c r="D33" s="343" t="s">
        <v>252</v>
      </c>
      <c r="E33" s="343"/>
      <c r="F33" s="722">
        <f>('K1 Kostnader'!F34)*Lönekostnader!C$85+F35</f>
        <v>0</v>
      </c>
      <c r="G33" s="722">
        <f>('K1 Kostnader'!G34)*Lönekostnader!D$85+G35</f>
        <v>0</v>
      </c>
      <c r="H33" s="722">
        <f>('K1 Kostnader'!H34)*Lönekostnader!E$85+H35</f>
        <v>0</v>
      </c>
      <c r="I33" s="5"/>
      <c r="J33" s="701"/>
      <c r="K33" s="751"/>
      <c r="L33" s="751"/>
      <c r="M33" s="751"/>
      <c r="N33" s="751"/>
      <c r="O33" s="751"/>
      <c r="P33" s="751"/>
      <c r="Q33" s="751"/>
      <c r="R33" s="1360"/>
      <c r="S33" s="1360"/>
      <c r="T33" s="1020"/>
    </row>
    <row r="34" spans="1:20" s="2" customFormat="1" x14ac:dyDescent="0.2">
      <c r="B34" s="656"/>
      <c r="C34" s="157"/>
      <c r="D34" s="343" t="s">
        <v>253</v>
      </c>
      <c r="E34" s="343"/>
      <c r="F34" s="756">
        <v>0.17100000000000001</v>
      </c>
      <c r="G34" s="756">
        <f>F34</f>
        <v>0.17100000000000001</v>
      </c>
      <c r="H34" s="756">
        <f>G34</f>
        <v>0.17100000000000001</v>
      </c>
      <c r="I34" s="5"/>
      <c r="J34" s="701"/>
      <c r="K34" s="751"/>
      <c r="L34" s="751"/>
      <c r="M34" s="751"/>
      <c r="N34" s="751"/>
      <c r="O34" s="751"/>
      <c r="P34" s="751"/>
      <c r="Q34" s="751"/>
      <c r="R34" s="1360"/>
      <c r="S34" s="1360"/>
      <c r="T34" s="1020"/>
    </row>
    <row r="35" spans="1:20" s="2" customFormat="1" ht="13.5" thickBot="1" x14ac:dyDescent="0.25">
      <c r="A35"/>
      <c r="B35" s="656"/>
      <c r="C35" s="349"/>
      <c r="D35" s="335" t="s">
        <v>254</v>
      </c>
      <c r="E35" s="335"/>
      <c r="F35" s="336">
        <v>0</v>
      </c>
      <c r="G35" s="336">
        <f>F35*12/F$13</f>
        <v>0</v>
      </c>
      <c r="H35" s="336">
        <f>G35</f>
        <v>0</v>
      </c>
      <c r="I35" s="5"/>
      <c r="J35" s="701"/>
      <c r="K35" s="751"/>
      <c r="L35" s="751"/>
      <c r="M35" s="751"/>
      <c r="N35" s="751"/>
      <c r="O35" s="751"/>
      <c r="P35" s="751"/>
      <c r="Q35" s="751"/>
      <c r="R35" s="1360"/>
      <c r="S35" s="1360"/>
      <c r="T35" s="1020"/>
    </row>
    <row r="36" spans="1:20" s="2" customFormat="1" ht="13.5" thickBot="1" x14ac:dyDescent="0.25">
      <c r="A36"/>
      <c r="B36" s="655" t="s">
        <v>109</v>
      </c>
      <c r="C36" s="682" t="s">
        <v>10</v>
      </c>
      <c r="D36" s="1621" t="s">
        <v>720</v>
      </c>
      <c r="E36" s="1621"/>
      <c r="F36" s="711">
        <f>('K1 Kostnader'!F37)*Lönekostnader!C$85+F40+F38+F39</f>
        <v>0</v>
      </c>
      <c r="G36" s="711">
        <f>('K1 Kostnader'!G37)*Lönekostnader!D$85+G40+G38+G39</f>
        <v>0</v>
      </c>
      <c r="H36" s="711">
        <f>('K1 Kostnader'!H37)*Lönekostnader!E$85+H40+H38+H39</f>
        <v>0</v>
      </c>
      <c r="I36" s="5"/>
      <c r="J36" s="701"/>
      <c r="K36" s="751"/>
      <c r="L36" s="751"/>
      <c r="M36" s="751"/>
      <c r="N36" s="751"/>
      <c r="O36" s="751"/>
      <c r="P36" s="751"/>
      <c r="Q36" s="751"/>
      <c r="R36" s="1360"/>
      <c r="S36" s="1360"/>
      <c r="T36" s="1020"/>
    </row>
    <row r="37" spans="1:20" s="2" customFormat="1" x14ac:dyDescent="0.2">
      <c r="A37"/>
      <c r="B37" s="656"/>
      <c r="C37" s="157"/>
      <c r="D37" s="1624" t="s">
        <v>538</v>
      </c>
      <c r="E37" s="1624"/>
      <c r="F37" s="758">
        <v>2.7699999999999999E-2</v>
      </c>
      <c r="G37" s="758">
        <f>F37</f>
        <v>2.7699999999999999E-2</v>
      </c>
      <c r="H37" s="758">
        <f>G37</f>
        <v>2.7699999999999999E-2</v>
      </c>
      <c r="I37" s="5"/>
      <c r="J37" s="1609" t="s">
        <v>309</v>
      </c>
      <c r="K37" s="1610"/>
      <c r="L37" s="751"/>
      <c r="M37" s="751"/>
      <c r="N37" s="751"/>
      <c r="O37" s="751"/>
      <c r="P37" s="751"/>
      <c r="Q37" s="751"/>
      <c r="R37" s="1360"/>
      <c r="S37" s="1360"/>
      <c r="T37" s="1020"/>
    </row>
    <row r="38" spans="1:20" s="2" customFormat="1" x14ac:dyDescent="0.2">
      <c r="A38"/>
      <c r="B38" s="656"/>
      <c r="C38" s="157"/>
      <c r="D38" s="1620" t="s">
        <v>539</v>
      </c>
      <c r="E38" s="1620"/>
      <c r="F38" s="722">
        <f>F13*(1.7%*F32+1.91%*F15+0.008*'K3 Resultat'!$K16)/12</f>
        <v>0</v>
      </c>
      <c r="G38" s="722">
        <f>G13*(1.7%*G32+1.91%*G15+0.008*'K3 Resultat'!$K16)/12</f>
        <v>0</v>
      </c>
      <c r="H38" s="722">
        <f>H13*(1.7%*H32+1.91%*H15+0.008*'K3 Resultat'!$K16)/12</f>
        <v>0</v>
      </c>
      <c r="I38" s="5"/>
      <c r="J38" s="313">
        <f>G$12</f>
        <v>2027</v>
      </c>
      <c r="K38" s="313">
        <f>H$12</f>
        <v>2028</v>
      </c>
      <c r="L38" s="751"/>
      <c r="M38" s="751"/>
      <c r="N38" s="751"/>
      <c r="O38" s="751"/>
      <c r="P38" s="751"/>
      <c r="Q38" s="751"/>
      <c r="R38" s="1360"/>
      <c r="S38" s="1360"/>
      <c r="T38" s="1020"/>
    </row>
    <row r="39" spans="1:20" s="2" customFormat="1" x14ac:dyDescent="0.2">
      <c r="A39"/>
      <c r="B39" s="656"/>
      <c r="C39" s="157"/>
      <c r="D39" s="1620" t="s">
        <v>255</v>
      </c>
      <c r="E39" s="1620"/>
      <c r="F39" s="752">
        <v>0</v>
      </c>
      <c r="G39" s="752">
        <f>F39*12/F$13+J39*F39*12/F$13</f>
        <v>0</v>
      </c>
      <c r="H39" s="752">
        <f t="shared" ref="H39" si="1">G39 +G39*K39</f>
        <v>0</v>
      </c>
      <c r="I39" s="5"/>
      <c r="J39" s="468">
        <v>0.03</v>
      </c>
      <c r="K39" s="468">
        <f t="shared" ref="K39:K46" si="2">J39</f>
        <v>0.03</v>
      </c>
      <c r="L39" s="751"/>
      <c r="M39" s="751"/>
      <c r="N39" s="751"/>
      <c r="O39" s="751"/>
      <c r="P39" s="751"/>
      <c r="Q39" s="751"/>
      <c r="R39" s="1360"/>
      <c r="S39" s="1360"/>
      <c r="T39" s="1020"/>
    </row>
    <row r="40" spans="1:20" s="2" customFormat="1" ht="13.5" thickBot="1" x14ac:dyDescent="0.25">
      <c r="A40"/>
      <c r="B40" s="656"/>
      <c r="C40" s="349"/>
      <c r="D40" s="1617" t="s">
        <v>256</v>
      </c>
      <c r="E40" s="1617"/>
      <c r="F40" s="336">
        <v>0</v>
      </c>
      <c r="G40" s="759">
        <f>F40*12/F$13+J40*F40*12/F$13</f>
        <v>0</v>
      </c>
      <c r="H40" s="752">
        <f t="shared" ref="H40" si="3">G40 +G40*K40</f>
        <v>0</v>
      </c>
      <c r="I40" s="5"/>
      <c r="J40" s="468">
        <v>0.03</v>
      </c>
      <c r="K40" s="468">
        <f t="shared" si="2"/>
        <v>0.03</v>
      </c>
      <c r="L40" s="751"/>
      <c r="M40" s="751"/>
      <c r="N40" s="751"/>
      <c r="O40" s="751"/>
      <c r="P40" s="751"/>
      <c r="Q40" s="751"/>
      <c r="R40" s="1360"/>
      <c r="S40" s="1360"/>
      <c r="T40" s="1020"/>
    </row>
    <row r="41" spans="1:20" s="2" customFormat="1" ht="13.5" thickBot="1" x14ac:dyDescent="0.25">
      <c r="A41"/>
      <c r="B41" s="655" t="s">
        <v>110</v>
      </c>
      <c r="C41" s="682" t="s">
        <v>11</v>
      </c>
      <c r="D41" s="666" t="s">
        <v>654</v>
      </c>
      <c r="E41" s="344"/>
      <c r="F41" s="711">
        <f>SUM(F42:F46)</f>
        <v>0</v>
      </c>
      <c r="G41" s="711">
        <f>SUM(G42:G46)</f>
        <v>0</v>
      </c>
      <c r="H41" s="711">
        <f>SUM(H42:H46)</f>
        <v>0</v>
      </c>
      <c r="I41" s="5"/>
      <c r="J41" s="313">
        <f>G$12</f>
        <v>2027</v>
      </c>
      <c r="K41" s="313">
        <f>H$12</f>
        <v>2028</v>
      </c>
      <c r="L41" s="751"/>
      <c r="M41" s="751"/>
      <c r="N41" s="751"/>
      <c r="O41" s="751"/>
      <c r="P41" s="751"/>
      <c r="Q41" s="751"/>
      <c r="R41" s="1360"/>
      <c r="S41" s="1360"/>
      <c r="T41" s="1020"/>
    </row>
    <row r="42" spans="1:20" s="2" customFormat="1" x14ac:dyDescent="0.2">
      <c r="A42"/>
      <c r="B42" s="656"/>
      <c r="C42" s="157"/>
      <c r="D42" s="343" t="s">
        <v>257</v>
      </c>
      <c r="E42" s="315"/>
      <c r="F42" s="752">
        <v>0</v>
      </c>
      <c r="G42" s="760">
        <f>F42*12/F$13+J42*F42*12/F$13</f>
        <v>0</v>
      </c>
      <c r="H42" s="760">
        <f t="shared" ref="H42" si="4">G42 +G42*K42</f>
        <v>0</v>
      </c>
      <c r="I42" s="5"/>
      <c r="J42" s="468">
        <v>0.03</v>
      </c>
      <c r="K42" s="468">
        <f t="shared" si="2"/>
        <v>0.03</v>
      </c>
      <c r="L42" s="751"/>
      <c r="M42" s="751"/>
      <c r="N42" s="751"/>
      <c r="O42" s="751"/>
      <c r="P42" s="751"/>
      <c r="Q42" s="751"/>
      <c r="R42" s="1360"/>
      <c r="S42" s="1360"/>
      <c r="T42" s="1020"/>
    </row>
    <row r="43" spans="1:20" s="2" customFormat="1" x14ac:dyDescent="0.2">
      <c r="A43"/>
      <c r="B43" s="656"/>
      <c r="C43" s="157"/>
      <c r="D43" s="343" t="s">
        <v>258</v>
      </c>
      <c r="E43" s="315"/>
      <c r="F43" s="752">
        <v>0</v>
      </c>
      <c r="G43" s="752">
        <f t="shared" ref="G43:G46" si="5">F43*12/F$13+J43*F43*12/F$13</f>
        <v>0</v>
      </c>
      <c r="H43" s="752">
        <f t="shared" ref="H43:H46" si="6">G43 +G43*K43</f>
        <v>0</v>
      </c>
      <c r="I43" s="5"/>
      <c r="J43" s="468">
        <v>0.03</v>
      </c>
      <c r="K43" s="468">
        <f t="shared" si="2"/>
        <v>0.03</v>
      </c>
      <c r="L43" s="751"/>
      <c r="M43" s="751"/>
      <c r="N43" s="751"/>
      <c r="O43" s="751"/>
      <c r="P43" s="751"/>
      <c r="Q43" s="751"/>
      <c r="R43" s="1360"/>
      <c r="S43" s="1360"/>
      <c r="T43" s="1020"/>
    </row>
    <row r="44" spans="1:20" s="2" customFormat="1" x14ac:dyDescent="0.2">
      <c r="A44"/>
      <c r="B44" s="656"/>
      <c r="C44" s="157"/>
      <c r="D44" s="343" t="s">
        <v>259</v>
      </c>
      <c r="E44" s="315"/>
      <c r="F44" s="760">
        <v>0</v>
      </c>
      <c r="G44" s="752">
        <f t="shared" si="5"/>
        <v>0</v>
      </c>
      <c r="H44" s="752">
        <f t="shared" si="6"/>
        <v>0</v>
      </c>
      <c r="I44" s="5"/>
      <c r="J44" s="468">
        <v>0.03</v>
      </c>
      <c r="K44" s="468">
        <f t="shared" si="2"/>
        <v>0.03</v>
      </c>
      <c r="L44" s="751"/>
      <c r="M44" s="751"/>
      <c r="N44" s="751"/>
      <c r="O44" s="751"/>
      <c r="P44" s="751"/>
      <c r="Q44" s="751"/>
      <c r="R44" s="1360"/>
      <c r="S44" s="1360"/>
      <c r="T44" s="1020"/>
    </row>
    <row r="45" spans="1:20" s="2" customFormat="1" x14ac:dyDescent="0.2">
      <c r="A45"/>
      <c r="B45" s="656"/>
      <c r="C45" s="157"/>
      <c r="D45" s="343" t="s">
        <v>260</v>
      </c>
      <c r="E45" s="315"/>
      <c r="F45" s="752">
        <v>0</v>
      </c>
      <c r="G45" s="752">
        <f t="shared" si="5"/>
        <v>0</v>
      </c>
      <c r="H45" s="752">
        <f t="shared" si="6"/>
        <v>0</v>
      </c>
      <c r="I45" s="5"/>
      <c r="J45" s="468">
        <v>0.03</v>
      </c>
      <c r="K45" s="468">
        <f t="shared" si="2"/>
        <v>0.03</v>
      </c>
      <c r="L45" s="751"/>
      <c r="M45" s="751"/>
      <c r="N45" s="751"/>
      <c r="O45" s="751"/>
      <c r="P45" s="751"/>
      <c r="Q45" s="751"/>
      <c r="R45" s="1360"/>
      <c r="S45" s="1360"/>
      <c r="T45" s="1020"/>
    </row>
    <row r="46" spans="1:20" s="2" customFormat="1" ht="13.5" thickBot="1" x14ac:dyDescent="0.25">
      <c r="A46"/>
      <c r="B46" s="656"/>
      <c r="C46" s="349"/>
      <c r="D46" s="1617" t="s">
        <v>261</v>
      </c>
      <c r="E46" s="1617"/>
      <c r="F46" s="336">
        <v>0</v>
      </c>
      <c r="G46" s="336">
        <f t="shared" si="5"/>
        <v>0</v>
      </c>
      <c r="H46" s="336">
        <f t="shared" si="6"/>
        <v>0</v>
      </c>
      <c r="I46" s="5"/>
      <c r="J46" s="468">
        <v>0.03</v>
      </c>
      <c r="K46" s="468">
        <f t="shared" si="2"/>
        <v>0.03</v>
      </c>
      <c r="L46" s="751"/>
      <c r="M46" s="751"/>
      <c r="N46" s="751"/>
      <c r="O46" s="751"/>
      <c r="P46" s="751"/>
      <c r="Q46" s="751"/>
      <c r="R46" s="1360"/>
      <c r="S46" s="1360"/>
      <c r="T46" s="1020"/>
    </row>
    <row r="47" spans="1:20" s="2" customFormat="1" ht="13.5" thickBot="1" x14ac:dyDescent="0.25">
      <c r="A47"/>
      <c r="B47" s="655" t="s">
        <v>111</v>
      </c>
      <c r="C47" s="682" t="s">
        <v>12</v>
      </c>
      <c r="D47" s="667" t="s">
        <v>721</v>
      </c>
      <c r="E47" s="668"/>
      <c r="F47" s="711">
        <f>F48+F51+F52+F53+F54+F55+F56+F57*0.003*F13/12+F58</f>
        <v>0</v>
      </c>
      <c r="G47" s="711">
        <f>G48+G51+G52+G53+G54+G55+G56+G57*0.003+G58</f>
        <v>0</v>
      </c>
      <c r="H47" s="711">
        <f>H48+H51+H52+H53+H54+H55+H56+H57*0.003+H58</f>
        <v>0</v>
      </c>
      <c r="I47" s="5"/>
      <c r="J47" s="701"/>
      <c r="K47" s="751"/>
      <c r="L47" s="751"/>
      <c r="M47" s="751"/>
      <c r="N47" s="751"/>
      <c r="O47" s="751"/>
      <c r="P47" s="751"/>
      <c r="Q47" s="751"/>
      <c r="R47" s="1360"/>
      <c r="S47" s="1360"/>
      <c r="T47" s="1020"/>
    </row>
    <row r="48" spans="1:20" x14ac:dyDescent="0.2">
      <c r="B48" s="656" t="s">
        <v>0</v>
      </c>
      <c r="C48" s="157">
        <v>0</v>
      </c>
      <c r="D48" s="343" t="s">
        <v>262</v>
      </c>
      <c r="E48" s="343"/>
      <c r="F48" s="721">
        <f>F50*F49</f>
        <v>0</v>
      </c>
      <c r="G48" s="721">
        <f>G50*G49</f>
        <v>0</v>
      </c>
      <c r="H48" s="721">
        <f>H50*H49</f>
        <v>0</v>
      </c>
      <c r="I48" s="5"/>
      <c r="J48" s="313">
        <f>G$12</f>
        <v>2027</v>
      </c>
      <c r="K48" s="313">
        <f>H$12</f>
        <v>2028</v>
      </c>
      <c r="L48" s="751"/>
      <c r="M48" s="751"/>
      <c r="N48" s="751"/>
      <c r="O48" s="751"/>
      <c r="P48" s="751"/>
      <c r="Q48" s="751"/>
      <c r="R48" s="1360"/>
      <c r="S48" s="1360"/>
      <c r="T48" s="1020"/>
    </row>
    <row r="49" spans="1:20" x14ac:dyDescent="0.2">
      <c r="B49" s="656" t="s">
        <v>0</v>
      </c>
      <c r="C49" s="157"/>
      <c r="D49" s="343" t="s">
        <v>715</v>
      </c>
      <c r="E49" s="343"/>
      <c r="F49" s="752">
        <v>0</v>
      </c>
      <c r="G49" s="752">
        <f>F49 +F49*J49</f>
        <v>0</v>
      </c>
      <c r="H49" s="752">
        <f>G49 +G49*K49</f>
        <v>0</v>
      </c>
      <c r="I49" s="17"/>
      <c r="J49" s="468">
        <v>0.03</v>
      </c>
      <c r="K49" s="468">
        <f>J49</f>
        <v>0.03</v>
      </c>
      <c r="L49" s="751"/>
      <c r="M49" s="751"/>
      <c r="N49" s="751"/>
      <c r="O49" s="751"/>
      <c r="P49" s="751"/>
      <c r="Q49" s="751"/>
      <c r="R49" s="1360"/>
      <c r="S49" s="1360"/>
      <c r="T49" s="1020"/>
    </row>
    <row r="50" spans="1:20" x14ac:dyDescent="0.2">
      <c r="B50" s="656" t="s">
        <v>0</v>
      </c>
      <c r="C50" s="157"/>
      <c r="D50" s="343" t="s">
        <v>588</v>
      </c>
      <c r="E50" s="343"/>
      <c r="F50" s="761">
        <f>F13</f>
        <v>12</v>
      </c>
      <c r="G50" s="761">
        <v>12</v>
      </c>
      <c r="H50" s="761">
        <f>H13</f>
        <v>12</v>
      </c>
      <c r="I50" s="47"/>
      <c r="J50" s="313">
        <f>G$12</f>
        <v>2027</v>
      </c>
      <c r="K50" s="313">
        <f>H$12</f>
        <v>2028</v>
      </c>
      <c r="L50" s="751"/>
      <c r="M50" s="751"/>
      <c r="N50" s="751"/>
      <c r="O50" s="751"/>
      <c r="P50" s="751"/>
      <c r="Q50" s="751"/>
      <c r="R50" s="1360"/>
      <c r="S50" s="1360"/>
      <c r="T50" s="1020"/>
    </row>
    <row r="51" spans="1:20" s="271" customFormat="1" x14ac:dyDescent="0.2">
      <c r="A51"/>
      <c r="B51" s="656"/>
      <c r="C51" s="157"/>
      <c r="D51" s="343" t="s">
        <v>264</v>
      </c>
      <c r="E51" s="315"/>
      <c r="F51" s="752">
        <v>0</v>
      </c>
      <c r="G51" s="752">
        <f t="shared" ref="G51" si="7">F51*12/F$13+J51*F51*12/F$13</f>
        <v>0</v>
      </c>
      <c r="H51" s="752">
        <f t="shared" ref="H51" si="8">G51 +G51*K51</f>
        <v>0</v>
      </c>
      <c r="I51" s="311"/>
      <c r="J51" s="468">
        <v>0.03</v>
      </c>
      <c r="K51" s="468">
        <f t="shared" ref="K51:K58" si="9">J51</f>
        <v>0.03</v>
      </c>
      <c r="L51" s="751"/>
      <c r="M51" s="751"/>
      <c r="N51" s="751"/>
      <c r="O51" s="751"/>
      <c r="P51" s="751"/>
      <c r="Q51" s="751"/>
      <c r="R51" s="1360"/>
      <c r="S51" s="1360"/>
      <c r="T51" s="1020"/>
    </row>
    <row r="52" spans="1:20" s="271" customFormat="1" x14ac:dyDescent="0.2">
      <c r="A52"/>
      <c r="B52" s="656"/>
      <c r="C52" s="157"/>
      <c r="D52" s="343" t="s">
        <v>265</v>
      </c>
      <c r="E52" s="315"/>
      <c r="F52" s="752">
        <v>0</v>
      </c>
      <c r="G52" s="752">
        <f t="shared" ref="G52:G56" si="10">F52*12/F$13+J52*F52*12/F$13</f>
        <v>0</v>
      </c>
      <c r="H52" s="752">
        <f t="shared" ref="H52:H57" si="11">G52 +G52*K52</f>
        <v>0</v>
      </c>
      <c r="I52" s="311"/>
      <c r="J52" s="468">
        <v>0.03</v>
      </c>
      <c r="K52" s="468">
        <f t="shared" si="9"/>
        <v>0.03</v>
      </c>
      <c r="L52" s="751"/>
      <c r="M52" s="751"/>
      <c r="N52" s="751"/>
      <c r="O52" s="751"/>
      <c r="P52" s="751"/>
      <c r="Q52" s="751"/>
      <c r="R52" s="1360"/>
      <c r="S52" s="1360"/>
      <c r="T52" s="1020"/>
    </row>
    <row r="53" spans="1:20" s="271" customFormat="1" x14ac:dyDescent="0.2">
      <c r="A53"/>
      <c r="B53" s="656"/>
      <c r="C53" s="157"/>
      <c r="D53" s="343" t="s">
        <v>266</v>
      </c>
      <c r="E53" s="315"/>
      <c r="F53" s="752">
        <v>0</v>
      </c>
      <c r="G53" s="752">
        <f t="shared" si="10"/>
        <v>0</v>
      </c>
      <c r="H53" s="752">
        <f t="shared" si="11"/>
        <v>0</v>
      </c>
      <c r="I53" s="311"/>
      <c r="J53" s="468">
        <v>0.03</v>
      </c>
      <c r="K53" s="468">
        <f t="shared" si="9"/>
        <v>0.03</v>
      </c>
      <c r="L53" s="751"/>
      <c r="M53" s="751"/>
      <c r="N53" s="751"/>
      <c r="O53" s="751"/>
      <c r="P53" s="751"/>
      <c r="Q53" s="751"/>
      <c r="R53" s="1360"/>
      <c r="S53" s="1360"/>
      <c r="T53" s="1020"/>
    </row>
    <row r="54" spans="1:20" s="271" customFormat="1" x14ac:dyDescent="0.2">
      <c r="B54" s="656"/>
      <c r="C54" s="157"/>
      <c r="D54" s="343" t="s">
        <v>267</v>
      </c>
      <c r="E54" s="315"/>
      <c r="F54" s="752">
        <v>0</v>
      </c>
      <c r="G54" s="752">
        <f t="shared" si="10"/>
        <v>0</v>
      </c>
      <c r="H54" s="752">
        <f t="shared" si="11"/>
        <v>0</v>
      </c>
      <c r="I54" s="311"/>
      <c r="J54" s="468">
        <v>0.03</v>
      </c>
      <c r="K54" s="468">
        <f t="shared" si="9"/>
        <v>0.03</v>
      </c>
      <c r="L54" s="751"/>
      <c r="M54" s="751"/>
      <c r="N54" s="751"/>
      <c r="O54" s="751"/>
      <c r="P54" s="751"/>
      <c r="Q54" s="751"/>
      <c r="R54" s="1360"/>
      <c r="S54" s="1360"/>
      <c r="T54" s="1020"/>
    </row>
    <row r="55" spans="1:20" s="271" customFormat="1" x14ac:dyDescent="0.2">
      <c r="B55" s="656"/>
      <c r="C55" s="157"/>
      <c r="D55" s="343" t="s">
        <v>268</v>
      </c>
      <c r="E55" s="315"/>
      <c r="F55" s="752">
        <v>0</v>
      </c>
      <c r="G55" s="752">
        <f t="shared" si="10"/>
        <v>0</v>
      </c>
      <c r="H55" s="752">
        <f t="shared" si="11"/>
        <v>0</v>
      </c>
      <c r="I55" s="311"/>
      <c r="J55" s="468">
        <v>0.03</v>
      </c>
      <c r="K55" s="468">
        <f t="shared" si="9"/>
        <v>0.03</v>
      </c>
      <c r="L55" s="751"/>
      <c r="M55" s="751"/>
      <c r="N55" s="751"/>
      <c r="O55" s="751"/>
      <c r="P55" s="751"/>
      <c r="Q55" s="751"/>
      <c r="R55" s="1360"/>
      <c r="S55" s="1360"/>
      <c r="T55" s="1020"/>
    </row>
    <row r="56" spans="1:20" s="271" customFormat="1" x14ac:dyDescent="0.2">
      <c r="B56" s="656"/>
      <c r="C56" s="157"/>
      <c r="D56" s="1620" t="s">
        <v>269</v>
      </c>
      <c r="E56" s="1620"/>
      <c r="F56" s="752">
        <v>0</v>
      </c>
      <c r="G56" s="752">
        <f t="shared" si="10"/>
        <v>0</v>
      </c>
      <c r="H56" s="752">
        <f>G56 +G56*K56</f>
        <v>0</v>
      </c>
      <c r="I56" s="311"/>
      <c r="J56" s="468">
        <v>0.03</v>
      </c>
      <c r="K56" s="468">
        <f t="shared" si="9"/>
        <v>0.03</v>
      </c>
      <c r="L56" s="751"/>
      <c r="M56" s="751"/>
      <c r="N56" s="751"/>
      <c r="O56" s="751"/>
      <c r="P56" s="751"/>
      <c r="Q56" s="751"/>
      <c r="R56" s="1360"/>
      <c r="S56" s="1360"/>
      <c r="T56" s="1020"/>
    </row>
    <row r="57" spans="1:20" s="271" customFormat="1" x14ac:dyDescent="0.2">
      <c r="B57" s="656"/>
      <c r="C57" s="157"/>
      <c r="D57" s="1620" t="s">
        <v>270</v>
      </c>
      <c r="E57" s="1620"/>
      <c r="F57" s="760">
        <v>0</v>
      </c>
      <c r="G57" s="752">
        <f t="shared" ref="G57" si="12">F57 +F57*J57</f>
        <v>0</v>
      </c>
      <c r="H57" s="752">
        <f t="shared" si="11"/>
        <v>0</v>
      </c>
      <c r="I57" s="311"/>
      <c r="J57" s="468">
        <v>0.03</v>
      </c>
      <c r="K57" s="468">
        <f t="shared" si="9"/>
        <v>0.03</v>
      </c>
      <c r="L57" s="751"/>
      <c r="M57" s="751"/>
      <c r="N57" s="751"/>
      <c r="O57" s="751"/>
      <c r="P57" s="751"/>
      <c r="Q57" s="751"/>
      <c r="R57" s="1360"/>
      <c r="S57" s="1360"/>
      <c r="T57" s="1020"/>
    </row>
    <row r="58" spans="1:20" s="271" customFormat="1" ht="13.5" thickBot="1" x14ac:dyDescent="0.25">
      <c r="B58" s="656"/>
      <c r="C58" s="349"/>
      <c r="D58" s="1617" t="s">
        <v>271</v>
      </c>
      <c r="E58" s="1617"/>
      <c r="F58" s="336">
        <v>0</v>
      </c>
      <c r="G58" s="752">
        <f t="shared" ref="G58" si="13">F58*12/F$13+J58*F58*12/F$13</f>
        <v>0</v>
      </c>
      <c r="H58" s="752">
        <f t="shared" ref="H58" si="14">G58 +G58*K58</f>
        <v>0</v>
      </c>
      <c r="I58" s="311"/>
      <c r="J58" s="468">
        <v>0.03</v>
      </c>
      <c r="K58" s="468">
        <f t="shared" si="9"/>
        <v>0.03</v>
      </c>
      <c r="L58" s="751"/>
      <c r="M58" s="751"/>
      <c r="N58" s="751"/>
      <c r="O58" s="751"/>
      <c r="P58" s="751"/>
      <c r="Q58" s="751"/>
      <c r="R58" s="1360"/>
      <c r="S58" s="1360"/>
      <c r="T58" s="1020"/>
    </row>
    <row r="59" spans="1:20" x14ac:dyDescent="0.2">
      <c r="B59" s="655" t="s">
        <v>112</v>
      </c>
      <c r="C59" s="157" t="s">
        <v>13</v>
      </c>
      <c r="D59" s="666" t="s">
        <v>722</v>
      </c>
      <c r="E59" s="864">
        <v>0.3</v>
      </c>
      <c r="F59" s="719">
        <f>IF(F60=0,0,F13*'1Kauppa AT lainat ja avustukset'!$G66/12)</f>
        <v>0</v>
      </c>
      <c r="G59" s="719">
        <f>IF(G60=0,0,G13*'1Kauppa AT lainat ja avustukset'!$G66/12)</f>
        <v>0</v>
      </c>
      <c r="H59" s="719">
        <f>IF(H60=0,0,H13*'1Kauppa AT lainat ja avustukset'!$G66/12)</f>
        <v>0</v>
      </c>
      <c r="I59" s="44"/>
      <c r="J59" s="1080"/>
      <c r="K59" s="751"/>
      <c r="L59" s="751"/>
      <c r="M59" s="751"/>
      <c r="N59" s="751"/>
      <c r="O59" s="751"/>
      <c r="P59" s="751"/>
      <c r="Q59" s="751"/>
      <c r="R59" s="1360"/>
      <c r="S59" s="1360"/>
      <c r="T59" s="1020"/>
    </row>
    <row r="60" spans="1:20" ht="13.5" thickBot="1" x14ac:dyDescent="0.25">
      <c r="B60" s="656"/>
      <c r="C60" s="349"/>
      <c r="D60" s="1617" t="s">
        <v>272</v>
      </c>
      <c r="E60" s="1617"/>
      <c r="F60" s="720">
        <f>'K3 Resultat'!K21</f>
        <v>0</v>
      </c>
      <c r="G60" s="720">
        <f>IF('K3 Resultat'!I21&gt;1,F60,0)</f>
        <v>0</v>
      </c>
      <c r="H60" s="720">
        <f>IF('K3 Resultat'!I21&gt;2,G60,0)</f>
        <v>0</v>
      </c>
      <c r="I60" s="44"/>
      <c r="J60" s="1080"/>
      <c r="K60" s="751"/>
      <c r="L60" s="751"/>
      <c r="M60" s="751"/>
      <c r="N60" s="751"/>
      <c r="O60" s="751"/>
      <c r="P60" s="751"/>
      <c r="Q60" s="751"/>
      <c r="R60" s="1360"/>
      <c r="S60" s="1360"/>
      <c r="T60" s="1020"/>
    </row>
    <row r="61" spans="1:20" ht="13.5" thickBot="1" x14ac:dyDescent="0.25">
      <c r="B61" s="655" t="s">
        <v>113</v>
      </c>
      <c r="C61" s="157" t="s">
        <v>600</v>
      </c>
      <c r="D61" s="1621" t="s">
        <v>723</v>
      </c>
      <c r="E61" s="1628"/>
      <c r="F61" s="711">
        <f>F62*F63*F64+F65+F66+F67+F68</f>
        <v>0</v>
      </c>
      <c r="G61" s="711">
        <f t="shared" ref="G61:H61" si="15">G62*G63*G64+G65+G66+G67+G68</f>
        <v>0</v>
      </c>
      <c r="H61" s="711">
        <f t="shared" si="15"/>
        <v>0</v>
      </c>
      <c r="I61" s="44"/>
      <c r="J61" s="313">
        <f>G$12</f>
        <v>2027</v>
      </c>
      <c r="K61" s="313">
        <f>H$12</f>
        <v>2028</v>
      </c>
      <c r="L61" s="751"/>
      <c r="M61" s="751"/>
      <c r="N61" s="751"/>
      <c r="O61" s="751"/>
      <c r="P61" s="751"/>
      <c r="Q61" s="751"/>
      <c r="R61" s="1360"/>
      <c r="S61" s="1360"/>
      <c r="T61" s="1020"/>
    </row>
    <row r="62" spans="1:20" x14ac:dyDescent="0.2">
      <c r="B62" s="656"/>
      <c r="C62" s="157"/>
      <c r="D62" s="662" t="s">
        <v>599</v>
      </c>
      <c r="E62" s="669"/>
      <c r="F62" s="760">
        <v>0</v>
      </c>
      <c r="G62" s="760">
        <f t="shared" ref="G62" si="16">F62*12/F$13+J62*F62*12/F$13</f>
        <v>0</v>
      </c>
      <c r="H62" s="760">
        <f t="shared" ref="G62:H68" si="17">G62 +G62*K62</f>
        <v>0</v>
      </c>
      <c r="I62" s="44"/>
      <c r="J62" s="468">
        <v>0</v>
      </c>
      <c r="K62" s="468">
        <f>J62</f>
        <v>0</v>
      </c>
      <c r="L62" s="751"/>
      <c r="M62" s="751"/>
      <c r="N62" s="751"/>
      <c r="O62" s="751"/>
      <c r="P62" s="751"/>
      <c r="Q62" s="751"/>
      <c r="R62" s="1360"/>
      <c r="S62" s="1360"/>
      <c r="T62" s="1020"/>
    </row>
    <row r="63" spans="1:20" x14ac:dyDescent="0.2">
      <c r="B63" s="656"/>
      <c r="C63" s="157"/>
      <c r="D63" s="343" t="s">
        <v>675</v>
      </c>
      <c r="E63" s="670"/>
      <c r="F63" s="762">
        <v>0</v>
      </c>
      <c r="G63" s="762">
        <f>F63</f>
        <v>0</v>
      </c>
      <c r="H63" s="762">
        <f>G63</f>
        <v>0</v>
      </c>
      <c r="I63" s="44"/>
      <c r="J63" s="313">
        <f>G$12</f>
        <v>2027</v>
      </c>
      <c r="K63" s="313">
        <f>H$12</f>
        <v>2028</v>
      </c>
      <c r="L63" s="751"/>
      <c r="M63" s="751"/>
      <c r="N63" s="751"/>
      <c r="O63" s="751"/>
      <c r="P63" s="751"/>
      <c r="Q63" s="751"/>
      <c r="R63" s="1360"/>
      <c r="S63" s="1360"/>
      <c r="T63" s="1020"/>
    </row>
    <row r="64" spans="1:20" x14ac:dyDescent="0.2">
      <c r="B64" s="656"/>
      <c r="C64" s="157"/>
      <c r="D64" s="1260" t="s">
        <v>676</v>
      </c>
      <c r="E64" s="670"/>
      <c r="F64" s="762">
        <v>1</v>
      </c>
      <c r="G64" s="723">
        <f t="shared" si="17"/>
        <v>1.03</v>
      </c>
      <c r="H64" s="723">
        <f t="shared" si="17"/>
        <v>1.0609</v>
      </c>
      <c r="I64" s="44"/>
      <c r="J64" s="468">
        <v>0.03</v>
      </c>
      <c r="K64" s="468">
        <f t="shared" ref="K64:K82" si="18">J64</f>
        <v>0.03</v>
      </c>
      <c r="L64" s="751"/>
      <c r="M64" s="751"/>
      <c r="N64" s="751"/>
      <c r="O64" s="751"/>
      <c r="P64" s="751"/>
      <c r="Q64" s="751"/>
      <c r="R64" s="1360"/>
      <c r="S64" s="1360"/>
      <c r="T64" s="1020"/>
    </row>
    <row r="65" spans="2:20" x14ac:dyDescent="0.2">
      <c r="B65" s="656"/>
      <c r="C65" s="157"/>
      <c r="D65" s="343" t="s">
        <v>797</v>
      </c>
      <c r="E65" s="670"/>
      <c r="F65" s="760">
        <v>0</v>
      </c>
      <c r="G65" s="752">
        <f t="shared" ref="G65:G73" si="19">F65*12/F$13+J65*F65*12/F$13</f>
        <v>0</v>
      </c>
      <c r="H65" s="752">
        <f t="shared" si="17"/>
        <v>0</v>
      </c>
      <c r="I65" s="44"/>
      <c r="J65" s="468">
        <v>0.03</v>
      </c>
      <c r="K65" s="468">
        <f t="shared" si="18"/>
        <v>0.03</v>
      </c>
      <c r="L65" s="751"/>
      <c r="M65" s="751"/>
      <c r="N65" s="751"/>
      <c r="O65" s="751"/>
      <c r="P65" s="751"/>
      <c r="Q65" s="751"/>
      <c r="R65" s="1360"/>
      <c r="S65" s="1360"/>
      <c r="T65" s="1020"/>
    </row>
    <row r="66" spans="2:20" x14ac:dyDescent="0.2">
      <c r="B66" s="656"/>
      <c r="C66" s="157"/>
      <c r="D66" s="343" t="s">
        <v>830</v>
      </c>
      <c r="E66" s="670"/>
      <c r="F66" s="760">
        <v>0</v>
      </c>
      <c r="G66" s="752">
        <f t="shared" si="19"/>
        <v>0</v>
      </c>
      <c r="H66" s="752">
        <f t="shared" si="17"/>
        <v>0</v>
      </c>
      <c r="I66" s="44"/>
      <c r="J66" s="468">
        <v>0.03</v>
      </c>
      <c r="K66" s="468">
        <f t="shared" si="18"/>
        <v>0.03</v>
      </c>
      <c r="L66" s="751"/>
      <c r="M66" s="751"/>
      <c r="N66" s="751"/>
      <c r="O66" s="751"/>
      <c r="P66" s="751"/>
      <c r="Q66" s="751"/>
      <c r="R66" s="1360"/>
      <c r="S66" s="1360"/>
      <c r="T66" s="1020"/>
    </row>
    <row r="67" spans="2:20" x14ac:dyDescent="0.2">
      <c r="B67" s="656"/>
      <c r="C67" s="157"/>
      <c r="D67" s="1400" t="s">
        <v>777</v>
      </c>
      <c r="E67" s="1401"/>
      <c r="F67" s="767">
        <v>0</v>
      </c>
      <c r="G67" s="1398">
        <f t="shared" ref="G67" si="20">F67*12/F$13+J67*F67*12/F$13</f>
        <v>0</v>
      </c>
      <c r="H67" s="1398">
        <f t="shared" ref="H67" si="21">G67 +G67*K67</f>
        <v>0</v>
      </c>
      <c r="I67" s="44"/>
      <c r="J67" s="1399">
        <v>0.03</v>
      </c>
      <c r="K67" s="1399">
        <f t="shared" ref="K67" si="22">J67</f>
        <v>0.03</v>
      </c>
      <c r="L67" s="751"/>
      <c r="M67" s="751"/>
      <c r="N67" s="751"/>
      <c r="O67" s="751"/>
      <c r="P67" s="751"/>
      <c r="Q67" s="751"/>
      <c r="R67" s="1360"/>
      <c r="S67" s="1360"/>
      <c r="T67" s="1020"/>
    </row>
    <row r="68" spans="2:20" ht="13.5" thickBot="1" x14ac:dyDescent="0.25">
      <c r="B68" s="656"/>
      <c r="C68" s="349"/>
      <c r="D68" s="335" t="s">
        <v>273</v>
      </c>
      <c r="E68" s="671"/>
      <c r="F68" s="336">
        <v>0</v>
      </c>
      <c r="G68" s="336">
        <f t="shared" si="19"/>
        <v>0</v>
      </c>
      <c r="H68" s="336">
        <f t="shared" si="17"/>
        <v>0</v>
      </c>
      <c r="I68" s="44"/>
      <c r="J68" s="468">
        <v>0.03</v>
      </c>
      <c r="K68" s="468">
        <f t="shared" si="18"/>
        <v>0.03</v>
      </c>
      <c r="L68" s="1014"/>
      <c r="M68" s="1014"/>
      <c r="N68" s="1014"/>
      <c r="O68" s="1014"/>
      <c r="P68" s="1014"/>
      <c r="Q68" s="1014"/>
      <c r="R68" s="1362"/>
      <c r="S68" s="1362"/>
      <c r="T68" s="1023"/>
    </row>
    <row r="69" spans="2:20" ht="13.5" thickBot="1" x14ac:dyDescent="0.25">
      <c r="B69" s="655" t="s">
        <v>114</v>
      </c>
      <c r="C69" s="157" t="s">
        <v>601</v>
      </c>
      <c r="D69" s="666" t="s">
        <v>727</v>
      </c>
      <c r="E69" s="673"/>
      <c r="F69" s="711">
        <f>SUM(F70:F73)</f>
        <v>0</v>
      </c>
      <c r="G69" s="711">
        <f>SUM(G70:G73)</f>
        <v>0</v>
      </c>
      <c r="H69" s="711">
        <f>SUM(H70:H73)</f>
        <v>0</v>
      </c>
      <c r="I69" s="44"/>
      <c r="J69" s="313">
        <f>G$12</f>
        <v>2027</v>
      </c>
      <c r="K69" s="313">
        <f>H$12</f>
        <v>2028</v>
      </c>
      <c r="L69" s="1015"/>
      <c r="M69" s="1015"/>
      <c r="N69" s="1015"/>
      <c r="O69" s="1015"/>
      <c r="P69" s="1015"/>
      <c r="Q69" s="1015"/>
      <c r="R69" s="1363"/>
      <c r="S69" s="1363"/>
      <c r="T69" s="1019"/>
    </row>
    <row r="70" spans="2:20" x14ac:dyDescent="0.2">
      <c r="B70" s="656"/>
      <c r="C70" s="157"/>
      <c r="D70" s="662" t="s">
        <v>738</v>
      </c>
      <c r="E70" s="672"/>
      <c r="F70" s="760">
        <v>0</v>
      </c>
      <c r="G70" s="760">
        <f t="shared" si="19"/>
        <v>0</v>
      </c>
      <c r="H70" s="760">
        <f t="shared" ref="H70:H73" si="23">G70 +G70*K70</f>
        <v>0</v>
      </c>
      <c r="I70" s="44"/>
      <c r="J70" s="468">
        <v>0.03</v>
      </c>
      <c r="K70" s="468">
        <f t="shared" si="18"/>
        <v>0.03</v>
      </c>
      <c r="L70" s="751"/>
      <c r="M70" s="751"/>
      <c r="N70" s="751"/>
      <c r="O70" s="751"/>
      <c r="P70" s="751"/>
      <c r="Q70" s="751"/>
      <c r="R70" s="1360"/>
      <c r="S70" s="1360"/>
      <c r="T70" s="1020"/>
    </row>
    <row r="71" spans="2:20" x14ac:dyDescent="0.2">
      <c r="B71" s="656"/>
      <c r="C71" s="157"/>
      <c r="D71" s="343" t="s">
        <v>274</v>
      </c>
      <c r="E71" s="348"/>
      <c r="F71" s="752">
        <v>0</v>
      </c>
      <c r="G71" s="752">
        <f t="shared" si="19"/>
        <v>0</v>
      </c>
      <c r="H71" s="752">
        <f t="shared" si="23"/>
        <v>0</v>
      </c>
      <c r="I71" s="44"/>
      <c r="J71" s="468">
        <v>0.03</v>
      </c>
      <c r="K71" s="468">
        <f t="shared" si="18"/>
        <v>0.03</v>
      </c>
      <c r="L71" s="751"/>
      <c r="M71" s="751"/>
      <c r="N71" s="751"/>
      <c r="O71" s="751"/>
      <c r="P71" s="751"/>
      <c r="Q71" s="751"/>
      <c r="R71" s="1360"/>
      <c r="S71" s="1360"/>
      <c r="T71" s="1020"/>
    </row>
    <row r="72" spans="2:20" x14ac:dyDescent="0.2">
      <c r="B72" s="656"/>
      <c r="C72" s="157"/>
      <c r="D72" s="343" t="s">
        <v>737</v>
      </c>
      <c r="E72" s="348"/>
      <c r="F72" s="752">
        <v>0</v>
      </c>
      <c r="G72" s="752">
        <f t="shared" si="19"/>
        <v>0</v>
      </c>
      <c r="H72" s="752">
        <f t="shared" si="23"/>
        <v>0</v>
      </c>
      <c r="I72" s="44"/>
      <c r="J72" s="468">
        <v>0.03</v>
      </c>
      <c r="K72" s="468">
        <f t="shared" si="18"/>
        <v>0.03</v>
      </c>
      <c r="L72" s="751"/>
      <c r="M72" s="751"/>
      <c r="N72" s="751"/>
      <c r="O72" s="751"/>
      <c r="P72" s="751"/>
      <c r="Q72" s="751"/>
      <c r="R72" s="1360"/>
      <c r="S72" s="1360"/>
      <c r="T72" s="1020"/>
    </row>
    <row r="73" spans="2:20" ht="13.5" thickBot="1" x14ac:dyDescent="0.25">
      <c r="B73" s="656"/>
      <c r="C73" s="349"/>
      <c r="D73" s="335" t="s">
        <v>739</v>
      </c>
      <c r="E73" s="661"/>
      <c r="F73" s="336">
        <v>0</v>
      </c>
      <c r="G73" s="752">
        <f t="shared" si="19"/>
        <v>0</v>
      </c>
      <c r="H73" s="752">
        <f t="shared" si="23"/>
        <v>0</v>
      </c>
      <c r="I73" s="44"/>
      <c r="J73" s="468">
        <v>0.03</v>
      </c>
      <c r="K73" s="468">
        <f t="shared" si="18"/>
        <v>0.03</v>
      </c>
      <c r="L73" s="751"/>
      <c r="M73" s="751"/>
      <c r="N73" s="751"/>
      <c r="O73" s="751"/>
      <c r="P73" s="751"/>
      <c r="Q73" s="751"/>
      <c r="R73" s="1360"/>
      <c r="S73" s="1360"/>
      <c r="T73" s="1020"/>
    </row>
    <row r="74" spans="2:20" ht="13.5" thickBot="1" x14ac:dyDescent="0.25">
      <c r="B74" s="655" t="s">
        <v>115</v>
      </c>
      <c r="C74" s="157" t="s">
        <v>602</v>
      </c>
      <c r="D74" s="666" t="s">
        <v>724</v>
      </c>
      <c r="E74" s="673"/>
      <c r="F74" s="711">
        <f>SUM(F75:F78)</f>
        <v>0</v>
      </c>
      <c r="G74" s="711">
        <f>SUM(G75:G78)</f>
        <v>0</v>
      </c>
      <c r="H74" s="711">
        <f>SUM(H75:H78)</f>
        <v>0</v>
      </c>
      <c r="I74" s="44"/>
      <c r="J74" s="313">
        <f>G$12</f>
        <v>2027</v>
      </c>
      <c r="K74" s="313">
        <f>H$12</f>
        <v>2028</v>
      </c>
      <c r="L74" s="751"/>
      <c r="M74" s="751"/>
      <c r="N74" s="751"/>
      <c r="O74" s="751"/>
      <c r="P74" s="751"/>
      <c r="Q74" s="751"/>
      <c r="R74" s="1360"/>
      <c r="S74" s="1360"/>
      <c r="T74" s="1020"/>
    </row>
    <row r="75" spans="2:20" x14ac:dyDescent="0.2">
      <c r="B75" s="656"/>
      <c r="C75" s="157"/>
      <c r="D75" s="343" t="s">
        <v>587</v>
      </c>
      <c r="E75" s="348"/>
      <c r="F75" s="760">
        <v>0</v>
      </c>
      <c r="G75" s="760">
        <f t="shared" ref="G75:G78" si="24">F75*12/F$13+J75*F75*12/F$13</f>
        <v>0</v>
      </c>
      <c r="H75" s="760">
        <f t="shared" ref="H75:H78" si="25">G75 +G75*K75</f>
        <v>0</v>
      </c>
      <c r="I75" s="44"/>
      <c r="J75" s="468">
        <v>0.03</v>
      </c>
      <c r="K75" s="468">
        <f t="shared" si="18"/>
        <v>0.03</v>
      </c>
      <c r="L75" s="751"/>
      <c r="M75" s="751"/>
      <c r="N75" s="751"/>
      <c r="O75" s="751"/>
      <c r="P75" s="751"/>
      <c r="Q75" s="751"/>
      <c r="R75" s="1360"/>
      <c r="S75" s="1360"/>
      <c r="T75" s="1020"/>
    </row>
    <row r="76" spans="2:20" x14ac:dyDescent="0.2">
      <c r="B76" s="656"/>
      <c r="C76" s="157"/>
      <c r="D76" s="343" t="s">
        <v>275</v>
      </c>
      <c r="E76" s="348"/>
      <c r="F76" s="752">
        <v>0</v>
      </c>
      <c r="G76" s="752">
        <f t="shared" si="24"/>
        <v>0</v>
      </c>
      <c r="H76" s="752">
        <f>G76 +G76*K76</f>
        <v>0</v>
      </c>
      <c r="I76" s="44"/>
      <c r="J76" s="468">
        <v>0.03</v>
      </c>
      <c r="K76" s="468">
        <f t="shared" si="18"/>
        <v>0.03</v>
      </c>
      <c r="L76" s="751"/>
      <c r="M76" s="751"/>
      <c r="N76" s="751"/>
      <c r="O76" s="751"/>
      <c r="P76" s="751"/>
      <c r="Q76" s="751"/>
      <c r="R76" s="1360"/>
      <c r="S76" s="1360"/>
      <c r="T76" s="1020"/>
    </row>
    <row r="77" spans="2:20" x14ac:dyDescent="0.2">
      <c r="B77" s="656"/>
      <c r="C77" s="157"/>
      <c r="D77" s="343" t="s">
        <v>575</v>
      </c>
      <c r="E77" s="348"/>
      <c r="F77" s="752">
        <v>0</v>
      </c>
      <c r="G77" s="752">
        <f t="shared" si="24"/>
        <v>0</v>
      </c>
      <c r="H77" s="752">
        <f t="shared" si="25"/>
        <v>0</v>
      </c>
      <c r="I77" s="44"/>
      <c r="J77" s="468">
        <v>0.03</v>
      </c>
      <c r="K77" s="468">
        <f t="shared" si="18"/>
        <v>0.03</v>
      </c>
      <c r="L77" s="751"/>
      <c r="M77" s="751"/>
      <c r="N77" s="751"/>
      <c r="O77" s="751"/>
      <c r="P77" s="751"/>
      <c r="Q77" s="751"/>
      <c r="R77" s="1360"/>
      <c r="S77" s="1360"/>
      <c r="T77" s="1020"/>
    </row>
    <row r="78" spans="2:20" ht="13.5" thickBot="1" x14ac:dyDescent="0.25">
      <c r="B78" s="656"/>
      <c r="C78" s="349"/>
      <c r="D78" s="674" t="s">
        <v>276</v>
      </c>
      <c r="E78" s="661"/>
      <c r="F78" s="336">
        <v>0</v>
      </c>
      <c r="G78" s="752">
        <f t="shared" si="24"/>
        <v>0</v>
      </c>
      <c r="H78" s="752">
        <f t="shared" si="25"/>
        <v>0</v>
      </c>
      <c r="I78" s="44"/>
      <c r="J78" s="468">
        <v>0.03</v>
      </c>
      <c r="K78" s="468">
        <f t="shared" si="18"/>
        <v>0.03</v>
      </c>
      <c r="L78" s="751"/>
      <c r="M78" s="751"/>
      <c r="N78" s="751"/>
      <c r="O78" s="751"/>
      <c r="P78" s="751"/>
      <c r="Q78" s="751"/>
      <c r="R78" s="1360"/>
      <c r="S78" s="1360"/>
      <c r="T78" s="1020"/>
    </row>
    <row r="79" spans="2:20" ht="13.5" thickBot="1" x14ac:dyDescent="0.25">
      <c r="B79" s="656"/>
      <c r="C79" s="157" t="s">
        <v>603</v>
      </c>
      <c r="D79" s="1621" t="s">
        <v>725</v>
      </c>
      <c r="E79" s="1628"/>
      <c r="F79" s="711">
        <f>F82+F80+F81</f>
        <v>0</v>
      </c>
      <c r="G79" s="711">
        <f>G82+G80+G81</f>
        <v>0</v>
      </c>
      <c r="H79" s="711">
        <f>H82+H80+H81</f>
        <v>0</v>
      </c>
      <c r="I79" s="5"/>
      <c r="J79" s="313">
        <f>G$12</f>
        <v>2027</v>
      </c>
      <c r="K79" s="313">
        <f>H$12</f>
        <v>2028</v>
      </c>
      <c r="L79" s="751"/>
      <c r="M79" s="751"/>
      <c r="N79" s="751"/>
      <c r="O79" s="751"/>
      <c r="P79" s="751"/>
      <c r="Q79" s="751"/>
      <c r="R79" s="1360"/>
      <c r="S79" s="1360"/>
      <c r="T79" s="1020"/>
    </row>
    <row r="80" spans="2:20" x14ac:dyDescent="0.2">
      <c r="B80" s="656"/>
      <c r="C80" s="157"/>
      <c r="D80" s="1624" t="s">
        <v>281</v>
      </c>
      <c r="E80" s="1625"/>
      <c r="F80" s="760">
        <v>0</v>
      </c>
      <c r="G80" s="760">
        <f t="shared" ref="G80:G82" si="26">F80*12/F$13+J80*F80*12/F$13</f>
        <v>0</v>
      </c>
      <c r="H80" s="760">
        <f t="shared" ref="H80:H82" si="27">G80 +G80*K80</f>
        <v>0</v>
      </c>
      <c r="I80" s="17"/>
      <c r="J80" s="468">
        <v>0.03</v>
      </c>
      <c r="K80" s="468">
        <f t="shared" si="18"/>
        <v>0.03</v>
      </c>
      <c r="L80" s="751"/>
      <c r="M80" s="751"/>
      <c r="N80" s="751"/>
      <c r="O80" s="751"/>
      <c r="P80" s="751"/>
      <c r="Q80" s="751"/>
      <c r="R80" s="1360"/>
      <c r="S80" s="1360"/>
      <c r="T80" s="1020"/>
    </row>
    <row r="81" spans="1:20" x14ac:dyDescent="0.2">
      <c r="B81" s="656"/>
      <c r="C81" s="157"/>
      <c r="D81" s="1620" t="s">
        <v>282</v>
      </c>
      <c r="E81" s="1626"/>
      <c r="F81" s="752">
        <v>0</v>
      </c>
      <c r="G81" s="752">
        <f t="shared" si="26"/>
        <v>0</v>
      </c>
      <c r="H81" s="752">
        <f t="shared" si="27"/>
        <v>0</v>
      </c>
      <c r="I81" s="17"/>
      <c r="J81" s="468">
        <v>0.03</v>
      </c>
      <c r="K81" s="468">
        <f t="shared" si="18"/>
        <v>0.03</v>
      </c>
      <c r="L81" s="751"/>
      <c r="M81" s="751"/>
      <c r="N81" s="751"/>
      <c r="O81" s="751"/>
      <c r="P81" s="751"/>
      <c r="Q81" s="751"/>
      <c r="R81" s="1360"/>
      <c r="S81" s="1360"/>
      <c r="T81" s="1020"/>
    </row>
    <row r="82" spans="1:20" ht="13.5" thickBot="1" x14ac:dyDescent="0.25">
      <c r="B82" s="656" t="s">
        <v>0</v>
      </c>
      <c r="C82" s="349"/>
      <c r="D82" s="1617" t="s">
        <v>283</v>
      </c>
      <c r="E82" s="1627"/>
      <c r="F82" s="336">
        <v>0</v>
      </c>
      <c r="G82" s="336">
        <f t="shared" si="26"/>
        <v>0</v>
      </c>
      <c r="H82" s="336">
        <f t="shared" si="27"/>
        <v>0</v>
      </c>
      <c r="I82" s="44"/>
      <c r="J82" s="468">
        <v>0.03</v>
      </c>
      <c r="K82" s="468">
        <f t="shared" si="18"/>
        <v>0.03</v>
      </c>
      <c r="L82" s="751"/>
      <c r="M82" s="751"/>
      <c r="N82" s="751"/>
      <c r="O82" s="751"/>
      <c r="P82" s="751"/>
      <c r="Q82" s="751"/>
      <c r="R82" s="1360"/>
      <c r="S82" s="1360"/>
      <c r="T82" s="1020"/>
    </row>
    <row r="83" spans="1:20" ht="13.5" thickBot="1" x14ac:dyDescent="0.25">
      <c r="B83" s="655" t="s">
        <v>117</v>
      </c>
      <c r="C83" s="157" t="s">
        <v>604</v>
      </c>
      <c r="D83" s="666" t="s">
        <v>726</v>
      </c>
      <c r="E83" s="673"/>
      <c r="F83" s="711">
        <f>F84*F85+F87*F86</f>
        <v>0</v>
      </c>
      <c r="G83" s="711">
        <f>G84*G85+G87*G86</f>
        <v>0</v>
      </c>
      <c r="H83" s="711">
        <f>H84*H85+H87*H86</f>
        <v>0</v>
      </c>
      <c r="I83" s="44"/>
      <c r="J83" s="701"/>
      <c r="K83" s="751"/>
      <c r="L83" s="751"/>
      <c r="M83" s="751"/>
      <c r="N83" s="751"/>
      <c r="O83" s="751"/>
      <c r="P83" s="751"/>
      <c r="Q83" s="751"/>
      <c r="R83" s="1360"/>
      <c r="S83" s="1360"/>
      <c r="T83" s="1020"/>
    </row>
    <row r="84" spans="1:20" x14ac:dyDescent="0.2">
      <c r="B84" s="656" t="s">
        <v>0</v>
      </c>
      <c r="C84" s="157"/>
      <c r="D84" s="662" t="s">
        <v>277</v>
      </c>
      <c r="E84" s="672"/>
      <c r="F84" s="760">
        <v>0</v>
      </c>
      <c r="G84" s="760">
        <f>F84*12/F$13</f>
        <v>0</v>
      </c>
      <c r="H84" s="760">
        <f t="shared" ref="G84:H87" si="28">G84</f>
        <v>0</v>
      </c>
      <c r="I84" s="44"/>
      <c r="J84" s="701"/>
      <c r="K84" s="751"/>
      <c r="L84" s="751"/>
      <c r="M84" s="751"/>
      <c r="N84" s="751"/>
      <c r="O84" s="751"/>
      <c r="P84" s="751"/>
      <c r="Q84" s="751"/>
      <c r="R84" s="1360"/>
      <c r="S84" s="1360"/>
      <c r="T84" s="1020"/>
    </row>
    <row r="85" spans="1:20" x14ac:dyDescent="0.2">
      <c r="B85" s="656" t="s">
        <v>0</v>
      </c>
      <c r="C85" s="157"/>
      <c r="D85" s="343" t="s">
        <v>278</v>
      </c>
      <c r="E85" s="348"/>
      <c r="F85" s="763">
        <v>0.55000000000000004</v>
      </c>
      <c r="G85" s="763">
        <f t="shared" si="28"/>
        <v>0.55000000000000004</v>
      </c>
      <c r="H85" s="763">
        <f t="shared" si="28"/>
        <v>0.55000000000000004</v>
      </c>
      <c r="I85" s="49"/>
      <c r="J85" s="701"/>
      <c r="K85" s="751"/>
      <c r="L85" s="751"/>
      <c r="M85" s="751"/>
      <c r="N85" s="751"/>
      <c r="O85" s="751"/>
      <c r="P85" s="751"/>
      <c r="Q85" s="751"/>
      <c r="R85" s="1360"/>
      <c r="S85" s="1360"/>
      <c r="T85" s="1020"/>
    </row>
    <row r="86" spans="1:20" x14ac:dyDescent="0.2">
      <c r="B86" s="656" t="s">
        <v>0</v>
      </c>
      <c r="C86" s="157"/>
      <c r="D86" s="343" t="s">
        <v>279</v>
      </c>
      <c r="E86" s="348"/>
      <c r="F86" s="752">
        <v>0</v>
      </c>
      <c r="G86" s="752">
        <f t="shared" si="28"/>
        <v>0</v>
      </c>
      <c r="H86" s="752">
        <f t="shared" si="28"/>
        <v>0</v>
      </c>
      <c r="I86" s="44"/>
      <c r="J86" s="701"/>
      <c r="K86" s="751"/>
      <c r="L86" s="751"/>
      <c r="M86" s="751"/>
      <c r="N86" s="751"/>
      <c r="O86" s="751"/>
      <c r="P86" s="751"/>
      <c r="Q86" s="751"/>
      <c r="R86" s="1360"/>
      <c r="S86" s="1360"/>
      <c r="T86" s="1020"/>
    </row>
    <row r="87" spans="1:20" ht="13.5" thickBot="1" x14ac:dyDescent="0.25">
      <c r="A87" s="162"/>
      <c r="B87" s="656" t="s">
        <v>0</v>
      </c>
      <c r="C87" s="349"/>
      <c r="D87" s="335" t="s">
        <v>280</v>
      </c>
      <c r="E87" s="661"/>
      <c r="F87" s="764">
        <v>0</v>
      </c>
      <c r="G87" s="764">
        <f t="shared" si="28"/>
        <v>0</v>
      </c>
      <c r="H87" s="764">
        <f t="shared" si="28"/>
        <v>0</v>
      </c>
      <c r="I87" s="44"/>
      <c r="J87" s="313">
        <f>G$12</f>
        <v>2027</v>
      </c>
      <c r="K87" s="313">
        <f>H$12</f>
        <v>2028</v>
      </c>
      <c r="L87" s="751"/>
      <c r="M87" s="751"/>
      <c r="N87" s="751"/>
      <c r="O87" s="751"/>
      <c r="P87" s="751"/>
      <c r="Q87" s="751"/>
      <c r="R87" s="1360"/>
      <c r="S87" s="1360"/>
      <c r="T87" s="1020"/>
    </row>
    <row r="88" spans="1:20" ht="13.5" thickBot="1" x14ac:dyDescent="0.25">
      <c r="B88" s="655" t="s">
        <v>118</v>
      </c>
      <c r="C88" s="350" t="s">
        <v>605</v>
      </c>
      <c r="D88" s="1613" t="s">
        <v>728</v>
      </c>
      <c r="E88" s="1614"/>
      <c r="F88" s="765">
        <v>0</v>
      </c>
      <c r="G88" s="765">
        <f t="shared" ref="G88" si="29">F88*12/F$13+J88*F88*12/F$13</f>
        <v>0</v>
      </c>
      <c r="H88" s="765">
        <f>G88 +G88*K88</f>
        <v>0</v>
      </c>
      <c r="I88" s="17"/>
      <c r="J88" s="468">
        <v>0.03</v>
      </c>
      <c r="K88" s="468">
        <f>J88</f>
        <v>0.03</v>
      </c>
      <c r="L88" s="751"/>
      <c r="M88" s="751"/>
      <c r="N88" s="751"/>
      <c r="O88" s="751"/>
      <c r="P88" s="751"/>
      <c r="Q88" s="751"/>
      <c r="R88" s="1360"/>
      <c r="S88" s="1360"/>
      <c r="T88" s="1020"/>
    </row>
    <row r="89" spans="1:20" ht="13.5" thickBot="1" x14ac:dyDescent="0.25">
      <c r="A89" s="162"/>
      <c r="B89" s="655" t="s">
        <v>119</v>
      </c>
      <c r="C89" s="157" t="s">
        <v>606</v>
      </c>
      <c r="D89" s="1621" t="s">
        <v>729</v>
      </c>
      <c r="E89" s="1628"/>
      <c r="F89" s="711">
        <f>SUM(F90:F94)</f>
        <v>0</v>
      </c>
      <c r="G89" s="711">
        <f>SUM(G90:G94)</f>
        <v>0</v>
      </c>
      <c r="H89" s="711">
        <f>SUM(H90:H94)</f>
        <v>0</v>
      </c>
      <c r="I89" s="17"/>
      <c r="J89" s="313">
        <f>G$12</f>
        <v>2027</v>
      </c>
      <c r="K89" s="313">
        <f>H$12</f>
        <v>2028</v>
      </c>
      <c r="L89" s="751"/>
      <c r="M89" s="751"/>
      <c r="N89" s="751"/>
      <c r="O89" s="751"/>
      <c r="P89" s="751"/>
      <c r="Q89" s="751"/>
      <c r="R89" s="1360"/>
      <c r="S89" s="1360"/>
      <c r="T89" s="1020"/>
    </row>
    <row r="90" spans="1:20" x14ac:dyDescent="0.2">
      <c r="B90" s="656"/>
      <c r="C90" s="157"/>
      <c r="D90" s="1624" t="s">
        <v>284</v>
      </c>
      <c r="E90" s="1625"/>
      <c r="F90" s="760">
        <v>0</v>
      </c>
      <c r="G90" s="760">
        <f t="shared" ref="G90:G118" si="30">F90*12/F$13+J90*F90*12/F$13</f>
        <v>0</v>
      </c>
      <c r="H90" s="760">
        <f t="shared" ref="H90:H94" si="31">G90 +G90*K90</f>
        <v>0</v>
      </c>
      <c r="I90" s="17"/>
      <c r="J90" s="468">
        <v>0.03</v>
      </c>
      <c r="K90" s="468">
        <f t="shared" ref="K90:K118" si="32">J90</f>
        <v>0.03</v>
      </c>
      <c r="L90" s="751"/>
      <c r="M90" s="751"/>
      <c r="N90" s="751"/>
      <c r="O90" s="751"/>
      <c r="P90" s="751"/>
      <c r="Q90" s="751"/>
      <c r="R90" s="1360"/>
      <c r="S90" s="1360"/>
      <c r="T90" s="1020"/>
    </row>
    <row r="91" spans="1:20" x14ac:dyDescent="0.2">
      <c r="A91" s="162"/>
      <c r="B91" s="656"/>
      <c r="C91" s="157"/>
      <c r="D91" s="1620" t="s">
        <v>285</v>
      </c>
      <c r="E91" s="1626"/>
      <c r="F91" s="752">
        <v>0</v>
      </c>
      <c r="G91" s="752">
        <f t="shared" si="30"/>
        <v>0</v>
      </c>
      <c r="H91" s="752">
        <f t="shared" si="31"/>
        <v>0</v>
      </c>
      <c r="I91" s="17"/>
      <c r="J91" s="468">
        <v>0.03</v>
      </c>
      <c r="K91" s="468">
        <f t="shared" si="32"/>
        <v>0.03</v>
      </c>
      <c r="L91" s="751"/>
      <c r="M91" s="751"/>
      <c r="N91" s="751"/>
      <c r="O91" s="751"/>
      <c r="P91" s="751"/>
      <c r="Q91" s="751"/>
      <c r="R91" s="1360"/>
      <c r="S91" s="1360"/>
      <c r="T91" s="1020"/>
    </row>
    <row r="92" spans="1:20" x14ac:dyDescent="0.2">
      <c r="B92" s="656"/>
      <c r="C92" s="157"/>
      <c r="D92" s="1620" t="s">
        <v>740</v>
      </c>
      <c r="E92" s="1626"/>
      <c r="F92" s="752">
        <v>0</v>
      </c>
      <c r="G92" s="752">
        <f t="shared" si="30"/>
        <v>0</v>
      </c>
      <c r="H92" s="752">
        <f t="shared" si="31"/>
        <v>0</v>
      </c>
      <c r="I92" s="17"/>
      <c r="J92" s="468">
        <v>0.03</v>
      </c>
      <c r="K92" s="468">
        <f t="shared" si="32"/>
        <v>0.03</v>
      </c>
      <c r="L92" s="751"/>
      <c r="M92" s="751"/>
      <c r="N92" s="751"/>
      <c r="O92" s="751"/>
      <c r="P92" s="751"/>
      <c r="Q92" s="751"/>
      <c r="R92" s="1360"/>
      <c r="S92" s="1360"/>
      <c r="T92" s="1020"/>
    </row>
    <row r="93" spans="1:20" x14ac:dyDescent="0.2">
      <c r="A93" s="162"/>
      <c r="B93" s="656"/>
      <c r="C93" s="157"/>
      <c r="D93" s="1620" t="s">
        <v>590</v>
      </c>
      <c r="E93" s="1626"/>
      <c r="F93" s="752">
        <v>0</v>
      </c>
      <c r="G93" s="752">
        <f t="shared" si="30"/>
        <v>0</v>
      </c>
      <c r="H93" s="752">
        <f t="shared" si="31"/>
        <v>0</v>
      </c>
      <c r="I93" s="17"/>
      <c r="J93" s="468">
        <v>0.03</v>
      </c>
      <c r="K93" s="468">
        <f t="shared" si="32"/>
        <v>0.03</v>
      </c>
      <c r="L93" s="751"/>
      <c r="M93" s="751"/>
      <c r="N93" s="751"/>
      <c r="O93" s="751"/>
      <c r="P93" s="751"/>
      <c r="Q93" s="751"/>
      <c r="R93" s="1360"/>
      <c r="S93" s="1360"/>
      <c r="T93" s="1020"/>
    </row>
    <row r="94" spans="1:20" ht="13.5" thickBot="1" x14ac:dyDescent="0.25">
      <c r="A94" s="2"/>
      <c r="B94" s="656"/>
      <c r="C94" s="349">
        <v>0</v>
      </c>
      <c r="D94" s="1617" t="s">
        <v>591</v>
      </c>
      <c r="E94" s="1627"/>
      <c r="F94" s="336">
        <v>0</v>
      </c>
      <c r="G94" s="752">
        <f t="shared" si="30"/>
        <v>0</v>
      </c>
      <c r="H94" s="752">
        <f t="shared" si="31"/>
        <v>0</v>
      </c>
      <c r="I94" s="5"/>
      <c r="J94" s="468">
        <v>0.03</v>
      </c>
      <c r="K94" s="468">
        <f t="shared" si="32"/>
        <v>0.03</v>
      </c>
      <c r="L94" s="751"/>
      <c r="M94" s="751"/>
      <c r="N94" s="751"/>
      <c r="O94" s="751"/>
      <c r="P94" s="751"/>
      <c r="Q94" s="751"/>
      <c r="R94" s="1360"/>
      <c r="S94" s="1360"/>
      <c r="T94" s="1020"/>
    </row>
    <row r="95" spans="1:20" ht="13.5" thickBot="1" x14ac:dyDescent="0.25">
      <c r="A95" s="162"/>
      <c r="B95" s="655" t="s">
        <v>120</v>
      </c>
      <c r="C95" s="157" t="s">
        <v>607</v>
      </c>
      <c r="D95" s="1621" t="s">
        <v>730</v>
      </c>
      <c r="E95" s="1621"/>
      <c r="F95" s="711">
        <f>SUM(F96:F98)</f>
        <v>0</v>
      </c>
      <c r="G95" s="711">
        <f>SUM(G96:G98)</f>
        <v>0</v>
      </c>
      <c r="H95" s="711">
        <f>SUM(H96:H98)</f>
        <v>0</v>
      </c>
      <c r="I95" s="5"/>
      <c r="J95" s="313">
        <f>G$12</f>
        <v>2027</v>
      </c>
      <c r="K95" s="313">
        <f>H$12</f>
        <v>2028</v>
      </c>
      <c r="L95" s="751"/>
      <c r="M95" s="751"/>
      <c r="N95" s="751"/>
      <c r="O95" s="751"/>
      <c r="P95" s="751"/>
      <c r="Q95" s="751"/>
      <c r="R95" s="1360"/>
      <c r="S95" s="1360"/>
      <c r="T95" s="1020"/>
    </row>
    <row r="96" spans="1:20" x14ac:dyDescent="0.2">
      <c r="B96" s="656"/>
      <c r="C96" s="157"/>
      <c r="D96" s="1620" t="s">
        <v>800</v>
      </c>
      <c r="E96" s="1620"/>
      <c r="F96" s="760">
        <v>0</v>
      </c>
      <c r="G96" s="760">
        <f t="shared" si="30"/>
        <v>0</v>
      </c>
      <c r="H96" s="760">
        <f>G96 +G96*K96</f>
        <v>0</v>
      </c>
      <c r="I96" s="5"/>
      <c r="J96" s="468">
        <v>0.03</v>
      </c>
      <c r="K96" s="468">
        <f t="shared" si="32"/>
        <v>0.03</v>
      </c>
      <c r="L96" s="751"/>
      <c r="M96" s="751"/>
      <c r="N96" s="751"/>
      <c r="O96" s="751"/>
      <c r="P96" s="751"/>
      <c r="Q96" s="751"/>
      <c r="R96" s="1360"/>
      <c r="S96" s="1360"/>
      <c r="T96" s="1020"/>
    </row>
    <row r="97" spans="1:20" ht="12.75" customHeight="1" x14ac:dyDescent="0.2">
      <c r="A97" s="162"/>
      <c r="B97" s="346"/>
      <c r="C97" s="157"/>
      <c r="D97" s="1603" t="s">
        <v>802</v>
      </c>
      <c r="E97" s="1623"/>
      <c r="F97" s="1578">
        <v>0</v>
      </c>
      <c r="G97" s="752">
        <f>F97*12/F$13+J97*F97*12/F$13</f>
        <v>0</v>
      </c>
      <c r="H97" s="1579">
        <f t="shared" ref="H97" si="33">G97 +G97*K97</f>
        <v>0</v>
      </c>
      <c r="I97" s="5"/>
      <c r="J97" s="1484">
        <v>0.03</v>
      </c>
      <c r="K97" s="1484">
        <f>J97</f>
        <v>0.03</v>
      </c>
      <c r="L97" s="1485"/>
      <c r="M97" s="1485"/>
      <c r="N97" s="1485"/>
      <c r="O97" s="1485"/>
      <c r="P97" s="1485"/>
      <c r="Q97" s="1485"/>
      <c r="R97" s="1485"/>
      <c r="S97" s="1485"/>
      <c r="T97" s="1486"/>
    </row>
    <row r="98" spans="1:20" ht="13.5" thickBot="1" x14ac:dyDescent="0.25">
      <c r="A98" s="162"/>
      <c r="B98" s="656"/>
      <c r="C98" s="349"/>
      <c r="D98" s="1617" t="s">
        <v>801</v>
      </c>
      <c r="E98" s="1617"/>
      <c r="F98" s="759">
        <v>0</v>
      </c>
      <c r="G98" s="752">
        <f t="shared" si="30"/>
        <v>0</v>
      </c>
      <c r="H98" s="752">
        <f>G98 +G98*K98</f>
        <v>0</v>
      </c>
      <c r="I98" s="5"/>
      <c r="J98" s="468">
        <v>0.03</v>
      </c>
      <c r="K98" s="468">
        <f t="shared" si="32"/>
        <v>0.03</v>
      </c>
      <c r="L98" s="751"/>
      <c r="M98" s="751"/>
      <c r="N98" s="751"/>
      <c r="O98" s="751"/>
      <c r="P98" s="751"/>
      <c r="Q98" s="751"/>
      <c r="R98" s="1360"/>
      <c r="S98" s="1360"/>
      <c r="T98" s="1020"/>
    </row>
    <row r="99" spans="1:20" ht="13.5" thickBot="1" x14ac:dyDescent="0.25">
      <c r="B99" s="655" t="s">
        <v>121</v>
      </c>
      <c r="C99" s="157" t="s">
        <v>608</v>
      </c>
      <c r="D99" s="1621" t="s">
        <v>731</v>
      </c>
      <c r="E99" s="1621"/>
      <c r="F99" s="711">
        <f>SUM(F100:F103)</f>
        <v>0</v>
      </c>
      <c r="G99" s="711">
        <f>SUM(G100:G103)</f>
        <v>0</v>
      </c>
      <c r="H99" s="711">
        <f>SUM(H100:H103)</f>
        <v>0</v>
      </c>
      <c r="I99" s="5"/>
      <c r="J99" s="313">
        <f>G$12</f>
        <v>2027</v>
      </c>
      <c r="K99" s="313">
        <f>H$12</f>
        <v>2028</v>
      </c>
      <c r="L99" s="751"/>
      <c r="M99" s="751"/>
      <c r="N99" s="751"/>
      <c r="O99" s="751"/>
      <c r="P99" s="751"/>
      <c r="Q99" s="751"/>
      <c r="R99" s="1360"/>
      <c r="S99" s="1360"/>
      <c r="T99" s="1020"/>
    </row>
    <row r="100" spans="1:20" x14ac:dyDescent="0.2">
      <c r="A100" s="162"/>
      <c r="B100" s="656"/>
      <c r="C100" s="157"/>
      <c r="D100" s="1620" t="s">
        <v>288</v>
      </c>
      <c r="E100" s="1620"/>
      <c r="F100" s="760">
        <v>0</v>
      </c>
      <c r="G100" s="760">
        <f t="shared" si="30"/>
        <v>0</v>
      </c>
      <c r="H100" s="760">
        <f t="shared" ref="H100:H103" si="34">G100 +G100*K100</f>
        <v>0</v>
      </c>
      <c r="I100" s="5"/>
      <c r="J100" s="468">
        <v>0.03</v>
      </c>
      <c r="K100" s="468">
        <f t="shared" si="32"/>
        <v>0.03</v>
      </c>
      <c r="L100" s="751"/>
      <c r="M100" s="751"/>
      <c r="N100" s="751"/>
      <c r="O100" s="751"/>
      <c r="P100" s="751"/>
      <c r="Q100" s="751"/>
      <c r="R100" s="1360"/>
      <c r="S100" s="1360"/>
      <c r="T100" s="1020"/>
    </row>
    <row r="101" spans="1:20" x14ac:dyDescent="0.2">
      <c r="A101" s="2"/>
      <c r="B101" s="656"/>
      <c r="C101" s="157"/>
      <c r="D101" s="1620" t="s">
        <v>289</v>
      </c>
      <c r="E101" s="1620"/>
      <c r="F101" s="752">
        <v>0</v>
      </c>
      <c r="G101" s="752">
        <f t="shared" si="30"/>
        <v>0</v>
      </c>
      <c r="H101" s="752">
        <f>G101 +G101*K101</f>
        <v>0</v>
      </c>
      <c r="I101" s="5"/>
      <c r="J101" s="468">
        <v>0.03</v>
      </c>
      <c r="K101" s="468">
        <f t="shared" si="32"/>
        <v>0.03</v>
      </c>
      <c r="L101" s="751"/>
      <c r="M101" s="751"/>
      <c r="N101" s="751"/>
      <c r="O101" s="751"/>
      <c r="P101" s="751"/>
      <c r="Q101" s="751"/>
      <c r="R101" s="1360"/>
      <c r="S101" s="1360"/>
      <c r="T101" s="1020"/>
    </row>
    <row r="102" spans="1:20" x14ac:dyDescent="0.2">
      <c r="A102" s="2"/>
      <c r="B102" s="656"/>
      <c r="C102" s="157"/>
      <c r="D102" s="1603" t="s">
        <v>825</v>
      </c>
      <c r="E102" s="1623"/>
      <c r="F102" s="752">
        <v>0</v>
      </c>
      <c r="G102" s="752">
        <f t="shared" si="30"/>
        <v>0</v>
      </c>
      <c r="H102" s="752">
        <f>G102 +G102*K102</f>
        <v>0</v>
      </c>
      <c r="I102" s="5"/>
      <c r="J102" s="468">
        <v>0.03</v>
      </c>
      <c r="K102" s="468">
        <f t="shared" ref="K102" si="35">J102</f>
        <v>0.03</v>
      </c>
      <c r="L102" s="751"/>
      <c r="M102" s="751"/>
      <c r="N102" s="751"/>
      <c r="O102" s="751"/>
      <c r="P102" s="751"/>
      <c r="Q102" s="751"/>
      <c r="R102" s="1360"/>
      <c r="S102" s="1360"/>
      <c r="T102" s="1020"/>
    </row>
    <row r="103" spans="1:20" ht="13.5" thickBot="1" x14ac:dyDescent="0.25">
      <c r="B103" s="656"/>
      <c r="C103" s="349"/>
      <c r="D103" s="1617" t="s">
        <v>826</v>
      </c>
      <c r="E103" s="1617"/>
      <c r="F103" s="752">
        <v>0</v>
      </c>
      <c r="G103" s="752">
        <f t="shared" si="30"/>
        <v>0</v>
      </c>
      <c r="H103" s="752">
        <f t="shared" si="34"/>
        <v>0</v>
      </c>
      <c r="I103" s="5"/>
      <c r="J103" s="468">
        <v>0.03</v>
      </c>
      <c r="K103" s="468">
        <f t="shared" si="32"/>
        <v>0.03</v>
      </c>
      <c r="L103" s="751"/>
      <c r="M103" s="751"/>
      <c r="N103" s="751"/>
      <c r="O103" s="751"/>
      <c r="P103" s="751"/>
      <c r="Q103" s="751"/>
      <c r="R103" s="1360"/>
      <c r="S103" s="1360"/>
      <c r="T103" s="1020"/>
    </row>
    <row r="104" spans="1:20" ht="13.5" thickBot="1" x14ac:dyDescent="0.25">
      <c r="B104" s="655" t="s">
        <v>122</v>
      </c>
      <c r="C104" s="157" t="s">
        <v>609</v>
      </c>
      <c r="D104" s="1621" t="s">
        <v>732</v>
      </c>
      <c r="E104" s="1621"/>
      <c r="F104" s="711">
        <f>SUM(F105:F108)</f>
        <v>0</v>
      </c>
      <c r="G104" s="711">
        <f>SUM(G105:G108)</f>
        <v>0</v>
      </c>
      <c r="H104" s="711">
        <f>SUM(H105:H108)</f>
        <v>0</v>
      </c>
      <c r="I104" s="5"/>
      <c r="J104" s="313">
        <f>G$12</f>
        <v>2027</v>
      </c>
      <c r="K104" s="313">
        <f>H$12</f>
        <v>2028</v>
      </c>
      <c r="L104" s="751"/>
      <c r="M104" s="751"/>
      <c r="N104" s="751"/>
      <c r="O104" s="751"/>
      <c r="P104" s="751"/>
      <c r="Q104" s="751"/>
      <c r="R104" s="1360"/>
      <c r="S104" s="1360"/>
      <c r="T104" s="1020"/>
    </row>
    <row r="105" spans="1:20" x14ac:dyDescent="0.2">
      <c r="B105" s="656"/>
      <c r="C105" s="157"/>
      <c r="D105" s="1620" t="s">
        <v>799</v>
      </c>
      <c r="E105" s="1620"/>
      <c r="F105" s="760">
        <v>0</v>
      </c>
      <c r="G105" s="760">
        <f t="shared" si="30"/>
        <v>0</v>
      </c>
      <c r="H105" s="760">
        <f t="shared" ref="H105:H108" si="36">G105 +G105*K105</f>
        <v>0</v>
      </c>
      <c r="I105" s="5"/>
      <c r="J105" s="468">
        <v>0.03</v>
      </c>
      <c r="K105" s="468">
        <f t="shared" si="32"/>
        <v>0.03</v>
      </c>
      <c r="L105" s="751"/>
      <c r="M105" s="751"/>
      <c r="N105" s="751"/>
      <c r="O105" s="751"/>
      <c r="P105" s="751"/>
      <c r="Q105" s="751"/>
      <c r="R105" s="1360"/>
      <c r="S105" s="1360"/>
      <c r="T105" s="1020"/>
    </row>
    <row r="106" spans="1:20" x14ac:dyDescent="0.2">
      <c r="B106" s="656"/>
      <c r="C106" s="157"/>
      <c r="D106" s="1620" t="s">
        <v>798</v>
      </c>
      <c r="E106" s="1620"/>
      <c r="F106" s="767">
        <v>0</v>
      </c>
      <c r="G106" s="760">
        <f t="shared" ref="G106" si="37">F106*12/F$13+J106*F106*12/F$13</f>
        <v>0</v>
      </c>
      <c r="H106" s="760">
        <f t="shared" ref="H106" si="38">G106 +G106*K106</f>
        <v>0</v>
      </c>
      <c r="I106" s="5"/>
      <c r="J106" s="468">
        <v>0.03</v>
      </c>
      <c r="K106" s="468">
        <f t="shared" si="32"/>
        <v>0.03</v>
      </c>
      <c r="L106" s="751"/>
      <c r="M106" s="751"/>
      <c r="N106" s="751"/>
      <c r="O106" s="751"/>
      <c r="P106" s="751"/>
      <c r="Q106" s="751"/>
      <c r="R106" s="1360"/>
      <c r="S106" s="1360"/>
      <c r="T106" s="1020"/>
    </row>
    <row r="107" spans="1:20" x14ac:dyDescent="0.2">
      <c r="B107" s="656"/>
      <c r="C107" s="157"/>
      <c r="D107" s="1620" t="s">
        <v>290</v>
      </c>
      <c r="E107" s="1620"/>
      <c r="F107" s="766">
        <v>0</v>
      </c>
      <c r="G107" s="752">
        <f t="shared" si="30"/>
        <v>0</v>
      </c>
      <c r="H107" s="752">
        <f t="shared" si="36"/>
        <v>0</v>
      </c>
      <c r="I107" s="5"/>
      <c r="J107" s="468">
        <v>0.03</v>
      </c>
      <c r="K107" s="468">
        <f t="shared" si="32"/>
        <v>0.03</v>
      </c>
      <c r="L107" s="751"/>
      <c r="M107" s="751"/>
      <c r="N107" s="751"/>
      <c r="O107" s="751"/>
      <c r="P107" s="751"/>
      <c r="Q107" s="751"/>
      <c r="R107" s="1360"/>
      <c r="S107" s="1360"/>
      <c r="T107" s="1020"/>
    </row>
    <row r="108" spans="1:20" ht="13.5" thickBot="1" x14ac:dyDescent="0.25">
      <c r="B108" s="656"/>
      <c r="C108" s="349"/>
      <c r="D108" s="1617" t="s">
        <v>291</v>
      </c>
      <c r="E108" s="1617"/>
      <c r="F108" s="336">
        <v>0</v>
      </c>
      <c r="G108" s="752">
        <f t="shared" si="30"/>
        <v>0</v>
      </c>
      <c r="H108" s="752">
        <f t="shared" si="36"/>
        <v>0</v>
      </c>
      <c r="I108" s="5"/>
      <c r="J108" s="468">
        <v>0.03</v>
      </c>
      <c r="K108" s="468">
        <f t="shared" si="32"/>
        <v>0.03</v>
      </c>
      <c r="L108" s="751"/>
      <c r="M108" s="751"/>
      <c r="N108" s="751"/>
      <c r="O108" s="751"/>
      <c r="P108" s="751"/>
      <c r="Q108" s="751"/>
      <c r="R108" s="1360"/>
      <c r="S108" s="1360"/>
      <c r="T108" s="1020"/>
    </row>
    <row r="109" spans="1:20" ht="13.5" thickBot="1" x14ac:dyDescent="0.25">
      <c r="B109" s="655" t="s">
        <v>123</v>
      </c>
      <c r="C109" s="157" t="s">
        <v>610</v>
      </c>
      <c r="D109" s="1621" t="s">
        <v>733</v>
      </c>
      <c r="E109" s="1621"/>
      <c r="F109" s="711">
        <f>SUM(F110:F113)</f>
        <v>0</v>
      </c>
      <c r="G109" s="711">
        <f>SUM(G110:G113)</f>
        <v>0</v>
      </c>
      <c r="H109" s="711">
        <f>SUM(H110:H113)</f>
        <v>0</v>
      </c>
      <c r="I109" s="5"/>
      <c r="J109" s="313">
        <f>G$12</f>
        <v>2027</v>
      </c>
      <c r="K109" s="313">
        <f>H$12</f>
        <v>2028</v>
      </c>
      <c r="L109" s="751"/>
      <c r="M109" s="751"/>
      <c r="N109" s="751"/>
      <c r="O109" s="751"/>
      <c r="P109" s="751"/>
      <c r="Q109" s="751"/>
      <c r="R109" s="1360"/>
      <c r="S109" s="1360"/>
      <c r="T109" s="1020"/>
    </row>
    <row r="110" spans="1:20" x14ac:dyDescent="0.2">
      <c r="B110" s="656"/>
      <c r="C110" s="157"/>
      <c r="D110" s="1620" t="s">
        <v>292</v>
      </c>
      <c r="E110" s="1620"/>
      <c r="F110" s="760">
        <v>0</v>
      </c>
      <c r="G110" s="760">
        <f t="shared" si="30"/>
        <v>0</v>
      </c>
      <c r="H110" s="760">
        <f t="shared" ref="H110:H113" si="39">G110 +G110*K110</f>
        <v>0</v>
      </c>
      <c r="I110" s="5"/>
      <c r="J110" s="468">
        <v>0.03</v>
      </c>
      <c r="K110" s="468">
        <f t="shared" si="32"/>
        <v>0.03</v>
      </c>
      <c r="L110" s="751"/>
      <c r="M110" s="751"/>
      <c r="N110" s="751"/>
      <c r="O110" s="751"/>
      <c r="P110" s="751"/>
      <c r="Q110" s="751"/>
      <c r="R110" s="1360"/>
      <c r="S110" s="1360"/>
      <c r="T110" s="1020"/>
    </row>
    <row r="111" spans="1:20" x14ac:dyDescent="0.2">
      <c r="B111" s="656"/>
      <c r="C111" s="157"/>
      <c r="D111" s="1620" t="s">
        <v>293</v>
      </c>
      <c r="E111" s="1620"/>
      <c r="F111" s="752">
        <v>0</v>
      </c>
      <c r="G111" s="752">
        <f t="shared" si="30"/>
        <v>0</v>
      </c>
      <c r="H111" s="752">
        <f t="shared" si="39"/>
        <v>0</v>
      </c>
      <c r="I111" s="5"/>
      <c r="J111" s="468">
        <v>0.03</v>
      </c>
      <c r="K111" s="468">
        <f t="shared" si="32"/>
        <v>0.03</v>
      </c>
      <c r="L111" s="751"/>
      <c r="M111" s="751"/>
      <c r="N111" s="751"/>
      <c r="O111" s="751"/>
      <c r="P111" s="751"/>
      <c r="Q111" s="751"/>
      <c r="R111" s="1360"/>
      <c r="S111" s="1360"/>
      <c r="T111" s="1020"/>
    </row>
    <row r="112" spans="1:20" x14ac:dyDescent="0.2">
      <c r="B112" s="656"/>
      <c r="C112" s="157"/>
      <c r="D112" s="1620" t="s">
        <v>831</v>
      </c>
      <c r="E112" s="1620"/>
      <c r="F112" s="752">
        <v>0</v>
      </c>
      <c r="G112" s="752">
        <f t="shared" si="30"/>
        <v>0</v>
      </c>
      <c r="H112" s="752">
        <f t="shared" si="39"/>
        <v>0</v>
      </c>
      <c r="I112" s="5"/>
      <c r="J112" s="468">
        <v>0.03</v>
      </c>
      <c r="K112" s="468">
        <f t="shared" si="32"/>
        <v>0.03</v>
      </c>
      <c r="L112" s="751"/>
      <c r="M112" s="751"/>
      <c r="N112" s="751"/>
      <c r="O112" s="751"/>
      <c r="P112" s="751"/>
      <c r="Q112" s="751"/>
      <c r="R112" s="1360"/>
      <c r="S112" s="1360"/>
      <c r="T112" s="1020"/>
    </row>
    <row r="113" spans="2:20" ht="13.5" thickBot="1" x14ac:dyDescent="0.25">
      <c r="B113" s="656"/>
      <c r="C113" s="349">
        <v>0</v>
      </c>
      <c r="D113" s="1622" t="s">
        <v>294</v>
      </c>
      <c r="E113" s="1622"/>
      <c r="F113" s="336">
        <v>0</v>
      </c>
      <c r="G113" s="752">
        <f t="shared" si="30"/>
        <v>0</v>
      </c>
      <c r="H113" s="752">
        <f t="shared" si="39"/>
        <v>0</v>
      </c>
      <c r="I113" s="3"/>
      <c r="J113" s="468">
        <v>0.03</v>
      </c>
      <c r="K113" s="468">
        <f t="shared" si="32"/>
        <v>0.03</v>
      </c>
      <c r="L113" s="751"/>
      <c r="M113" s="751"/>
      <c r="N113" s="751"/>
      <c r="O113" s="751"/>
      <c r="P113" s="751"/>
      <c r="Q113" s="751"/>
      <c r="R113" s="1360"/>
      <c r="S113" s="1360"/>
      <c r="T113" s="1020"/>
    </row>
    <row r="114" spans="2:20" ht="13.5" thickBot="1" x14ac:dyDescent="0.25">
      <c r="B114" s="655" t="s">
        <v>130</v>
      </c>
      <c r="C114" s="157" t="s">
        <v>611</v>
      </c>
      <c r="D114" s="1621" t="s">
        <v>734</v>
      </c>
      <c r="E114" s="1621"/>
      <c r="F114" s="711">
        <f>SUM(F115:F116)</f>
        <v>0</v>
      </c>
      <c r="G114" s="711">
        <f>SUM(G115:G116)</f>
        <v>0</v>
      </c>
      <c r="H114" s="711">
        <f>SUM(H115:H116)</f>
        <v>0</v>
      </c>
      <c r="I114" s="3"/>
      <c r="J114" s="313">
        <f>G$12</f>
        <v>2027</v>
      </c>
      <c r="K114" s="313">
        <f>H$12</f>
        <v>2028</v>
      </c>
      <c r="L114" s="751"/>
      <c r="M114" s="751"/>
      <c r="N114" s="751"/>
      <c r="O114" s="751"/>
      <c r="P114" s="751"/>
      <c r="Q114" s="751"/>
      <c r="R114" s="1360"/>
      <c r="S114" s="1360"/>
      <c r="T114" s="1020"/>
    </row>
    <row r="115" spans="2:20" x14ac:dyDescent="0.2">
      <c r="B115" s="656"/>
      <c r="C115" s="157"/>
      <c r="D115" s="1620" t="s">
        <v>295</v>
      </c>
      <c r="E115" s="1620"/>
      <c r="F115" s="760">
        <v>0</v>
      </c>
      <c r="G115" s="760">
        <f t="shared" si="30"/>
        <v>0</v>
      </c>
      <c r="H115" s="767">
        <f t="shared" ref="H115:H119" si="40">G115 +G115*K115</f>
        <v>0</v>
      </c>
      <c r="I115" s="3"/>
      <c r="J115" s="468">
        <v>0.03</v>
      </c>
      <c r="K115" s="468">
        <f t="shared" si="32"/>
        <v>0.03</v>
      </c>
      <c r="L115" s="751"/>
      <c r="M115" s="751"/>
      <c r="N115" s="751"/>
      <c r="O115" s="751"/>
      <c r="P115" s="751"/>
      <c r="Q115" s="751"/>
      <c r="R115" s="1360"/>
      <c r="S115" s="1360"/>
      <c r="T115" s="1020"/>
    </row>
    <row r="116" spans="2:20" ht="13.5" thickBot="1" x14ac:dyDescent="0.25">
      <c r="B116" s="656"/>
      <c r="C116" s="349"/>
      <c r="D116" s="1617" t="s">
        <v>296</v>
      </c>
      <c r="E116" s="1617"/>
      <c r="F116" s="766">
        <v>0</v>
      </c>
      <c r="G116" s="766">
        <f t="shared" si="30"/>
        <v>0</v>
      </c>
      <c r="H116" s="766">
        <f t="shared" si="40"/>
        <v>0</v>
      </c>
      <c r="I116" s="3"/>
      <c r="J116" s="468">
        <v>0.03</v>
      </c>
      <c r="K116" s="468">
        <f t="shared" si="32"/>
        <v>0.03</v>
      </c>
      <c r="L116" s="751"/>
      <c r="M116" s="751"/>
      <c r="N116" s="751"/>
      <c r="O116" s="751"/>
      <c r="P116" s="751"/>
      <c r="Q116" s="751"/>
      <c r="R116" s="1360"/>
      <c r="S116" s="1360"/>
      <c r="T116" s="1020"/>
    </row>
    <row r="117" spans="2:20" ht="12.75" customHeight="1" thickBot="1" x14ac:dyDescent="0.25">
      <c r="B117" s="655" t="s">
        <v>173</v>
      </c>
      <c r="C117" s="350" t="s">
        <v>612</v>
      </c>
      <c r="D117" s="1613" t="s">
        <v>735</v>
      </c>
      <c r="E117" s="1614"/>
      <c r="F117" s="765">
        <v>0</v>
      </c>
      <c r="G117" s="765">
        <f t="shared" si="30"/>
        <v>0</v>
      </c>
      <c r="H117" s="765">
        <f t="shared" si="40"/>
        <v>0</v>
      </c>
      <c r="I117" s="3"/>
      <c r="J117" s="468">
        <v>0.03</v>
      </c>
      <c r="K117" s="468">
        <f t="shared" si="32"/>
        <v>0.03</v>
      </c>
      <c r="L117" s="751"/>
      <c r="M117" s="751"/>
      <c r="N117" s="751"/>
      <c r="O117" s="751"/>
      <c r="P117" s="751"/>
      <c r="Q117" s="751"/>
      <c r="R117" s="1360"/>
      <c r="S117" s="1360"/>
      <c r="T117" s="1020"/>
    </row>
    <row r="118" spans="2:20" ht="12.75" customHeight="1" thickBot="1" x14ac:dyDescent="0.25">
      <c r="B118" s="655" t="s">
        <v>171</v>
      </c>
      <c r="C118" s="350" t="s">
        <v>613</v>
      </c>
      <c r="D118" s="1613" t="s">
        <v>736</v>
      </c>
      <c r="E118" s="1614"/>
      <c r="F118" s="765">
        <v>0</v>
      </c>
      <c r="G118" s="765">
        <f t="shared" si="30"/>
        <v>0</v>
      </c>
      <c r="H118" s="765">
        <f t="shared" si="40"/>
        <v>0</v>
      </c>
      <c r="I118" s="3"/>
      <c r="J118" s="468">
        <v>0.03</v>
      </c>
      <c r="K118" s="468">
        <f t="shared" si="32"/>
        <v>0.03</v>
      </c>
      <c r="L118" s="751"/>
      <c r="M118" s="751"/>
      <c r="N118" s="751"/>
      <c r="O118" s="751"/>
      <c r="P118" s="751"/>
      <c r="Q118" s="751"/>
      <c r="R118" s="1360"/>
      <c r="S118" s="1360"/>
      <c r="T118" s="1020"/>
    </row>
    <row r="119" spans="2:20" ht="12.75" customHeight="1" thickBot="1" x14ac:dyDescent="0.25">
      <c r="B119" s="655" t="s">
        <v>172</v>
      </c>
      <c r="C119" s="350" t="s">
        <v>614</v>
      </c>
      <c r="D119" s="1618" t="s">
        <v>645</v>
      </c>
      <c r="E119" s="1619"/>
      <c r="F119" s="768">
        <v>0</v>
      </c>
      <c r="G119" s="769">
        <f>F119*12/F$13+J119*F119*12/F$13</f>
        <v>0</v>
      </c>
      <c r="H119" s="765">
        <f t="shared" si="40"/>
        <v>0</v>
      </c>
      <c r="I119" s="3"/>
      <c r="J119" s="468">
        <v>0.03</v>
      </c>
      <c r="K119" s="468">
        <f>J119</f>
        <v>0.03</v>
      </c>
      <c r="L119" s="751"/>
      <c r="M119" s="751"/>
      <c r="N119" s="751"/>
      <c r="O119" s="751"/>
      <c r="P119" s="751"/>
      <c r="Q119" s="751"/>
      <c r="R119" s="1360"/>
      <c r="S119" s="1360"/>
      <c r="T119" s="1020"/>
    </row>
    <row r="120" spans="2:20" ht="12.75" customHeight="1" thickBot="1" x14ac:dyDescent="0.25">
      <c r="B120" s="656"/>
      <c r="C120" s="350" t="s">
        <v>615</v>
      </c>
      <c r="D120" s="698" t="s">
        <v>769</v>
      </c>
      <c r="E120" s="699"/>
      <c r="F120" s="765">
        <v>0</v>
      </c>
      <c r="G120" s="765">
        <f>F120*12/F$13+J120*F120*12/F$13</f>
        <v>0</v>
      </c>
      <c r="H120" s="765">
        <f>G120 +G120*K120</f>
        <v>0</v>
      </c>
      <c r="I120" s="3"/>
      <c r="J120" s="468">
        <v>0.03</v>
      </c>
      <c r="K120" s="468">
        <f t="shared" ref="K120" si="41">J120</f>
        <v>0.03</v>
      </c>
      <c r="L120" s="751"/>
      <c r="M120" s="751"/>
      <c r="N120" s="751"/>
      <c r="O120" s="751"/>
      <c r="P120" s="751"/>
      <c r="Q120" s="751"/>
      <c r="R120" s="1360"/>
      <c r="S120" s="1360"/>
      <c r="T120" s="1020"/>
    </row>
    <row r="121" spans="2:20" ht="12.75" customHeight="1" thickBot="1" x14ac:dyDescent="0.25">
      <c r="B121" s="655" t="s">
        <v>174</v>
      </c>
      <c r="C121" s="350" t="s">
        <v>616</v>
      </c>
      <c r="D121" s="1291" t="s">
        <v>694</v>
      </c>
      <c r="E121" s="699"/>
      <c r="F121" s="765"/>
      <c r="G121" s="1292"/>
      <c r="H121" s="1293"/>
      <c r="I121" s="3"/>
      <c r="J121" s="1364"/>
      <c r="K121" s="1365"/>
      <c r="L121" s="751"/>
      <c r="M121" s="751"/>
      <c r="N121" s="751"/>
      <c r="O121" s="751"/>
      <c r="P121" s="751"/>
      <c r="Q121" s="751"/>
      <c r="R121" s="1360"/>
      <c r="S121" s="1360"/>
      <c r="T121" s="1020"/>
    </row>
    <row r="122" spans="2:20" ht="12.75" customHeight="1" thickBot="1" x14ac:dyDescent="0.25">
      <c r="B122" s="659"/>
      <c r="C122" s="350" t="s">
        <v>617</v>
      </c>
      <c r="D122" s="351" t="s">
        <v>302</v>
      </c>
      <c r="E122" s="347"/>
      <c r="F122" s="714">
        <f>-'K3 Resultat'!F51</f>
        <v>0</v>
      </c>
      <c r="G122" s="714">
        <f>-'K3 Resultat'!H51</f>
        <v>0</v>
      </c>
      <c r="H122" s="713">
        <f>-'K3 Resultat'!K51</f>
        <v>0</v>
      </c>
      <c r="I122" s="5"/>
      <c r="J122" s="1366"/>
      <c r="K122" s="751"/>
      <c r="L122" s="751"/>
      <c r="M122" s="751"/>
      <c r="N122" s="751"/>
      <c r="O122" s="751"/>
      <c r="P122" s="751"/>
      <c r="Q122" s="751"/>
      <c r="R122" s="1360"/>
      <c r="S122" s="1360"/>
      <c r="T122" s="1020"/>
    </row>
    <row r="123" spans="2:20" ht="12.75" customHeight="1" thickBot="1" x14ac:dyDescent="0.25">
      <c r="B123" s="656"/>
      <c r="C123" s="350" t="s">
        <v>618</v>
      </c>
      <c r="D123" s="1611" t="s">
        <v>522</v>
      </c>
      <c r="E123" s="1612"/>
      <c r="F123" s="725">
        <f>F26+F28+F29+F36+F41+F47+F61+F69+F74+F79+F88+F89+F95+F99+F104+F109+F114+F117+F118+F119+F83+F59+F122+F120+F121</f>
        <v>0</v>
      </c>
      <c r="G123" s="725">
        <f>G26+G28+G29+G36+G41+G47+G61+G69+G74+G79+G88+G89+G95+G99+G104+G109+G114+G117+G118+G119+G83+G59+G122+G120+G121</f>
        <v>0</v>
      </c>
      <c r="H123" s="725">
        <f>H26+H28+H29+H36+H41+H47+H61+H69+H74+H79+H88+H89+H95+H99+H104+H109+H114+H117+H118+H119+H83+H59+H122+H120+H121</f>
        <v>0</v>
      </c>
      <c r="I123" s="17"/>
      <c r="J123" s="701"/>
      <c r="K123" s="751"/>
      <c r="L123" s="751"/>
      <c r="M123" s="751"/>
      <c r="N123" s="751"/>
      <c r="O123" s="751"/>
      <c r="P123" s="751"/>
      <c r="Q123" s="751"/>
      <c r="R123" s="1360"/>
      <c r="S123" s="1360"/>
      <c r="T123" s="1020"/>
    </row>
    <row r="124" spans="2:20" ht="12.75" customHeight="1" thickBot="1" x14ac:dyDescent="0.25">
      <c r="B124" s="656"/>
      <c r="C124" s="350" t="s">
        <v>619</v>
      </c>
      <c r="D124" s="1611" t="s">
        <v>536</v>
      </c>
      <c r="E124" s="1612"/>
      <c r="F124" s="727">
        <f>F125/F13</f>
        <v>0</v>
      </c>
      <c r="G124" s="727">
        <f>G125/G13</f>
        <v>0</v>
      </c>
      <c r="H124" s="727">
        <f>H125/H13</f>
        <v>0</v>
      </c>
      <c r="I124" s="17"/>
      <c r="J124" s="701"/>
      <c r="K124" s="751"/>
      <c r="L124" s="751"/>
      <c r="M124" s="751"/>
      <c r="N124" s="751"/>
      <c r="O124" s="751"/>
      <c r="P124" s="751"/>
      <c r="Q124" s="751"/>
      <c r="R124" s="1360"/>
      <c r="S124" s="1360"/>
      <c r="T124" s="1020"/>
    </row>
    <row r="125" spans="2:20" ht="12.75" customHeight="1" thickBot="1" x14ac:dyDescent="0.25">
      <c r="B125" s="657" t="s">
        <v>0</v>
      </c>
      <c r="C125" s="350" t="s">
        <v>620</v>
      </c>
      <c r="D125" s="1613" t="s">
        <v>523</v>
      </c>
      <c r="E125" s="1614"/>
      <c r="F125" s="726">
        <f>F123+F23</f>
        <v>0</v>
      </c>
      <c r="G125" s="726">
        <f>G123+G23</f>
        <v>0</v>
      </c>
      <c r="H125" s="726">
        <f>H123+H23</f>
        <v>0</v>
      </c>
      <c r="I125" s="5"/>
      <c r="J125" s="701"/>
      <c r="K125" s="751"/>
      <c r="L125" s="751"/>
      <c r="M125" s="751"/>
      <c r="N125" s="751"/>
      <c r="O125" s="751"/>
      <c r="P125" s="751"/>
      <c r="Q125" s="751"/>
      <c r="R125" s="1360"/>
      <c r="S125" s="1360"/>
      <c r="T125" s="1020"/>
    </row>
    <row r="126" spans="2:20" ht="6" customHeight="1" x14ac:dyDescent="0.2">
      <c r="B126" s="657"/>
      <c r="C126" s="682"/>
      <c r="D126" s="963"/>
      <c r="E126" s="963"/>
      <c r="F126" s="1090"/>
      <c r="G126" s="1090"/>
      <c r="H126" s="1090"/>
      <c r="I126" s="5"/>
      <c r="J126" s="1029"/>
      <c r="K126" s="412"/>
      <c r="L126" s="412"/>
      <c r="M126" s="412"/>
      <c r="N126" s="412"/>
      <c r="O126" s="412"/>
      <c r="P126" s="412"/>
      <c r="Q126" s="412"/>
      <c r="R126" s="1361"/>
      <c r="S126" s="1361"/>
      <c r="T126" s="1022"/>
    </row>
    <row r="127" spans="2:20" ht="12.75" customHeight="1" x14ac:dyDescent="0.2">
      <c r="B127" s="656" t="s">
        <v>0</v>
      </c>
      <c r="C127" s="1096" t="s">
        <v>621</v>
      </c>
      <c r="D127" s="1605" t="s">
        <v>413</v>
      </c>
      <c r="E127" s="1606"/>
      <c r="F127" s="1093">
        <f>'K2 Försäljning'!C206-'K2 Försäljning'!C208</f>
        <v>0</v>
      </c>
      <c r="G127" s="1093">
        <f>'K2 Försäljning'!D206-'K2 Försäljning'!D208</f>
        <v>0</v>
      </c>
      <c r="H127" s="1093">
        <f>'K2 Försäljning'!E206-'K2 Försäljning'!E208</f>
        <v>0</v>
      </c>
      <c r="I127" s="5"/>
      <c r="J127" s="1359"/>
      <c r="K127" s="751"/>
      <c r="L127" s="751"/>
      <c r="M127" s="751"/>
      <c r="N127" s="751"/>
      <c r="O127" s="751"/>
      <c r="P127" s="751"/>
      <c r="Q127" s="751"/>
      <c r="R127" s="1360"/>
      <c r="S127" s="1360"/>
      <c r="T127" s="1020"/>
    </row>
    <row r="128" spans="2:20" ht="12.75" customHeight="1" x14ac:dyDescent="0.2">
      <c r="B128" s="656"/>
      <c r="C128" s="1096" t="s">
        <v>622</v>
      </c>
      <c r="D128" s="1605" t="s">
        <v>297</v>
      </c>
      <c r="E128" s="1606"/>
      <c r="F128" s="1094">
        <f>F127-F125</f>
        <v>0</v>
      </c>
      <c r="G128" s="1094">
        <f>G127-G125</f>
        <v>0</v>
      </c>
      <c r="H128" s="1094">
        <f>H127-H125</f>
        <v>0</v>
      </c>
      <c r="I128" s="43"/>
      <c r="J128" s="1405"/>
      <c r="K128" s="355"/>
      <c r="L128" s="355"/>
      <c r="M128" s="355"/>
      <c r="N128" s="355"/>
      <c r="O128" s="355"/>
      <c r="P128" s="355"/>
      <c r="Q128" s="346"/>
      <c r="R128" s="1358"/>
      <c r="S128" s="1358"/>
      <c r="T128" s="1298"/>
    </row>
    <row r="129" spans="2:23" ht="12.75" customHeight="1" x14ac:dyDescent="0.2">
      <c r="B129" s="658"/>
      <c r="C129" s="1097" t="s">
        <v>623</v>
      </c>
      <c r="D129" s="1615" t="s">
        <v>298</v>
      </c>
      <c r="E129" s="1616"/>
      <c r="F129" s="1095">
        <f>IF(F127=0,0,F128/F127)</f>
        <v>0</v>
      </c>
      <c r="G129" s="1095">
        <f>IF(G127=0,0,G128/G127)</f>
        <v>0</v>
      </c>
      <c r="H129" s="1095">
        <f>IF(H127=0,0,H128/H127)</f>
        <v>0</v>
      </c>
      <c r="I129" s="408"/>
      <c r="J129" s="1359"/>
      <c r="K129" s="751"/>
      <c r="L129" s="751"/>
      <c r="M129" s="751"/>
      <c r="N129" s="751"/>
      <c r="O129" s="751"/>
      <c r="P129" s="751"/>
      <c r="Q129" s="751"/>
      <c r="R129" s="1360"/>
      <c r="S129" s="1360"/>
      <c r="T129" s="1020"/>
    </row>
    <row r="130" spans="2:23" ht="6" customHeight="1" x14ac:dyDescent="0.2">
      <c r="B130" s="658"/>
      <c r="C130" s="792"/>
      <c r="D130" s="396"/>
      <c r="E130" s="396"/>
      <c r="F130" s="1091"/>
      <c r="G130" s="1091"/>
      <c r="H130" s="1092"/>
      <c r="I130" s="408"/>
      <c r="J130" s="1359"/>
      <c r="K130" s="412"/>
      <c r="L130" s="412"/>
      <c r="M130" s="412"/>
      <c r="N130" s="412"/>
      <c r="O130" s="412"/>
      <c r="P130" s="412"/>
      <c r="Q130" s="412"/>
      <c r="R130" s="1361"/>
      <c r="S130" s="1361"/>
      <c r="T130" s="1022"/>
    </row>
    <row r="131" spans="2:23" ht="12.75" customHeight="1" x14ac:dyDescent="0.2">
      <c r="B131" s="657"/>
      <c r="C131" s="1096" t="s">
        <v>624</v>
      </c>
      <c r="D131" s="1605" t="s">
        <v>299</v>
      </c>
      <c r="E131" s="1606"/>
      <c r="F131" s="895">
        <f>'K2 Försäljning'!C206</f>
        <v>0</v>
      </c>
      <c r="G131" s="895">
        <f>'K2 Försäljning'!D206</f>
        <v>0</v>
      </c>
      <c r="H131" s="895">
        <f>'K2 Försäljning'!E206</f>
        <v>0</v>
      </c>
      <c r="I131" s="5"/>
      <c r="J131" s="701"/>
      <c r="K131" s="751"/>
      <c r="L131" s="751"/>
      <c r="M131" s="751"/>
      <c r="N131" s="751"/>
      <c r="O131" s="751"/>
      <c r="P131" s="751"/>
      <c r="Q131" s="751"/>
      <c r="R131" s="1360"/>
      <c r="S131" s="1360"/>
      <c r="T131" s="1020"/>
    </row>
    <row r="132" spans="2:23" ht="12.75" customHeight="1" x14ac:dyDescent="0.2">
      <c r="B132" s="659"/>
      <c r="C132" s="1096" t="s">
        <v>625</v>
      </c>
      <c r="D132" s="1603" t="s">
        <v>300</v>
      </c>
      <c r="E132" s="1604"/>
      <c r="F132" s="834">
        <f>-'K3 Resultat'!F42</f>
        <v>0</v>
      </c>
      <c r="G132" s="834">
        <f>-'K3 Resultat'!H42</f>
        <v>0</v>
      </c>
      <c r="H132" s="834">
        <f>-'K3 Resultat'!K42</f>
        <v>0</v>
      </c>
      <c r="I132" s="17"/>
      <c r="J132" s="701"/>
      <c r="K132" s="751"/>
      <c r="L132" s="751"/>
      <c r="M132" s="751"/>
      <c r="N132" s="751"/>
      <c r="O132" s="751"/>
      <c r="P132" s="751"/>
      <c r="Q132" s="751"/>
      <c r="R132" s="1360"/>
      <c r="S132" s="1360"/>
      <c r="T132" s="1020"/>
    </row>
    <row r="133" spans="2:23" ht="12.75" customHeight="1" x14ac:dyDescent="0.2">
      <c r="B133" s="660"/>
      <c r="C133" s="1096" t="s">
        <v>626</v>
      </c>
      <c r="D133" s="1605" t="s">
        <v>301</v>
      </c>
      <c r="E133" s="1606"/>
      <c r="F133" s="895">
        <f>F131+F132</f>
        <v>0</v>
      </c>
      <c r="G133" s="895">
        <f>G131+G132</f>
        <v>0</v>
      </c>
      <c r="H133" s="895">
        <f>H131+H132</f>
        <v>0</v>
      </c>
      <c r="I133" s="5"/>
      <c r="J133" s="1035"/>
      <c r="K133" s="1014"/>
      <c r="L133" s="1014"/>
      <c r="M133" s="1014"/>
      <c r="N133" s="1014"/>
      <c r="O133" s="1014"/>
      <c r="P133" s="1014"/>
      <c r="Q133" s="1014"/>
      <c r="R133" s="1362"/>
      <c r="S133" s="1362"/>
      <c r="T133" s="1023"/>
    </row>
    <row r="134" spans="2:23" ht="12.75" customHeight="1" x14ac:dyDescent="0.2">
      <c r="B134" s="346"/>
      <c r="C134" s="157"/>
      <c r="D134" s="1098" t="s">
        <v>303</v>
      </c>
      <c r="E134" s="1099"/>
      <c r="F134" s="1100">
        <v>47</v>
      </c>
      <c r="G134" s="1100">
        <v>47</v>
      </c>
      <c r="H134" s="1100">
        <v>47</v>
      </c>
      <c r="I134" s="44"/>
      <c r="J134" s="66"/>
      <c r="K134" s="66"/>
      <c r="L134" s="66"/>
      <c r="M134" s="66"/>
      <c r="N134" s="66"/>
      <c r="O134" s="66"/>
      <c r="P134" s="66"/>
      <c r="Q134" s="66"/>
      <c r="R134" s="356"/>
      <c r="S134" s="356"/>
      <c r="T134" s="52"/>
      <c r="U134" s="52"/>
      <c r="V134" s="52"/>
      <c r="W134" s="52"/>
    </row>
    <row r="135" spans="2:23" ht="12.75" customHeight="1" x14ac:dyDescent="0.2">
      <c r="B135" s="346"/>
      <c r="C135" s="157" t="s">
        <v>0</v>
      </c>
      <c r="D135" s="1098" t="s">
        <v>304</v>
      </c>
      <c r="E135" s="1099"/>
      <c r="F135" s="1100">
        <v>5</v>
      </c>
      <c r="G135" s="1100">
        <v>5</v>
      </c>
      <c r="H135" s="1100">
        <v>5</v>
      </c>
      <c r="I135" s="44"/>
      <c r="J135" s="66" t="s">
        <v>0</v>
      </c>
      <c r="K135" s="66"/>
      <c r="L135" s="66"/>
      <c r="M135" s="66"/>
      <c r="N135" s="66"/>
      <c r="O135" s="66"/>
      <c r="P135" s="66"/>
      <c r="Q135" s="66"/>
      <c r="R135" s="356"/>
      <c r="S135" s="356"/>
      <c r="T135" s="52"/>
      <c r="U135" s="52"/>
      <c r="V135" s="52"/>
      <c r="W135" s="52"/>
    </row>
    <row r="136" spans="2:23" ht="12.75" customHeight="1" x14ac:dyDescent="0.2">
      <c r="B136" s="346"/>
      <c r="C136" s="157"/>
      <c r="D136" s="1101" t="s">
        <v>305</v>
      </c>
      <c r="E136" s="1102"/>
      <c r="F136" s="1103">
        <f>IF(F135=0,0,F133/F135/F134)</f>
        <v>0</v>
      </c>
      <c r="G136" s="1103">
        <f>IF(G135=0,0,G133/G135/G134)</f>
        <v>0</v>
      </c>
      <c r="H136" s="1103">
        <f>IF(H135=0,0,H133/H135/H134)</f>
        <v>0</v>
      </c>
      <c r="I136" s="50"/>
      <c r="J136" s="66"/>
      <c r="K136" s="66"/>
      <c r="L136" s="66"/>
      <c r="M136" s="66"/>
      <c r="N136" s="66"/>
      <c r="O136" s="66"/>
      <c r="P136" s="66"/>
      <c r="Q136" s="66"/>
      <c r="R136" s="356"/>
      <c r="S136" s="356"/>
      <c r="T136" s="52"/>
      <c r="U136" s="52"/>
      <c r="V136" s="52"/>
      <c r="W136" s="52"/>
    </row>
    <row r="137" spans="2:23" x14ac:dyDescent="0.2">
      <c r="B137" s="96"/>
      <c r="C137" s="310"/>
      <c r="I137" s="5"/>
      <c r="J137" s="357"/>
      <c r="K137" s="66"/>
      <c r="L137" s="66"/>
      <c r="M137" s="66"/>
      <c r="N137" s="66"/>
      <c r="O137" s="66"/>
      <c r="P137" s="66"/>
      <c r="Q137" s="66"/>
      <c r="R137" s="356"/>
      <c r="S137" s="356"/>
      <c r="T137" s="52"/>
      <c r="U137" s="52"/>
      <c r="V137" s="52"/>
      <c r="W137" s="52"/>
    </row>
    <row r="138" spans="2:23" ht="12.75" customHeight="1" x14ac:dyDescent="0.2">
      <c r="B138" s="96"/>
      <c r="C138" s="161"/>
      <c r="D138" s="353" t="s">
        <v>306</v>
      </c>
      <c r="E138" s="8"/>
      <c r="J138" s="66"/>
      <c r="K138" s="66"/>
      <c r="L138" s="66"/>
      <c r="M138" s="66"/>
      <c r="N138" s="66"/>
      <c r="O138" s="66"/>
      <c r="P138" s="66"/>
      <c r="Q138" s="66"/>
      <c r="R138" s="356"/>
      <c r="S138" s="356"/>
      <c r="T138" s="52"/>
      <c r="U138" s="52"/>
      <c r="V138" s="52"/>
      <c r="W138" s="52"/>
    </row>
    <row r="139" spans="2:23" ht="12.75" customHeight="1" x14ac:dyDescent="0.2">
      <c r="B139" s="97"/>
      <c r="C139" s="161"/>
      <c r="D139" s="102" t="s">
        <v>307</v>
      </c>
      <c r="E139" s="79"/>
      <c r="I139" s="20"/>
      <c r="J139" s="20"/>
      <c r="K139" s="32"/>
      <c r="L139" s="356"/>
      <c r="M139" s="356"/>
      <c r="N139" s="356"/>
      <c r="O139" s="356"/>
      <c r="P139" s="356"/>
      <c r="Q139" s="356"/>
      <c r="R139" s="356"/>
      <c r="S139" s="356"/>
      <c r="T139" s="52"/>
      <c r="U139" s="52"/>
      <c r="V139" s="52"/>
      <c r="W139" s="52"/>
    </row>
    <row r="140" spans="2:23" s="2" customFormat="1" ht="12.75" customHeight="1" x14ac:dyDescent="0.2">
      <c r="B140" s="98"/>
      <c r="C140" s="161"/>
      <c r="D140" s="102" t="s">
        <v>308</v>
      </c>
      <c r="E140" s="82"/>
      <c r="I140" s="20"/>
      <c r="J140" s="20"/>
      <c r="K140" s="32"/>
      <c r="L140" s="356"/>
      <c r="M140" s="356"/>
      <c r="N140" s="356"/>
      <c r="O140" s="356"/>
      <c r="P140" s="356"/>
      <c r="Q140" s="356"/>
      <c r="R140" s="356"/>
      <c r="S140" s="356"/>
      <c r="T140" s="6"/>
      <c r="U140" s="6"/>
      <c r="V140" s="6"/>
      <c r="W140" s="6"/>
    </row>
    <row r="141" spans="2:23" s="2" customFormat="1" ht="12.75" customHeight="1" x14ac:dyDescent="0.2">
      <c r="B141" s="98"/>
      <c r="C141" s="161"/>
      <c r="D141" s="332"/>
      <c r="E141" s="82"/>
      <c r="F141" s="80"/>
      <c r="G141" s="20"/>
      <c r="H141" s="20"/>
      <c r="I141" s="20"/>
      <c r="J141" s="20"/>
      <c r="K141" s="32"/>
      <c r="L141" s="356"/>
      <c r="M141" s="356"/>
      <c r="N141" s="356"/>
      <c r="O141" s="356"/>
      <c r="P141" s="356"/>
      <c r="Q141" s="356"/>
      <c r="R141" s="356"/>
      <c r="S141" s="356"/>
      <c r="T141" s="6"/>
      <c r="U141" s="6"/>
      <c r="V141" s="6"/>
      <c r="W141" s="6"/>
    </row>
    <row r="142" spans="2:23" ht="12.75" customHeight="1" x14ac:dyDescent="0.2">
      <c r="B142" s="97"/>
      <c r="C142" s="60"/>
      <c r="D142" s="161"/>
      <c r="E142" s="79"/>
      <c r="G142" s="316"/>
      <c r="H142" s="316"/>
      <c r="I142" s="22"/>
      <c r="J142" s="22"/>
      <c r="K142" s="32"/>
      <c r="L142" s="358"/>
      <c r="M142" s="356"/>
      <c r="N142" s="356"/>
      <c r="O142" s="356"/>
      <c r="P142" s="356"/>
      <c r="Q142" s="356"/>
      <c r="R142" s="356"/>
      <c r="S142" s="356"/>
      <c r="T142" s="52"/>
      <c r="U142" s="52"/>
      <c r="V142" s="52"/>
      <c r="W142" s="52"/>
    </row>
    <row r="143" spans="2:23" s="2" customFormat="1" ht="12.75" customHeight="1" x14ac:dyDescent="0.2">
      <c r="B143" s="98"/>
      <c r="C143" s="60"/>
      <c r="D143" s="161"/>
      <c r="E143" s="79"/>
      <c r="G143" s="85"/>
      <c r="H143" s="85"/>
      <c r="I143" s="23"/>
      <c r="J143" s="23"/>
      <c r="K143" s="32"/>
      <c r="L143" s="358"/>
      <c r="M143" s="356"/>
      <c r="N143" s="356"/>
      <c r="O143" s="356"/>
      <c r="P143" s="356"/>
      <c r="Q143" s="356"/>
      <c r="R143" s="356"/>
      <c r="S143" s="356"/>
      <c r="T143" s="6"/>
      <c r="U143" s="6"/>
      <c r="V143" s="6"/>
      <c r="W143" s="6"/>
    </row>
    <row r="144" spans="2:23" ht="12.75" customHeight="1" x14ac:dyDescent="0.2">
      <c r="B144" s="97"/>
      <c r="C144" s="60"/>
      <c r="D144" s="161"/>
      <c r="E144" s="82"/>
      <c r="G144" s="316"/>
      <c r="H144" s="316"/>
      <c r="I144" s="20"/>
      <c r="J144" s="20"/>
      <c r="K144" s="32"/>
      <c r="L144" s="356"/>
      <c r="M144" s="356"/>
      <c r="N144" s="356"/>
      <c r="O144" s="356"/>
      <c r="P144" s="356"/>
      <c r="Q144" s="356"/>
      <c r="R144" s="356"/>
      <c r="S144" s="356"/>
      <c r="T144" s="52"/>
      <c r="U144" s="52"/>
      <c r="V144" s="52"/>
      <c r="W144" s="52"/>
    </row>
    <row r="145" spans="2:23" ht="12.75" customHeight="1" x14ac:dyDescent="0.2">
      <c r="B145" s="97"/>
      <c r="C145" s="60"/>
      <c r="D145" s="161"/>
      <c r="E145" s="79"/>
      <c r="G145" s="85"/>
      <c r="H145" s="85"/>
      <c r="I145" s="22"/>
      <c r="J145" s="22"/>
      <c r="K145" s="32"/>
      <c r="L145" s="356"/>
      <c r="M145" s="356"/>
      <c r="N145" s="356"/>
      <c r="O145" s="356"/>
      <c r="P145" s="356"/>
      <c r="Q145" s="356"/>
      <c r="R145" s="356"/>
      <c r="S145" s="356"/>
      <c r="T145" s="52"/>
      <c r="U145" s="52"/>
      <c r="V145" s="52"/>
      <c r="W145" s="52"/>
    </row>
    <row r="146" spans="2:23" ht="12.75" customHeight="1" x14ac:dyDescent="0.2">
      <c r="B146" s="97"/>
      <c r="C146" s="60"/>
      <c r="D146" s="8"/>
      <c r="E146" s="82"/>
      <c r="G146" s="316"/>
      <c r="H146" s="316"/>
      <c r="I146" s="20"/>
      <c r="J146" s="20"/>
      <c r="K146" s="32"/>
      <c r="L146" s="356"/>
      <c r="M146" s="356"/>
      <c r="N146" s="356"/>
      <c r="O146" s="356"/>
      <c r="P146" s="356"/>
      <c r="Q146" s="356"/>
      <c r="R146" s="356"/>
      <c r="S146" s="356"/>
      <c r="T146" s="52"/>
      <c r="U146" s="52"/>
      <c r="V146" s="52"/>
      <c r="W146" s="52"/>
    </row>
    <row r="147" spans="2:23" ht="12.75" customHeight="1" x14ac:dyDescent="0.2">
      <c r="B147" s="97"/>
      <c r="C147" s="161"/>
      <c r="D147" s="332"/>
      <c r="E147" s="79"/>
      <c r="G147" s="20"/>
      <c r="H147" s="20"/>
      <c r="I147" s="25"/>
      <c r="J147" s="25"/>
      <c r="K147" s="32"/>
      <c r="L147" s="32"/>
      <c r="M147" s="32"/>
      <c r="N147" s="32"/>
      <c r="O147" s="32"/>
      <c r="P147" s="32"/>
      <c r="Q147" s="32"/>
      <c r="R147" s="32"/>
      <c r="S147" s="32"/>
      <c r="T147" s="52"/>
      <c r="U147" s="52"/>
      <c r="V147" s="52"/>
      <c r="W147" s="52"/>
    </row>
    <row r="148" spans="2:23" ht="12.75" customHeight="1" x14ac:dyDescent="0.2">
      <c r="B148" s="97"/>
      <c r="C148" s="161"/>
      <c r="D148" s="8"/>
      <c r="E148" s="79"/>
      <c r="G148" s="85"/>
      <c r="H148" s="85"/>
      <c r="I148" s="21"/>
      <c r="J148" s="21"/>
      <c r="K148" s="32"/>
      <c r="L148" s="32"/>
      <c r="M148" s="32"/>
      <c r="N148" s="32"/>
      <c r="O148" s="32"/>
      <c r="P148" s="32"/>
      <c r="Q148" s="32"/>
      <c r="R148" s="32"/>
      <c r="S148" s="32"/>
      <c r="T148" s="52"/>
      <c r="U148" s="52"/>
      <c r="V148" s="52"/>
      <c r="W148" s="52"/>
    </row>
    <row r="149" spans="2:23" ht="12.75" customHeight="1" x14ac:dyDescent="0.2">
      <c r="B149" s="97"/>
      <c r="C149" s="161"/>
      <c r="D149" s="8"/>
      <c r="E149" s="79"/>
      <c r="G149" s="316"/>
      <c r="H149" s="316"/>
      <c r="I149" s="83"/>
      <c r="J149" s="359"/>
      <c r="K149" s="32"/>
      <c r="L149" s="32"/>
      <c r="M149" s="32"/>
      <c r="N149" s="32"/>
      <c r="O149" s="32"/>
      <c r="P149" s="32"/>
      <c r="Q149" s="32"/>
      <c r="R149" s="32"/>
      <c r="S149" s="32"/>
      <c r="T149" s="52"/>
      <c r="U149" s="52"/>
      <c r="V149" s="52"/>
      <c r="W149" s="52"/>
    </row>
    <row r="150" spans="2:23" ht="12.75" customHeight="1" x14ac:dyDescent="0.2">
      <c r="B150" s="97"/>
      <c r="C150" s="161"/>
      <c r="D150" s="8"/>
      <c r="E150" s="79"/>
      <c r="G150" s="316"/>
      <c r="H150" s="316"/>
      <c r="I150" s="83"/>
      <c r="J150" s="359"/>
      <c r="K150" s="32"/>
      <c r="L150" s="32"/>
      <c r="M150" s="32"/>
      <c r="N150" s="32"/>
      <c r="O150" s="32"/>
      <c r="P150" s="32"/>
      <c r="Q150" s="32"/>
      <c r="R150" s="32"/>
      <c r="S150" s="32"/>
      <c r="T150" s="52"/>
      <c r="U150" s="52"/>
      <c r="V150" s="52"/>
      <c r="W150" s="52"/>
    </row>
    <row r="151" spans="2:23" ht="12.75" customHeight="1" x14ac:dyDescent="0.2">
      <c r="B151" s="97"/>
      <c r="C151" s="161"/>
      <c r="D151" s="332"/>
      <c r="E151" s="79"/>
      <c r="G151" s="318"/>
      <c r="H151" s="318"/>
      <c r="I151" s="83"/>
      <c r="J151" s="359"/>
      <c r="K151" s="32"/>
      <c r="L151" s="32"/>
      <c r="M151" s="32"/>
      <c r="N151" s="32"/>
      <c r="O151" s="32"/>
      <c r="P151" s="32"/>
      <c r="Q151" s="32"/>
      <c r="R151" s="32"/>
      <c r="S151" s="32"/>
      <c r="T151" s="52"/>
      <c r="U151" s="52"/>
      <c r="V151" s="52"/>
      <c r="W151" s="52"/>
    </row>
    <row r="152" spans="2:23" ht="12.75" customHeight="1" x14ac:dyDescent="0.2">
      <c r="B152" s="97"/>
      <c r="C152" s="98"/>
      <c r="D152" s="333"/>
      <c r="E152" s="19"/>
      <c r="F152" s="316"/>
      <c r="G152" s="316"/>
      <c r="H152" s="316"/>
      <c r="I152" s="316"/>
      <c r="J152" s="20"/>
      <c r="K152" s="32"/>
      <c r="L152" s="32"/>
      <c r="M152" s="32"/>
      <c r="N152" s="32"/>
      <c r="O152" s="32"/>
      <c r="P152" s="32"/>
      <c r="Q152" s="32"/>
      <c r="R152" s="32"/>
      <c r="S152" s="32"/>
      <c r="T152" s="52"/>
      <c r="U152" s="52"/>
      <c r="V152" s="52"/>
      <c r="W152" s="52"/>
    </row>
    <row r="153" spans="2:23" ht="12.75" customHeight="1" x14ac:dyDescent="0.2">
      <c r="B153" s="97"/>
      <c r="C153" s="98"/>
      <c r="D153" s="333"/>
      <c r="E153" s="19"/>
      <c r="F153" s="19"/>
      <c r="G153" s="81"/>
      <c r="H153" s="24"/>
      <c r="I153" s="24"/>
      <c r="J153" s="24"/>
      <c r="K153" s="32"/>
      <c r="L153" s="32"/>
      <c r="M153" s="32"/>
      <c r="N153" s="32"/>
      <c r="O153" s="32"/>
      <c r="P153" s="32"/>
      <c r="Q153" s="32"/>
      <c r="R153" s="32"/>
      <c r="S153" s="32"/>
      <c r="T153" s="52"/>
      <c r="U153" s="52"/>
      <c r="V153" s="52"/>
      <c r="W153" s="52"/>
    </row>
    <row r="154" spans="2:23" ht="12.75" customHeight="1" x14ac:dyDescent="0.2">
      <c r="B154" s="97"/>
      <c r="C154" s="98"/>
      <c r="D154" s="333"/>
      <c r="E154" s="19"/>
      <c r="I154" s="20"/>
      <c r="J154" s="20"/>
      <c r="K154" s="32"/>
      <c r="L154" s="32"/>
      <c r="M154" s="32"/>
      <c r="N154" s="32"/>
      <c r="O154" s="32"/>
      <c r="P154" s="32"/>
      <c r="Q154" s="32"/>
      <c r="R154" s="32"/>
      <c r="S154" s="32"/>
      <c r="T154" s="52"/>
      <c r="U154" s="52"/>
      <c r="V154" s="52"/>
      <c r="W154" s="52"/>
    </row>
    <row r="155" spans="2:23" ht="12.75" customHeight="1" x14ac:dyDescent="0.2">
      <c r="B155" s="97"/>
      <c r="C155" s="98"/>
      <c r="D155" s="333"/>
      <c r="E155" s="19"/>
      <c r="F155" s="19"/>
      <c r="G155" s="19"/>
      <c r="H155" s="19"/>
      <c r="I155" s="19"/>
      <c r="J155" s="32"/>
      <c r="K155" s="32"/>
      <c r="L155" s="32"/>
      <c r="M155" s="32"/>
      <c r="N155" s="32"/>
      <c r="O155" s="32"/>
      <c r="P155" s="32"/>
      <c r="Q155" s="32"/>
      <c r="R155" s="32"/>
      <c r="S155" s="32"/>
      <c r="T155" s="52"/>
      <c r="U155" s="52"/>
      <c r="V155" s="52"/>
      <c r="W155" s="52"/>
    </row>
    <row r="156" spans="2:23" ht="12.75" customHeight="1" x14ac:dyDescent="0.2">
      <c r="B156" s="97"/>
      <c r="C156" s="98"/>
      <c r="D156" s="19"/>
      <c r="E156" s="19"/>
      <c r="F156" s="80"/>
      <c r="G156" s="81"/>
      <c r="H156" s="26"/>
      <c r="I156" s="26"/>
      <c r="J156" s="26"/>
      <c r="K156" s="32"/>
      <c r="L156" s="32"/>
      <c r="M156" s="32"/>
      <c r="N156" s="32"/>
      <c r="O156" s="32"/>
      <c r="P156" s="32"/>
      <c r="Q156" s="32"/>
      <c r="R156" s="32"/>
      <c r="S156" s="32"/>
      <c r="T156" s="52"/>
      <c r="U156" s="52"/>
      <c r="V156" s="52"/>
      <c r="W156" s="52"/>
    </row>
    <row r="157" spans="2:23" ht="12.75" customHeight="1" x14ac:dyDescent="0.2">
      <c r="J157" s="52"/>
      <c r="K157" s="52"/>
      <c r="L157" s="52"/>
      <c r="M157" s="52"/>
      <c r="N157" s="52"/>
      <c r="O157" s="52"/>
      <c r="P157" s="52"/>
      <c r="Q157" s="52"/>
      <c r="R157" s="52"/>
      <c r="S157" s="52"/>
      <c r="T157" s="52"/>
      <c r="U157" s="52"/>
      <c r="V157" s="52"/>
      <c r="W157" s="52"/>
    </row>
    <row r="158" spans="2:23" x14ac:dyDescent="0.2">
      <c r="J158" s="52"/>
      <c r="K158" s="52"/>
      <c r="L158" s="52"/>
      <c r="M158" s="52"/>
      <c r="N158" s="52"/>
      <c r="O158" s="52"/>
      <c r="P158" s="52"/>
      <c r="Q158" s="52"/>
      <c r="R158" s="52"/>
      <c r="S158" s="52"/>
      <c r="T158" s="52"/>
      <c r="U158" s="52"/>
      <c r="V158" s="52"/>
      <c r="W158" s="52"/>
    </row>
    <row r="159" spans="2:23" x14ac:dyDescent="0.2">
      <c r="J159" s="52"/>
      <c r="K159" s="52"/>
      <c r="L159" s="52"/>
      <c r="M159" s="52"/>
      <c r="N159" s="52"/>
      <c r="O159" s="52"/>
      <c r="P159" s="52"/>
      <c r="Q159" s="52"/>
      <c r="R159" s="52"/>
      <c r="S159" s="52"/>
      <c r="T159" s="52"/>
      <c r="U159" s="52"/>
      <c r="V159" s="52"/>
      <c r="W159" s="52"/>
    </row>
    <row r="160" spans="2:23" x14ac:dyDescent="0.2">
      <c r="J160" s="52"/>
      <c r="K160" s="52"/>
      <c r="L160" s="52"/>
      <c r="M160" s="52"/>
      <c r="N160" s="52"/>
      <c r="O160" s="52"/>
      <c r="P160" s="52"/>
      <c r="Q160" s="52"/>
      <c r="R160" s="52"/>
      <c r="S160" s="52"/>
      <c r="T160" s="52"/>
      <c r="U160" s="52"/>
      <c r="V160" s="52"/>
      <c r="W160" s="52"/>
    </row>
    <row r="161" spans="10:23" x14ac:dyDescent="0.2">
      <c r="J161" s="52"/>
      <c r="K161" s="52"/>
      <c r="L161" s="52"/>
      <c r="M161" s="52"/>
      <c r="N161" s="52"/>
      <c r="O161" s="52"/>
      <c r="P161" s="52"/>
      <c r="Q161" s="52"/>
      <c r="R161" s="52"/>
      <c r="S161" s="52"/>
      <c r="T161" s="52"/>
      <c r="U161" s="52"/>
      <c r="V161" s="52"/>
      <c r="W161" s="52"/>
    </row>
    <row r="162" spans="10:23" x14ac:dyDescent="0.2">
      <c r="J162" s="52"/>
      <c r="K162" s="52"/>
      <c r="L162" s="52"/>
      <c r="M162" s="52"/>
      <c r="N162" s="52"/>
      <c r="O162" s="52"/>
      <c r="P162" s="52"/>
      <c r="Q162" s="52"/>
      <c r="R162" s="52"/>
      <c r="S162" s="52"/>
      <c r="T162" s="52"/>
      <c r="U162" s="52"/>
      <c r="V162" s="52"/>
      <c r="W162" s="52"/>
    </row>
    <row r="163" spans="10:23" x14ac:dyDescent="0.2">
      <c r="J163" s="52"/>
      <c r="K163" s="52"/>
      <c r="L163" s="52"/>
      <c r="M163" s="52"/>
      <c r="N163" s="52"/>
      <c r="O163" s="52"/>
      <c r="P163" s="52"/>
      <c r="Q163" s="52"/>
      <c r="R163" s="52"/>
      <c r="S163" s="52"/>
      <c r="T163" s="52"/>
      <c r="U163" s="52"/>
      <c r="V163" s="52"/>
      <c r="W163" s="52"/>
    </row>
    <row r="164" spans="10:23" x14ac:dyDescent="0.2">
      <c r="J164" s="52"/>
      <c r="K164" s="52"/>
      <c r="L164" s="52"/>
      <c r="M164" s="52"/>
      <c r="N164" s="52"/>
      <c r="O164" s="52"/>
      <c r="P164" s="52"/>
      <c r="Q164" s="52"/>
      <c r="R164" s="52"/>
      <c r="S164" s="52"/>
      <c r="T164" s="52"/>
      <c r="U164" s="52"/>
      <c r="V164" s="52"/>
      <c r="W164" s="52"/>
    </row>
    <row r="165" spans="10:23" x14ac:dyDescent="0.2">
      <c r="J165" s="52"/>
      <c r="K165" s="52"/>
      <c r="L165" s="52"/>
      <c r="M165" s="52"/>
      <c r="N165" s="52"/>
      <c r="O165" s="52"/>
      <c r="P165" s="52"/>
      <c r="Q165" s="52"/>
      <c r="R165" s="52"/>
      <c r="S165" s="52"/>
      <c r="T165" s="52"/>
      <c r="U165" s="52"/>
      <c r="V165" s="52"/>
      <c r="W165" s="52"/>
    </row>
    <row r="166" spans="10:23" x14ac:dyDescent="0.2">
      <c r="J166" s="52"/>
      <c r="K166" s="52"/>
      <c r="L166" s="52"/>
      <c r="M166" s="52"/>
      <c r="N166" s="52"/>
      <c r="O166" s="52"/>
      <c r="P166" s="52"/>
      <c r="Q166" s="52"/>
      <c r="R166" s="52"/>
      <c r="S166" s="52"/>
      <c r="T166" s="52"/>
      <c r="U166" s="52"/>
      <c r="V166" s="52"/>
      <c r="W166" s="52"/>
    </row>
    <row r="167" spans="10:23" x14ac:dyDescent="0.2">
      <c r="J167" s="52"/>
      <c r="K167" s="52"/>
      <c r="L167" s="52"/>
      <c r="M167" s="52"/>
      <c r="N167" s="52"/>
      <c r="O167" s="52"/>
      <c r="P167" s="52"/>
      <c r="Q167" s="52"/>
      <c r="R167" s="52"/>
      <c r="S167" s="52"/>
      <c r="T167" s="52"/>
      <c r="U167" s="52"/>
      <c r="V167" s="52"/>
      <c r="W167" s="52"/>
    </row>
    <row r="168" spans="10:23" x14ac:dyDescent="0.2">
      <c r="J168" s="52"/>
      <c r="K168" s="52"/>
      <c r="L168" s="52"/>
      <c r="M168" s="52"/>
      <c r="N168" s="52"/>
      <c r="O168" s="52"/>
      <c r="P168" s="52"/>
      <c r="Q168" s="52"/>
      <c r="R168" s="52"/>
      <c r="S168" s="52"/>
      <c r="T168" s="52"/>
      <c r="U168" s="52"/>
      <c r="V168" s="52"/>
      <c r="W168" s="52"/>
    </row>
    <row r="169" spans="10:23" x14ac:dyDescent="0.2">
      <c r="J169" s="52"/>
      <c r="K169" s="52"/>
      <c r="L169" s="52"/>
      <c r="M169" s="52"/>
      <c r="N169" s="52"/>
      <c r="O169" s="52"/>
      <c r="P169" s="52"/>
      <c r="Q169" s="52"/>
      <c r="R169" s="52"/>
      <c r="S169" s="52"/>
      <c r="T169" s="52"/>
      <c r="U169" s="52"/>
      <c r="V169" s="52"/>
      <c r="W169" s="52"/>
    </row>
    <row r="170" spans="10:23" x14ac:dyDescent="0.2">
      <c r="J170" s="52"/>
      <c r="K170" s="52"/>
      <c r="L170" s="52"/>
      <c r="M170" s="52"/>
      <c r="N170" s="52"/>
      <c r="O170" s="52"/>
      <c r="P170" s="52"/>
      <c r="Q170" s="52"/>
      <c r="R170" s="52"/>
      <c r="S170" s="52"/>
      <c r="T170" s="52"/>
      <c r="U170" s="52"/>
      <c r="V170" s="52"/>
      <c r="W170" s="52"/>
    </row>
    <row r="171" spans="10:23" x14ac:dyDescent="0.2">
      <c r="J171" s="52"/>
      <c r="K171" s="52"/>
      <c r="L171" s="52"/>
      <c r="M171" s="52"/>
      <c r="N171" s="52"/>
      <c r="O171" s="52"/>
      <c r="P171" s="52"/>
      <c r="Q171" s="52"/>
      <c r="R171" s="52"/>
      <c r="S171" s="52"/>
      <c r="T171" s="52"/>
      <c r="U171" s="52"/>
      <c r="V171" s="52"/>
      <c r="W171" s="52"/>
    </row>
    <row r="172" spans="10:23" x14ac:dyDescent="0.2">
      <c r="J172" s="52"/>
      <c r="K172" s="52"/>
      <c r="L172" s="52"/>
      <c r="M172" s="52"/>
      <c r="N172" s="52"/>
      <c r="O172" s="52"/>
      <c r="P172" s="52"/>
      <c r="Q172" s="52"/>
      <c r="R172" s="52"/>
      <c r="S172" s="52"/>
      <c r="T172" s="52"/>
      <c r="U172" s="52"/>
      <c r="V172" s="52"/>
      <c r="W172" s="52"/>
    </row>
    <row r="173" spans="10:23" x14ac:dyDescent="0.2">
      <c r="J173" s="52"/>
      <c r="K173" s="52"/>
      <c r="L173" s="52"/>
      <c r="M173" s="52"/>
      <c r="N173" s="52"/>
      <c r="O173" s="52"/>
      <c r="P173" s="52"/>
      <c r="Q173" s="52"/>
      <c r="R173" s="52"/>
      <c r="S173" s="52"/>
      <c r="T173" s="52"/>
      <c r="U173" s="52"/>
      <c r="V173" s="52"/>
      <c r="W173" s="52"/>
    </row>
    <row r="174" spans="10:23" x14ac:dyDescent="0.2">
      <c r="J174" s="52"/>
      <c r="K174" s="52"/>
      <c r="L174" s="52"/>
      <c r="M174" s="52"/>
      <c r="N174" s="52"/>
      <c r="O174" s="52"/>
      <c r="P174" s="52"/>
      <c r="Q174" s="52"/>
      <c r="R174" s="52"/>
      <c r="S174" s="52"/>
      <c r="T174" s="52"/>
      <c r="U174" s="52"/>
      <c r="V174" s="52"/>
      <c r="W174" s="52"/>
    </row>
    <row r="175" spans="10:23" x14ac:dyDescent="0.2">
      <c r="J175" s="52"/>
      <c r="K175" s="52"/>
      <c r="L175" s="52"/>
      <c r="M175" s="52"/>
      <c r="N175" s="52"/>
      <c r="O175" s="52"/>
      <c r="P175" s="52"/>
      <c r="Q175" s="52"/>
      <c r="R175" s="52"/>
      <c r="S175" s="52"/>
      <c r="T175" s="52"/>
      <c r="U175" s="52"/>
      <c r="V175" s="52"/>
      <c r="W175" s="52"/>
    </row>
    <row r="176" spans="10:23" x14ac:dyDescent="0.2">
      <c r="J176" s="52"/>
      <c r="K176" s="52"/>
      <c r="L176" s="52"/>
      <c r="M176" s="52"/>
      <c r="N176" s="52"/>
      <c r="O176" s="52"/>
      <c r="P176" s="52"/>
      <c r="Q176" s="52"/>
      <c r="R176" s="52"/>
      <c r="S176" s="52"/>
      <c r="T176" s="52"/>
      <c r="U176" s="52"/>
      <c r="V176" s="52"/>
      <c r="W176" s="52"/>
    </row>
    <row r="177" spans="10:23" x14ac:dyDescent="0.2">
      <c r="J177" s="52"/>
      <c r="K177" s="52"/>
      <c r="L177" s="52"/>
      <c r="M177" s="52"/>
      <c r="N177" s="52"/>
      <c r="O177" s="52"/>
      <c r="P177" s="52"/>
      <c r="Q177" s="52"/>
      <c r="R177" s="52"/>
      <c r="S177" s="52"/>
      <c r="T177" s="52"/>
      <c r="U177" s="52"/>
      <c r="V177" s="52"/>
      <c r="W177" s="52"/>
    </row>
    <row r="178" spans="10:23" x14ac:dyDescent="0.2">
      <c r="J178" s="52"/>
      <c r="K178" s="52"/>
      <c r="L178" s="52"/>
      <c r="M178" s="52"/>
      <c r="N178" s="52"/>
      <c r="O178" s="52"/>
      <c r="P178" s="52"/>
      <c r="Q178" s="52"/>
      <c r="R178" s="52"/>
      <c r="S178" s="52"/>
      <c r="T178" s="52"/>
      <c r="U178" s="52"/>
      <c r="V178" s="52"/>
      <c r="W178" s="52"/>
    </row>
    <row r="179" spans="10:23" x14ac:dyDescent="0.2">
      <c r="J179" s="52"/>
      <c r="K179" s="52"/>
      <c r="L179" s="52"/>
      <c r="M179" s="52"/>
      <c r="N179" s="52"/>
      <c r="O179" s="52"/>
      <c r="P179" s="52"/>
      <c r="Q179" s="52"/>
      <c r="R179" s="52"/>
      <c r="S179" s="52"/>
      <c r="T179" s="52"/>
      <c r="U179" s="52"/>
      <c r="V179" s="52"/>
      <c r="W179" s="52"/>
    </row>
    <row r="180" spans="10:23" x14ac:dyDescent="0.2">
      <c r="J180" s="52"/>
      <c r="K180" s="52"/>
      <c r="L180" s="52"/>
      <c r="M180" s="52"/>
      <c r="N180" s="52"/>
      <c r="O180" s="52"/>
      <c r="P180" s="52"/>
      <c r="Q180" s="52"/>
      <c r="R180" s="52"/>
      <c r="S180" s="52"/>
      <c r="T180" s="52"/>
      <c r="U180" s="52"/>
      <c r="V180" s="52"/>
      <c r="W180" s="52"/>
    </row>
    <row r="181" spans="10:23" x14ac:dyDescent="0.2">
      <c r="J181" s="52"/>
      <c r="K181" s="52"/>
      <c r="L181" s="52"/>
      <c r="M181" s="52"/>
      <c r="N181" s="52"/>
      <c r="O181" s="52"/>
      <c r="P181" s="52"/>
      <c r="Q181" s="52"/>
      <c r="R181" s="52"/>
      <c r="S181" s="52"/>
      <c r="T181" s="52"/>
      <c r="U181" s="52"/>
      <c r="V181" s="52"/>
      <c r="W181" s="52"/>
    </row>
    <row r="182" spans="10:23" x14ac:dyDescent="0.2">
      <c r="J182" s="52"/>
      <c r="K182" s="52"/>
      <c r="L182" s="52"/>
      <c r="M182" s="52"/>
      <c r="N182" s="52"/>
      <c r="O182" s="52"/>
      <c r="P182" s="52"/>
      <c r="Q182" s="52"/>
      <c r="R182" s="52"/>
      <c r="S182" s="52"/>
      <c r="T182" s="52"/>
      <c r="U182" s="52"/>
      <c r="V182" s="52"/>
      <c r="W182" s="52"/>
    </row>
    <row r="183" spans="10:23" x14ac:dyDescent="0.2">
      <c r="J183" s="52"/>
      <c r="K183" s="52"/>
      <c r="L183" s="52"/>
      <c r="M183" s="52"/>
      <c r="N183" s="52"/>
      <c r="O183" s="52"/>
      <c r="P183" s="52"/>
      <c r="Q183" s="52"/>
      <c r="R183" s="52"/>
      <c r="S183" s="52"/>
      <c r="T183" s="52"/>
      <c r="U183" s="52"/>
      <c r="V183" s="52"/>
      <c r="W183" s="52"/>
    </row>
    <row r="184" spans="10:23" x14ac:dyDescent="0.2">
      <c r="J184" s="52"/>
      <c r="K184" s="52"/>
      <c r="L184" s="52"/>
      <c r="M184" s="52"/>
      <c r="N184" s="52"/>
      <c r="O184" s="52"/>
      <c r="P184" s="52"/>
      <c r="Q184" s="52"/>
      <c r="R184" s="52"/>
      <c r="S184" s="52"/>
      <c r="T184" s="52"/>
      <c r="U184" s="52"/>
      <c r="V184" s="52"/>
      <c r="W184" s="52"/>
    </row>
    <row r="185" spans="10:23" x14ac:dyDescent="0.2">
      <c r="J185" s="52"/>
      <c r="K185" s="52"/>
      <c r="L185" s="52"/>
      <c r="M185" s="52"/>
      <c r="N185" s="52"/>
      <c r="O185" s="52"/>
      <c r="P185" s="52"/>
      <c r="Q185" s="52"/>
      <c r="R185" s="52"/>
      <c r="S185" s="52"/>
      <c r="T185" s="52"/>
      <c r="U185" s="52"/>
      <c r="V185" s="52"/>
      <c r="W185" s="52"/>
    </row>
    <row r="186" spans="10:23" x14ac:dyDescent="0.2">
      <c r="J186" s="52"/>
      <c r="K186" s="52"/>
      <c r="L186" s="52"/>
      <c r="M186" s="52"/>
      <c r="N186" s="52"/>
      <c r="O186" s="52"/>
      <c r="P186" s="52"/>
      <c r="Q186" s="52"/>
      <c r="R186" s="52"/>
      <c r="S186" s="52"/>
      <c r="T186" s="52"/>
      <c r="U186" s="52"/>
      <c r="V186" s="52"/>
      <c r="W186" s="52"/>
    </row>
    <row r="187" spans="10:23" x14ac:dyDescent="0.2">
      <c r="J187" s="52"/>
      <c r="K187" s="52"/>
      <c r="L187" s="52"/>
      <c r="M187" s="52"/>
      <c r="N187" s="52"/>
      <c r="O187" s="52"/>
      <c r="P187" s="52"/>
      <c r="Q187" s="52"/>
      <c r="R187" s="52"/>
      <c r="S187" s="52"/>
      <c r="T187" s="52"/>
      <c r="U187" s="52"/>
      <c r="V187" s="52"/>
      <c r="W187" s="52"/>
    </row>
    <row r="188" spans="10:23" x14ac:dyDescent="0.2">
      <c r="J188" s="52"/>
      <c r="K188" s="52"/>
      <c r="L188" s="52"/>
      <c r="M188" s="52"/>
      <c r="N188" s="52"/>
      <c r="O188" s="52"/>
      <c r="P188" s="52"/>
      <c r="Q188" s="52"/>
      <c r="R188" s="52"/>
      <c r="S188" s="52"/>
      <c r="T188" s="52"/>
      <c r="U188" s="52"/>
      <c r="V188" s="52"/>
      <c r="W188" s="52"/>
    </row>
  </sheetData>
  <sheetProtection algorithmName="SHA-512" hashValue="Fx9BtCRl2CxkpO5ptFikMVZ0EMXnv7lFONl833RGDk8HFNC8uaKYR9ovSJisJxn4Eeu9yUp7hRRo3nmuSWunkA==" saltValue="YFsvKSJMnd3A1Wm94LcAlA==" spinCount="100000" sheet="1" objects="1" scenarios="1"/>
  <mergeCells count="82">
    <mergeCell ref="D128:E128"/>
    <mergeCell ref="D20:E20"/>
    <mergeCell ref="D79:E79"/>
    <mergeCell ref="D46:E46"/>
    <mergeCell ref="D58:E58"/>
    <mergeCell ref="D56:E56"/>
    <mergeCell ref="D40:E40"/>
    <mergeCell ref="D32:E32"/>
    <mergeCell ref="D21:E21"/>
    <mergeCell ref="D27:E27"/>
    <mergeCell ref="D26:E26"/>
    <mergeCell ref="D22:E22"/>
    <mergeCell ref="D36:E36"/>
    <mergeCell ref="D37:E37"/>
    <mergeCell ref="D38:E38"/>
    <mergeCell ref="D39:E39"/>
    <mergeCell ref="B11:B12"/>
    <mergeCell ref="E3:H3"/>
    <mergeCell ref="J4:K5"/>
    <mergeCell ref="D61:E61"/>
    <mergeCell ref="D13:E13"/>
    <mergeCell ref="C4:H4"/>
    <mergeCell ref="E9:H9"/>
    <mergeCell ref="C9:D9"/>
    <mergeCell ref="J9:N9"/>
    <mergeCell ref="D19:E19"/>
    <mergeCell ref="D18:E18"/>
    <mergeCell ref="D17:E17"/>
    <mergeCell ref="D16:E16"/>
    <mergeCell ref="D15:E15"/>
    <mergeCell ref="D60:E60"/>
    <mergeCell ref="J2:L2"/>
    <mergeCell ref="N2:P2"/>
    <mergeCell ref="D11:E12"/>
    <mergeCell ref="C2:H2"/>
    <mergeCell ref="D57:E57"/>
    <mergeCell ref="D80:E80"/>
    <mergeCell ref="D81:E81"/>
    <mergeCell ref="D82:E82"/>
    <mergeCell ref="D88:E88"/>
    <mergeCell ref="D89:E89"/>
    <mergeCell ref="D90:E90"/>
    <mergeCell ref="D91:E91"/>
    <mergeCell ref="D92:E92"/>
    <mergeCell ref="D93:E93"/>
    <mergeCell ref="D94:E94"/>
    <mergeCell ref="D95:E95"/>
    <mergeCell ref="D96:E96"/>
    <mergeCell ref="D98:E98"/>
    <mergeCell ref="D99:E99"/>
    <mergeCell ref="D100:E100"/>
    <mergeCell ref="D97:E97"/>
    <mergeCell ref="D101:E101"/>
    <mergeCell ref="D103:E103"/>
    <mergeCell ref="D104:E104"/>
    <mergeCell ref="D112:E112"/>
    <mergeCell ref="D113:E113"/>
    <mergeCell ref="D102:E102"/>
    <mergeCell ref="D114:E114"/>
    <mergeCell ref="D115:E115"/>
    <mergeCell ref="D105:E105"/>
    <mergeCell ref="D107:E107"/>
    <mergeCell ref="D108:E108"/>
    <mergeCell ref="D109:E109"/>
    <mergeCell ref="D110:E110"/>
    <mergeCell ref="D106:E106"/>
    <mergeCell ref="D132:E132"/>
    <mergeCell ref="D133:E133"/>
    <mergeCell ref="J30:K30"/>
    <mergeCell ref="J37:K37"/>
    <mergeCell ref="J14:K14"/>
    <mergeCell ref="D124:E124"/>
    <mergeCell ref="D125:E125"/>
    <mergeCell ref="D127:E127"/>
    <mergeCell ref="D129:E129"/>
    <mergeCell ref="D131:E131"/>
    <mergeCell ref="D116:E116"/>
    <mergeCell ref="D117:E117"/>
    <mergeCell ref="D118:E118"/>
    <mergeCell ref="D119:E119"/>
    <mergeCell ref="D123:E123"/>
    <mergeCell ref="D111:E111"/>
  </mergeCells>
  <phoneticPr fontId="10" type="noConversion"/>
  <hyperlinks>
    <hyperlink ref="D28" location="Lönekostnader!A1" display="Penninglönekostnader (ArPL - anställda och ArPL - företagare)" xr:uid="{00000000-0004-0000-0100-000000000000}"/>
  </hyperlinks>
  <printOptions horizontalCentered="1"/>
  <pageMargins left="0.23622047244094491" right="0.23622047244094491" top="0.74803149606299213" bottom="0.74803149606299213" header="0.31496062992125984" footer="0.31496062992125984"/>
  <pageSetup paperSize="9" scale="87" orientation="portrait" r:id="rId1"/>
  <headerFooter alignWithMargins="0">
    <oddFooter xml:space="preserve">&amp;C&amp;8FT5 Nyföretagets ekonomiplan </oddFooter>
  </headerFooter>
  <rowBreaks count="1" manualBreakCount="1">
    <brk id="68" min="2" max="19" man="1"/>
  </rowBreaks>
  <colBreaks count="1" manualBreakCount="1">
    <brk id="8" min="3" max="131" man="1"/>
  </col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ul4">
    <tabColor rgb="FFFFFF00"/>
  </sheetPr>
  <dimension ref="A1:T224"/>
  <sheetViews>
    <sheetView showGridLines="0" showZeros="0" zoomScaleNormal="100" workbookViewId="0">
      <selection activeCell="Q25" sqref="Q25"/>
    </sheetView>
  </sheetViews>
  <sheetFormatPr defaultRowHeight="12.75" x14ac:dyDescent="0.2"/>
  <cols>
    <col min="1" max="1" width="7.42578125" customWidth="1"/>
    <col min="2" max="2" width="34" customWidth="1"/>
    <col min="3" max="5" width="11.7109375" customWidth="1"/>
    <col min="6" max="6" width="14.5703125" customWidth="1"/>
    <col min="7" max="7" width="6.7109375" customWidth="1"/>
    <col min="8" max="8" width="6.5703125" customWidth="1"/>
    <col min="9" max="9" width="6.28515625" customWidth="1"/>
    <col min="10" max="10" width="2.140625" customWidth="1"/>
    <col min="11" max="20" width="9.28515625" customWidth="1"/>
  </cols>
  <sheetData>
    <row r="1" spans="1:20" x14ac:dyDescent="0.2">
      <c r="A1" s="286" t="s">
        <v>547</v>
      </c>
      <c r="B1" s="1649"/>
      <c r="C1" s="1649"/>
      <c r="D1" s="1649"/>
      <c r="E1" s="1649"/>
      <c r="F1" s="1649"/>
      <c r="G1" s="1649"/>
      <c r="H1" s="1649"/>
    </row>
    <row r="2" spans="1:20" ht="15" customHeight="1" x14ac:dyDescent="0.2">
      <c r="B2" s="1632" t="s">
        <v>236</v>
      </c>
      <c r="C2" s="1632"/>
      <c r="D2" s="1632"/>
      <c r="E2" s="1632"/>
      <c r="F2" s="1632"/>
      <c r="G2" s="1632"/>
      <c r="H2" s="1632"/>
      <c r="I2" s="1632"/>
      <c r="K2" s="1648" t="s">
        <v>239</v>
      </c>
      <c r="L2" s="1648"/>
      <c r="M2" s="1648"/>
      <c r="O2" s="1647" t="s">
        <v>240</v>
      </c>
      <c r="P2" s="1647"/>
      <c r="Q2" s="1647"/>
      <c r="R2" s="1354"/>
    </row>
    <row r="3" spans="1:20" ht="5.0999999999999996" customHeight="1" x14ac:dyDescent="0.25">
      <c r="B3" s="485"/>
      <c r="C3" s="485"/>
      <c r="D3" s="1635"/>
      <c r="E3" s="1635"/>
      <c r="F3" s="1635"/>
      <c r="G3" s="1635"/>
    </row>
    <row r="4" spans="1:20" ht="17.25" customHeight="1" x14ac:dyDescent="0.3">
      <c r="B4" s="1638" t="s">
        <v>312</v>
      </c>
      <c r="C4" s="1638"/>
      <c r="D4" s="1638"/>
      <c r="E4" s="1638"/>
      <c r="F4" s="1638"/>
      <c r="G4" s="1638"/>
      <c r="H4" s="1638"/>
      <c r="I4" s="1638"/>
    </row>
    <row r="5" spans="1:20" ht="11.65" customHeight="1" x14ac:dyDescent="0.2">
      <c r="B5" s="101" t="str">
        <f>'K1 Kostnader'!C5</f>
        <v>Tjänsten erbjuds av</v>
      </c>
      <c r="D5" s="71"/>
      <c r="F5" s="1"/>
      <c r="G5" s="486" t="s">
        <v>0</v>
      </c>
      <c r="I5" s="2"/>
      <c r="K5" s="400"/>
      <c r="L5" s="400"/>
    </row>
    <row r="6" spans="1:20" ht="12" customHeight="1" x14ac:dyDescent="0.2">
      <c r="B6" s="505" t="str">
        <f>'K1 Kostnader'!C6</f>
        <v>Business Kristinestad och Dynamo Närpes</v>
      </c>
      <c r="C6" s="101"/>
      <c r="D6" s="2"/>
      <c r="E6" s="33"/>
      <c r="F6" s="36"/>
      <c r="G6" s="36"/>
    </row>
    <row r="7" spans="1:20" ht="12" customHeight="1" x14ac:dyDescent="0.2">
      <c r="B7" s="487"/>
      <c r="C7" s="101"/>
      <c r="D7" s="2"/>
      <c r="E7" s="33"/>
      <c r="F7" s="36"/>
      <c r="G7" s="36"/>
    </row>
    <row r="8" spans="1:20" ht="12" customHeight="1" x14ac:dyDescent="0.2">
      <c r="B8" s="480" t="s">
        <v>238</v>
      </c>
      <c r="F8" s="39" t="s">
        <v>0</v>
      </c>
      <c r="G8" s="39"/>
      <c r="H8" s="112"/>
      <c r="I8" s="292"/>
    </row>
    <row r="9" spans="1:20" ht="13.5" customHeight="1" x14ac:dyDescent="0.2">
      <c r="B9" s="1652">
        <f>'K1 Kostnader'!$C$9</f>
        <v>0</v>
      </c>
      <c r="C9" s="1652"/>
      <c r="D9" s="1652"/>
      <c r="E9" s="1652"/>
      <c r="F9" s="1651"/>
      <c r="G9" s="1651"/>
      <c r="H9" s="1651"/>
      <c r="I9" s="1651"/>
    </row>
    <row r="10" spans="1:20" ht="7.35" customHeight="1" x14ac:dyDescent="0.2">
      <c r="B10" s="1"/>
      <c r="C10" s="1"/>
      <c r="D10" s="1"/>
      <c r="E10" s="1"/>
      <c r="F10" s="113"/>
      <c r="G10" s="113"/>
      <c r="H10" s="113"/>
    </row>
    <row r="11" spans="1:20" ht="12.75" customHeight="1" x14ac:dyDescent="0.2">
      <c r="B11" s="1653">
        <f>IF(C13=12,0,"OBSERVERA RÄKENSKAPSPERIODEN LÄNGD!")</f>
        <v>0</v>
      </c>
      <c r="C11" s="1108" t="s">
        <v>313</v>
      </c>
      <c r="D11" s="1108" t="s">
        <v>314</v>
      </c>
      <c r="E11" s="1108" t="s">
        <v>315</v>
      </c>
      <c r="F11" s="1"/>
      <c r="G11" s="1"/>
      <c r="K11" s="1036"/>
    </row>
    <row r="12" spans="1:20" ht="12" customHeight="1" x14ac:dyDescent="0.2">
      <c r="B12" s="1653"/>
      <c r="C12" s="1138">
        <f>'K1 Kostnader'!F$12</f>
        <v>2026</v>
      </c>
      <c r="D12" s="1138">
        <f>'K1 Kostnader'!G$12</f>
        <v>2027</v>
      </c>
      <c r="E12" s="1138">
        <f>'K1 Kostnader'!H$12</f>
        <v>2028</v>
      </c>
      <c r="L12" s="271">
        <f>B9</f>
        <v>0</v>
      </c>
      <c r="M12" s="271"/>
    </row>
    <row r="13" spans="1:20" ht="12" customHeight="1" x14ac:dyDescent="0.2">
      <c r="B13" s="1107" t="s">
        <v>316</v>
      </c>
      <c r="C13" s="1139">
        <f>'K1 Kostnader'!F13</f>
        <v>12</v>
      </c>
      <c r="D13" s="1139">
        <f>'K1 Kostnader'!G13</f>
        <v>12</v>
      </c>
      <c r="E13" s="1139">
        <f>'K1 Kostnader'!H13</f>
        <v>12</v>
      </c>
      <c r="L13" s="271"/>
      <c r="M13" s="271"/>
    </row>
    <row r="14" spans="1:20" ht="4.5" customHeight="1" x14ac:dyDescent="0.2">
      <c r="B14" s="14"/>
      <c r="C14" s="100"/>
      <c r="D14" s="100"/>
      <c r="E14" s="100"/>
      <c r="F14" s="99"/>
      <c r="G14" s="99"/>
      <c r="H14" s="99"/>
      <c r="I14" s="99"/>
    </row>
    <row r="15" spans="1:20" ht="12" customHeight="1" x14ac:dyDescent="0.2">
      <c r="A15" s="1483" t="s">
        <v>695</v>
      </c>
      <c r="B15" s="367" t="s">
        <v>317</v>
      </c>
      <c r="C15" s="337">
        <v>0.255</v>
      </c>
      <c r="D15" s="337">
        <f>C15</f>
        <v>0.255</v>
      </c>
      <c r="E15" s="1110">
        <f>D15</f>
        <v>0.255</v>
      </c>
      <c r="F15" s="1367"/>
      <c r="G15" s="1236">
        <f>D12</f>
        <v>2027</v>
      </c>
      <c r="H15" s="1236">
        <f>E12</f>
        <v>2028</v>
      </c>
      <c r="I15" s="1368"/>
      <c r="K15" s="1025" t="s">
        <v>310</v>
      </c>
      <c r="L15" s="1030"/>
      <c r="M15" s="1030"/>
      <c r="N15" s="1030"/>
      <c r="O15" s="1030"/>
      <c r="P15" s="1030"/>
      <c r="Q15" s="1030"/>
      <c r="R15" s="1030"/>
      <c r="S15" s="1030"/>
      <c r="T15" s="1031"/>
    </row>
    <row r="16" spans="1:20" ht="12" customHeight="1" x14ac:dyDescent="0.2">
      <c r="B16" s="364" t="s">
        <v>755</v>
      </c>
      <c r="C16" s="1228">
        <v>0</v>
      </c>
      <c r="D16" s="770">
        <f>C16*(1+G16)</f>
        <v>0</v>
      </c>
      <c r="E16" s="1119">
        <f>D16*(1+H16)</f>
        <v>0</v>
      </c>
      <c r="F16" s="1127" t="s">
        <v>682</v>
      </c>
      <c r="G16" s="1110">
        <v>0.03</v>
      </c>
      <c r="H16" s="1111">
        <f>G16</f>
        <v>0.03</v>
      </c>
      <c r="I16" s="1242"/>
      <c r="K16" s="1032"/>
      <c r="L16" s="1033"/>
      <c r="M16" s="1033"/>
      <c r="N16" s="1033"/>
      <c r="O16" s="1033"/>
      <c r="P16" s="751"/>
      <c r="Q16" s="751"/>
      <c r="R16" s="751"/>
      <c r="S16" s="751"/>
      <c r="T16" s="1020"/>
    </row>
    <row r="17" spans="1:20" ht="12" customHeight="1" x14ac:dyDescent="0.2">
      <c r="A17" s="162"/>
      <c r="B17" s="364" t="s">
        <v>318</v>
      </c>
      <c r="C17" s="1229">
        <v>0</v>
      </c>
      <c r="D17" s="773">
        <f>C17*12/C$13+G17*C17*12/C$13</f>
        <v>0</v>
      </c>
      <c r="E17" s="1120">
        <f>D17*(1+H17)</f>
        <v>0</v>
      </c>
      <c r="F17" s="1127" t="s">
        <v>681</v>
      </c>
      <c r="G17" s="1110">
        <v>0</v>
      </c>
      <c r="H17" s="1111">
        <f>G17</f>
        <v>0</v>
      </c>
      <c r="I17" s="1242"/>
      <c r="K17" s="701"/>
      <c r="L17" s="751"/>
      <c r="M17" s="751"/>
      <c r="N17" s="751"/>
      <c r="O17" s="751"/>
      <c r="P17" s="751"/>
      <c r="Q17" s="751"/>
      <c r="R17" s="751"/>
      <c r="S17" s="751"/>
      <c r="T17" s="1020"/>
    </row>
    <row r="18" spans="1:20" ht="12" customHeight="1" x14ac:dyDescent="0.2">
      <c r="B18" s="364" t="s">
        <v>756</v>
      </c>
      <c r="C18" s="774">
        <f>IF(C16=0,0,C17*C16/(1+C15))</f>
        <v>0</v>
      </c>
      <c r="D18" s="774">
        <f>IF(D16=0,0,D17*D16/(1+D15))</f>
        <v>0</v>
      </c>
      <c r="E18" s="1121">
        <f>IF(E16=0,0,E17*E16/(1+E15))</f>
        <v>0</v>
      </c>
      <c r="F18" s="1127"/>
      <c r="G18" s="362"/>
      <c r="H18" s="362"/>
      <c r="I18" s="1252"/>
      <c r="K18" s="701"/>
      <c r="L18" s="751"/>
      <c r="M18" s="751"/>
      <c r="N18" s="751"/>
      <c r="O18" s="751"/>
      <c r="P18" s="751"/>
      <c r="Q18" s="751"/>
      <c r="R18" s="751"/>
      <c r="S18" s="751"/>
      <c r="T18" s="1020"/>
    </row>
    <row r="19" spans="1:20" ht="12" customHeight="1" x14ac:dyDescent="0.2">
      <c r="A19" s="162"/>
      <c r="B19" s="364" t="s">
        <v>757</v>
      </c>
      <c r="C19" s="770">
        <v>0</v>
      </c>
      <c r="D19" s="770">
        <f>C19*(1+G19)</f>
        <v>0</v>
      </c>
      <c r="E19" s="1119">
        <f>D19*(1+H19)</f>
        <v>0</v>
      </c>
      <c r="F19" s="1127" t="s">
        <v>683</v>
      </c>
      <c r="G19" s="1110">
        <v>0.03</v>
      </c>
      <c r="H19" s="1111">
        <f>G19</f>
        <v>0.03</v>
      </c>
      <c r="I19" s="1242"/>
      <c r="K19" s="701"/>
      <c r="L19" s="751"/>
      <c r="M19" s="751"/>
      <c r="N19" s="751"/>
      <c r="O19" s="751"/>
      <c r="P19" s="751"/>
      <c r="Q19" s="751"/>
      <c r="R19" s="751"/>
      <c r="S19" s="751"/>
      <c r="T19" s="1020"/>
    </row>
    <row r="20" spans="1:20" ht="12" customHeight="1" x14ac:dyDescent="0.2">
      <c r="A20" s="2"/>
      <c r="B20" s="364" t="s">
        <v>319</v>
      </c>
      <c r="C20" s="338">
        <v>0</v>
      </c>
      <c r="D20" s="338">
        <f>C20</f>
        <v>0</v>
      </c>
      <c r="E20" s="1110">
        <f>D20</f>
        <v>0</v>
      </c>
      <c r="F20" s="1128" t="s">
        <v>0</v>
      </c>
      <c r="G20" s="898"/>
      <c r="H20" s="898"/>
      <c r="I20" s="1238"/>
      <c r="K20" s="701"/>
      <c r="L20" s="751"/>
      <c r="M20" s="751"/>
      <c r="N20" s="751"/>
      <c r="O20" s="751"/>
      <c r="P20" s="751"/>
      <c r="Q20" s="751"/>
      <c r="R20" s="751"/>
      <c r="S20" s="751"/>
      <c r="T20" s="1020"/>
    </row>
    <row r="21" spans="1:20" ht="12" customHeight="1" x14ac:dyDescent="0.2">
      <c r="A21" s="162"/>
      <c r="B21" s="364" t="s">
        <v>320</v>
      </c>
      <c r="C21" s="775">
        <f>IF(C16=0,0,(C16-(C19+(C19*C20)))/C16)</f>
        <v>0</v>
      </c>
      <c r="D21" s="775">
        <f>IF(D16=0,0,(D16-(D19+(D19*D20)))/D16)</f>
        <v>0</v>
      </c>
      <c r="E21" s="1122">
        <f>IF(E16=0,0,(E16-(E19+(E19*E20)))/E16)</f>
        <v>0</v>
      </c>
      <c r="F21" s="1128"/>
      <c r="G21" s="898"/>
      <c r="H21" s="898"/>
      <c r="I21" s="1238"/>
      <c r="K21" s="701"/>
      <c r="L21" s="751"/>
      <c r="M21" s="751"/>
      <c r="N21" s="751"/>
      <c r="O21" s="751"/>
      <c r="P21" s="751"/>
      <c r="Q21" s="751"/>
      <c r="R21" s="751"/>
      <c r="S21" s="751"/>
      <c r="T21" s="1020"/>
    </row>
    <row r="22" spans="1:20" ht="12" customHeight="1" x14ac:dyDescent="0.2">
      <c r="B22" s="364" t="s">
        <v>758</v>
      </c>
      <c r="C22" s="776">
        <f>IF(C19=0,0,(C19/(1-C20))/(1+C15))</f>
        <v>0</v>
      </c>
      <c r="D22" s="776">
        <f>IF(D19=0,0,(D19/(1-D20))/(1+D15))</f>
        <v>0</v>
      </c>
      <c r="E22" s="1123">
        <f>IF(E19=0,0,(E19/(1-E20))/(1+E15))</f>
        <v>0</v>
      </c>
      <c r="F22" s="1128"/>
      <c r="G22" s="898"/>
      <c r="H22" s="898"/>
      <c r="I22" s="1238"/>
      <c r="K22" s="701"/>
      <c r="L22" s="751"/>
      <c r="M22" s="751"/>
      <c r="N22" s="751"/>
      <c r="O22" s="751"/>
      <c r="P22" s="751"/>
      <c r="Q22" s="751"/>
      <c r="R22" s="751"/>
      <c r="S22" s="751"/>
      <c r="T22" s="1020"/>
    </row>
    <row r="23" spans="1:20" ht="12" customHeight="1" x14ac:dyDescent="0.2">
      <c r="A23" s="162"/>
      <c r="B23" s="364" t="s">
        <v>759</v>
      </c>
      <c r="C23" s="774">
        <f>C22*C17</f>
        <v>0</v>
      </c>
      <c r="D23" s="774">
        <f>D22*D17</f>
        <v>0</v>
      </c>
      <c r="E23" s="1121">
        <f>E22*E17</f>
        <v>0</v>
      </c>
      <c r="F23" s="1128"/>
      <c r="G23" s="898"/>
      <c r="H23" s="898"/>
      <c r="I23" s="1238"/>
      <c r="K23" s="701"/>
      <c r="L23" s="751"/>
      <c r="M23" s="751"/>
      <c r="N23" s="751"/>
      <c r="O23" s="751"/>
      <c r="P23" s="751"/>
      <c r="Q23" s="751"/>
      <c r="R23" s="751"/>
      <c r="S23" s="751"/>
      <c r="T23" s="1020"/>
    </row>
    <row r="24" spans="1:20" s="52" customFormat="1" ht="4.5" customHeight="1" x14ac:dyDescent="0.2">
      <c r="B24" s="1130"/>
      <c r="C24" s="1131"/>
      <c r="D24" s="1131"/>
      <c r="E24" s="1131"/>
      <c r="F24" s="1239"/>
      <c r="G24" s="1112"/>
      <c r="H24" s="1112"/>
      <c r="I24" s="1240"/>
      <c r="K24" s="1034"/>
      <c r="L24" s="161"/>
      <c r="M24" s="161"/>
      <c r="N24" s="161"/>
      <c r="O24" s="161"/>
      <c r="P24" s="161"/>
      <c r="Q24" s="161"/>
      <c r="R24" s="161"/>
      <c r="S24" s="161"/>
      <c r="T24" s="1371"/>
    </row>
    <row r="25" spans="1:20" ht="12" customHeight="1" x14ac:dyDescent="0.2">
      <c r="A25" s="162"/>
      <c r="B25" s="367">
        <v>0</v>
      </c>
      <c r="C25" s="337">
        <v>0.255</v>
      </c>
      <c r="D25" s="337">
        <f>C25</f>
        <v>0.255</v>
      </c>
      <c r="E25" s="1110">
        <f>D25</f>
        <v>0.255</v>
      </c>
      <c r="F25" s="1241"/>
      <c r="G25" s="340">
        <f>D12</f>
        <v>2027</v>
      </c>
      <c r="H25" s="1109">
        <f>E12</f>
        <v>2028</v>
      </c>
      <c r="I25" s="1237"/>
      <c r="K25" s="701"/>
      <c r="L25" s="751"/>
      <c r="M25" s="751"/>
      <c r="N25" s="751"/>
      <c r="O25" s="751"/>
      <c r="P25" s="751"/>
      <c r="Q25" s="751"/>
      <c r="R25" s="751"/>
      <c r="S25" s="751"/>
      <c r="T25" s="1020"/>
    </row>
    <row r="26" spans="1:20" ht="12" customHeight="1" x14ac:dyDescent="0.2">
      <c r="A26" s="2"/>
      <c r="B26" s="364" t="s">
        <v>755</v>
      </c>
      <c r="C26" s="770">
        <v>0</v>
      </c>
      <c r="D26" s="770">
        <f>C26*(1+G26)</f>
        <v>0</v>
      </c>
      <c r="E26" s="1119">
        <f>D26*(1+H26)</f>
        <v>0</v>
      </c>
      <c r="F26" s="1127" t="s">
        <v>682</v>
      </c>
      <c r="G26" s="1110">
        <v>0.03</v>
      </c>
      <c r="H26" s="1111">
        <f>G26</f>
        <v>0.03</v>
      </c>
      <c r="I26" s="1242"/>
      <c r="K26" s="701"/>
      <c r="L26" s="751"/>
      <c r="M26" s="751"/>
      <c r="N26" s="751"/>
      <c r="O26" s="751"/>
      <c r="P26" s="751"/>
      <c r="Q26" s="751"/>
      <c r="R26" s="751"/>
      <c r="S26" s="751"/>
      <c r="T26" s="1020"/>
    </row>
    <row r="27" spans="1:20" ht="12" customHeight="1" x14ac:dyDescent="0.2">
      <c r="B27" s="364" t="s">
        <v>318</v>
      </c>
      <c r="C27" s="772">
        <v>0</v>
      </c>
      <c r="D27" s="773">
        <f>C27*12/C$13+G27*C27*12/C$13</f>
        <v>0</v>
      </c>
      <c r="E27" s="1120">
        <f>D27*(1+H27)</f>
        <v>0</v>
      </c>
      <c r="F27" s="1127" t="s">
        <v>681</v>
      </c>
      <c r="G27" s="1110">
        <v>0</v>
      </c>
      <c r="H27" s="1111">
        <f>G27</f>
        <v>0</v>
      </c>
      <c r="I27" s="1242"/>
      <c r="K27" s="701"/>
      <c r="L27" s="751"/>
      <c r="M27" s="751"/>
      <c r="N27" s="751"/>
      <c r="O27" s="751"/>
      <c r="P27" s="751"/>
      <c r="Q27" s="751"/>
      <c r="R27" s="751"/>
      <c r="S27" s="751"/>
      <c r="T27" s="1020"/>
    </row>
    <row r="28" spans="1:20" ht="12" customHeight="1" x14ac:dyDescent="0.2">
      <c r="B28" s="364" t="s">
        <v>756</v>
      </c>
      <c r="C28" s="774">
        <f>IF(C26=0,0,C27*C26/(1+C25))</f>
        <v>0</v>
      </c>
      <c r="D28" s="774">
        <f>IF(D26=0,0,D27*D26/(1+D25))</f>
        <v>0</v>
      </c>
      <c r="E28" s="1121">
        <f>IF(E26=0,0,E27*E26/(1+E25))</f>
        <v>0</v>
      </c>
      <c r="F28" s="1127"/>
      <c r="G28" s="362"/>
      <c r="H28" s="362"/>
      <c r="I28" s="1252"/>
      <c r="K28" s="701"/>
      <c r="L28" s="751"/>
      <c r="M28" s="751"/>
      <c r="N28" s="751"/>
      <c r="O28" s="751"/>
      <c r="P28" s="751"/>
      <c r="Q28" s="751"/>
      <c r="R28" s="751"/>
      <c r="S28" s="751"/>
      <c r="T28" s="1020"/>
    </row>
    <row r="29" spans="1:20" ht="12" customHeight="1" x14ac:dyDescent="0.2">
      <c r="B29" s="364" t="s">
        <v>757</v>
      </c>
      <c r="C29" s="770">
        <v>0</v>
      </c>
      <c r="D29" s="770">
        <f>C29*(1+G29)</f>
        <v>0</v>
      </c>
      <c r="E29" s="1119">
        <f>D29*(1+H29)</f>
        <v>0</v>
      </c>
      <c r="F29" s="1127" t="s">
        <v>683</v>
      </c>
      <c r="G29" s="1110">
        <v>0.03</v>
      </c>
      <c r="H29" s="1111">
        <f>G29</f>
        <v>0.03</v>
      </c>
      <c r="I29" s="1242"/>
      <c r="K29" s="701"/>
      <c r="L29" s="751"/>
      <c r="M29" s="751"/>
      <c r="N29" s="751"/>
      <c r="O29" s="751"/>
      <c r="P29" s="751"/>
      <c r="Q29" s="751"/>
      <c r="R29" s="751"/>
      <c r="S29" s="751"/>
      <c r="T29" s="1020"/>
    </row>
    <row r="30" spans="1:20" ht="12" customHeight="1" x14ac:dyDescent="0.2">
      <c r="B30" s="364" t="s">
        <v>319</v>
      </c>
      <c r="C30" s="338">
        <v>0</v>
      </c>
      <c r="D30" s="338">
        <f>C30</f>
        <v>0</v>
      </c>
      <c r="E30" s="1110">
        <f>D30</f>
        <v>0</v>
      </c>
      <c r="F30" s="1128"/>
      <c r="G30" s="898"/>
      <c r="H30" s="898"/>
      <c r="I30" s="1238"/>
      <c r="K30" s="701"/>
      <c r="L30" s="751"/>
      <c r="M30" s="751"/>
      <c r="N30" s="751"/>
      <c r="O30" s="751"/>
      <c r="P30" s="751"/>
      <c r="Q30" s="751"/>
      <c r="R30" s="751"/>
      <c r="S30" s="751"/>
      <c r="T30" s="1020"/>
    </row>
    <row r="31" spans="1:20" ht="12" customHeight="1" x14ac:dyDescent="0.2">
      <c r="B31" s="364" t="s">
        <v>320</v>
      </c>
      <c r="C31" s="775">
        <f>IF(C26=0,0,(C26-(C29+(C29*C30)))/C26)</f>
        <v>0</v>
      </c>
      <c r="D31" s="775">
        <f>IF(D26=0,0,(D26-(D29+(D29*D30)))/D26)</f>
        <v>0</v>
      </c>
      <c r="E31" s="1122">
        <f>IF(E26=0,0,(E26-(E29+(E29*E30)))/E26)</f>
        <v>0</v>
      </c>
      <c r="F31" s="1128"/>
      <c r="G31" s="898"/>
      <c r="H31" s="898"/>
      <c r="I31" s="1238"/>
      <c r="K31" s="701"/>
      <c r="L31" s="751"/>
      <c r="M31" s="751"/>
      <c r="N31" s="751"/>
      <c r="O31" s="751"/>
      <c r="P31" s="751"/>
      <c r="Q31" s="751"/>
      <c r="R31" s="751"/>
      <c r="S31" s="751"/>
      <c r="T31" s="1020"/>
    </row>
    <row r="32" spans="1:20" ht="12" customHeight="1" x14ac:dyDescent="0.2">
      <c r="B32" s="364" t="s">
        <v>758</v>
      </c>
      <c r="C32" s="776">
        <f>IF(C29=0,0,(C29/(1-C30))/(1+C25))</f>
        <v>0</v>
      </c>
      <c r="D32" s="776">
        <f>IF(D29=0,0,(D29/(1-D30))/(1+D25))</f>
        <v>0</v>
      </c>
      <c r="E32" s="1123">
        <f>IF(E29=0,0,(E29/(1-E30))/(1+E25))</f>
        <v>0</v>
      </c>
      <c r="F32" s="1128"/>
      <c r="G32" s="898"/>
      <c r="H32" s="898"/>
      <c r="I32" s="1238"/>
      <c r="K32" s="701"/>
      <c r="L32" s="751"/>
      <c r="M32" s="751"/>
      <c r="N32" s="751"/>
      <c r="O32" s="751"/>
      <c r="P32" s="751"/>
      <c r="Q32" s="751"/>
      <c r="R32" s="751"/>
      <c r="S32" s="751"/>
      <c r="T32" s="1020"/>
    </row>
    <row r="33" spans="2:20" ht="12" customHeight="1" x14ac:dyDescent="0.2">
      <c r="B33" s="364" t="s">
        <v>759</v>
      </c>
      <c r="C33" s="774">
        <f>C32*C27</f>
        <v>0</v>
      </c>
      <c r="D33" s="774">
        <f>D32*D27</f>
        <v>0</v>
      </c>
      <c r="E33" s="1121">
        <f>E32*E27</f>
        <v>0</v>
      </c>
      <c r="F33" s="1128"/>
      <c r="G33" s="898"/>
      <c r="H33" s="898"/>
      <c r="I33" s="1238"/>
      <c r="K33" s="701"/>
      <c r="L33" s="751"/>
      <c r="M33" s="751"/>
      <c r="N33" s="751"/>
      <c r="O33" s="751"/>
      <c r="P33" s="751"/>
      <c r="Q33" s="751"/>
      <c r="R33" s="751"/>
      <c r="S33" s="751"/>
      <c r="T33" s="1020"/>
    </row>
    <row r="34" spans="2:20" s="52" customFormat="1" ht="4.5" customHeight="1" x14ac:dyDescent="0.2">
      <c r="B34" s="1130"/>
      <c r="C34" s="1131"/>
      <c r="D34" s="1131"/>
      <c r="E34" s="1131"/>
      <c r="F34" s="1239"/>
      <c r="G34" s="1112"/>
      <c r="H34" s="1112"/>
      <c r="I34" s="1240"/>
      <c r="K34" s="1034"/>
      <c r="L34" s="161"/>
      <c r="M34" s="161"/>
      <c r="N34" s="161"/>
      <c r="O34" s="161"/>
      <c r="P34" s="161"/>
      <c r="Q34" s="161"/>
      <c r="R34" s="161"/>
      <c r="S34" s="161"/>
      <c r="T34" s="1371"/>
    </row>
    <row r="35" spans="2:20" ht="12" customHeight="1" x14ac:dyDescent="0.2">
      <c r="B35" s="367">
        <v>0</v>
      </c>
      <c r="C35" s="337">
        <v>0.255</v>
      </c>
      <c r="D35" s="337">
        <f>C35</f>
        <v>0.255</v>
      </c>
      <c r="E35" s="1110">
        <f>D35</f>
        <v>0.255</v>
      </c>
      <c r="F35" s="1241"/>
      <c r="G35" s="1109">
        <f>D12</f>
        <v>2027</v>
      </c>
      <c r="H35" s="1109">
        <f>E12</f>
        <v>2028</v>
      </c>
      <c r="I35" s="1237"/>
      <c r="K35" s="701"/>
      <c r="L35" s="751"/>
      <c r="M35" s="751"/>
      <c r="N35" s="751"/>
      <c r="O35" s="751"/>
      <c r="P35" s="751"/>
      <c r="Q35" s="751"/>
      <c r="R35" s="751"/>
      <c r="S35" s="751"/>
      <c r="T35" s="1020"/>
    </row>
    <row r="36" spans="2:20" ht="12" customHeight="1" x14ac:dyDescent="0.2">
      <c r="B36" s="364" t="s">
        <v>755</v>
      </c>
      <c r="C36" s="770">
        <v>0</v>
      </c>
      <c r="D36" s="770">
        <f>C36*(1+G36)</f>
        <v>0</v>
      </c>
      <c r="E36" s="1119">
        <f>D36*(1+H36)</f>
        <v>0</v>
      </c>
      <c r="F36" s="1127" t="s">
        <v>682</v>
      </c>
      <c r="G36" s="1110">
        <v>0.03</v>
      </c>
      <c r="H36" s="1111">
        <f>G36</f>
        <v>0.03</v>
      </c>
      <c r="I36" s="1242"/>
      <c r="K36" s="1032"/>
      <c r="L36" s="751"/>
      <c r="M36" s="751"/>
      <c r="N36" s="751"/>
      <c r="O36" s="751"/>
      <c r="P36" s="751"/>
      <c r="Q36" s="751"/>
      <c r="R36" s="751"/>
      <c r="S36" s="751"/>
      <c r="T36" s="1020"/>
    </row>
    <row r="37" spans="2:20" ht="12" customHeight="1" x14ac:dyDescent="0.2">
      <c r="B37" s="364" t="s">
        <v>318</v>
      </c>
      <c r="C37" s="773">
        <v>0</v>
      </c>
      <c r="D37" s="773">
        <f>C37*12/C$13+G37*C37*12/C$13</f>
        <v>0</v>
      </c>
      <c r="E37" s="1124">
        <f>D37*(1+H37)</f>
        <v>0</v>
      </c>
      <c r="F37" s="1127" t="s">
        <v>681</v>
      </c>
      <c r="G37" s="1110">
        <v>0</v>
      </c>
      <c r="H37" s="1111">
        <f>G37</f>
        <v>0</v>
      </c>
      <c r="I37" s="1242"/>
      <c r="K37" s="701"/>
      <c r="L37" s="751"/>
      <c r="M37" s="751"/>
      <c r="N37" s="751"/>
      <c r="O37" s="751"/>
      <c r="P37" s="751"/>
      <c r="Q37" s="751"/>
      <c r="R37" s="751"/>
      <c r="S37" s="751"/>
      <c r="T37" s="1020"/>
    </row>
    <row r="38" spans="2:20" ht="12" customHeight="1" x14ac:dyDescent="0.2">
      <c r="B38" s="364" t="s">
        <v>756</v>
      </c>
      <c r="C38" s="774">
        <f>IF(C36=0,0,C37*C36/(1+C35))</f>
        <v>0</v>
      </c>
      <c r="D38" s="774">
        <f>IF(D36=0,0,D37*D36/(1+D35))</f>
        <v>0</v>
      </c>
      <c r="E38" s="1121">
        <f>IF(E36=0,0,E37*E36/(1+E35))</f>
        <v>0</v>
      </c>
      <c r="F38" s="1127"/>
      <c r="G38" s="362"/>
      <c r="H38" s="362"/>
      <c r="I38" s="1252"/>
      <c r="K38" s="701"/>
      <c r="L38" s="751"/>
      <c r="M38" s="751"/>
      <c r="N38" s="751"/>
      <c r="O38" s="751"/>
      <c r="P38" s="751"/>
      <c r="Q38" s="751"/>
      <c r="R38" s="751"/>
      <c r="S38" s="751"/>
      <c r="T38" s="1020"/>
    </row>
    <row r="39" spans="2:20" ht="12" customHeight="1" x14ac:dyDescent="0.2">
      <c r="B39" s="364" t="s">
        <v>757</v>
      </c>
      <c r="C39" s="770">
        <v>0</v>
      </c>
      <c r="D39" s="770">
        <f>C39*(1+G39)</f>
        <v>0</v>
      </c>
      <c r="E39" s="1119">
        <f>D39*(1+H39)</f>
        <v>0</v>
      </c>
      <c r="F39" s="1127" t="s">
        <v>683</v>
      </c>
      <c r="G39" s="1110">
        <v>0.03</v>
      </c>
      <c r="H39" s="1111">
        <f>G39</f>
        <v>0.03</v>
      </c>
      <c r="I39" s="1242"/>
      <c r="K39" s="701"/>
      <c r="L39" s="751"/>
      <c r="M39" s="751"/>
      <c r="N39" s="751"/>
      <c r="O39" s="751"/>
      <c r="P39" s="751"/>
      <c r="Q39" s="751"/>
      <c r="R39" s="751"/>
      <c r="S39" s="751"/>
      <c r="T39" s="1020"/>
    </row>
    <row r="40" spans="2:20" ht="12" customHeight="1" x14ac:dyDescent="0.2">
      <c r="B40" s="364" t="s">
        <v>319</v>
      </c>
      <c r="C40" s="338">
        <v>0</v>
      </c>
      <c r="D40" s="338">
        <f>C40</f>
        <v>0</v>
      </c>
      <c r="E40" s="1110">
        <f>D40</f>
        <v>0</v>
      </c>
      <c r="F40" s="1128"/>
      <c r="G40" s="898"/>
      <c r="H40" s="898"/>
      <c r="I40" s="1238"/>
      <c r="K40" s="701"/>
      <c r="L40" s="751"/>
      <c r="M40" s="751"/>
      <c r="N40" s="751"/>
      <c r="O40" s="751"/>
      <c r="P40" s="751"/>
      <c r="Q40" s="751"/>
      <c r="R40" s="751"/>
      <c r="S40" s="751"/>
      <c r="T40" s="1020"/>
    </row>
    <row r="41" spans="2:20" ht="12" customHeight="1" x14ac:dyDescent="0.2">
      <c r="B41" s="364" t="s">
        <v>320</v>
      </c>
      <c r="C41" s="775">
        <f>IF(C36=0,0,(C36-(C39+(C39*C40)))/C36)</f>
        <v>0</v>
      </c>
      <c r="D41" s="775">
        <f>IF(D36=0,0,(D36-(D39+(D39*D40)))/D36)</f>
        <v>0</v>
      </c>
      <c r="E41" s="1122">
        <f>IF(E36=0,0,(E36-(E39+(E39*E40)))/E36)</f>
        <v>0</v>
      </c>
      <c r="F41" s="1128"/>
      <c r="G41" s="898"/>
      <c r="H41" s="898"/>
      <c r="I41" s="1238"/>
      <c r="K41" s="701"/>
      <c r="L41" s="751"/>
      <c r="M41" s="751"/>
      <c r="N41" s="751"/>
      <c r="O41" s="751"/>
      <c r="P41" s="751"/>
      <c r="Q41" s="751"/>
      <c r="R41" s="751"/>
      <c r="S41" s="751"/>
      <c r="T41" s="1020"/>
    </row>
    <row r="42" spans="2:20" ht="12" customHeight="1" x14ac:dyDescent="0.2">
      <c r="B42" s="364" t="s">
        <v>758</v>
      </c>
      <c r="C42" s="776">
        <f>IF(C39=0,0,(C39/(1-C40))/(1+C35))</f>
        <v>0</v>
      </c>
      <c r="D42" s="776">
        <f>IF(D39=0,0,(D39/(1-D40))/(1+D35))</f>
        <v>0</v>
      </c>
      <c r="E42" s="1123">
        <f>IF(E39=0,0,(E39/(1-E40))/(1+E35))</f>
        <v>0</v>
      </c>
      <c r="F42" s="1128"/>
      <c r="G42" s="898"/>
      <c r="H42" s="898"/>
      <c r="I42" s="1238"/>
      <c r="K42" s="701"/>
      <c r="L42" s="751"/>
      <c r="M42" s="751"/>
      <c r="N42" s="751"/>
      <c r="O42" s="751"/>
      <c r="P42" s="751"/>
      <c r="Q42" s="751"/>
      <c r="R42" s="751"/>
      <c r="S42" s="751"/>
      <c r="T42" s="1020"/>
    </row>
    <row r="43" spans="2:20" ht="12" customHeight="1" x14ac:dyDescent="0.2">
      <c r="B43" s="364" t="s">
        <v>759</v>
      </c>
      <c r="C43" s="774">
        <f>C42*C37</f>
        <v>0</v>
      </c>
      <c r="D43" s="774">
        <f>D42*D37</f>
        <v>0</v>
      </c>
      <c r="E43" s="1121">
        <f>E42*E37</f>
        <v>0</v>
      </c>
      <c r="F43" s="1128"/>
      <c r="G43" s="898"/>
      <c r="H43" s="898"/>
      <c r="I43" s="1238"/>
      <c r="K43" s="701"/>
      <c r="L43" s="751"/>
      <c r="M43" s="751"/>
      <c r="N43" s="751"/>
      <c r="O43" s="751"/>
      <c r="P43" s="751"/>
      <c r="Q43" s="751"/>
      <c r="R43" s="751"/>
      <c r="S43" s="751"/>
      <c r="T43" s="1020"/>
    </row>
    <row r="44" spans="2:20" s="52" customFormat="1" ht="4.5" customHeight="1" x14ac:dyDescent="0.2">
      <c r="B44" s="1130"/>
      <c r="C44" s="1131"/>
      <c r="D44" s="1131"/>
      <c r="E44" s="1131"/>
      <c r="F44" s="1243"/>
      <c r="G44" s="1113"/>
      <c r="H44" s="1113"/>
      <c r="I44" s="1240"/>
      <c r="K44" s="1034"/>
      <c r="L44" s="161"/>
      <c r="M44" s="161"/>
      <c r="N44" s="161"/>
      <c r="O44" s="161"/>
      <c r="P44" s="161"/>
      <c r="Q44" s="161"/>
      <c r="R44" s="161"/>
      <c r="S44" s="161"/>
      <c r="T44" s="1371"/>
    </row>
    <row r="45" spans="2:20" ht="12" customHeight="1" x14ac:dyDescent="0.2">
      <c r="B45" s="367">
        <v>0</v>
      </c>
      <c r="C45" s="337">
        <v>0.255</v>
      </c>
      <c r="D45" s="337">
        <f>C45</f>
        <v>0.255</v>
      </c>
      <c r="E45" s="1110">
        <f>D45</f>
        <v>0.255</v>
      </c>
      <c r="F45" s="1241"/>
      <c r="G45" s="340">
        <f>G$25</f>
        <v>2027</v>
      </c>
      <c r="H45" s="340">
        <f>H$25</f>
        <v>2028</v>
      </c>
      <c r="I45" s="1237"/>
      <c r="K45" s="701"/>
      <c r="L45" s="751"/>
      <c r="M45" s="751"/>
      <c r="N45" s="751"/>
      <c r="O45" s="751"/>
      <c r="P45" s="751"/>
      <c r="Q45" s="751"/>
      <c r="R45" s="751"/>
      <c r="S45" s="751"/>
      <c r="T45" s="1020"/>
    </row>
    <row r="46" spans="2:20" ht="12" customHeight="1" x14ac:dyDescent="0.2">
      <c r="B46" s="364" t="s">
        <v>755</v>
      </c>
      <c r="C46" s="770">
        <v>0</v>
      </c>
      <c r="D46" s="778">
        <f>C46*(1+G46)</f>
        <v>0</v>
      </c>
      <c r="E46" s="1125">
        <f>D46*(1+H46)</f>
        <v>0</v>
      </c>
      <c r="F46" s="1127" t="s">
        <v>682</v>
      </c>
      <c r="G46" s="1110">
        <v>0.03</v>
      </c>
      <c r="H46" s="1111">
        <f>G46</f>
        <v>0.03</v>
      </c>
      <c r="I46" s="1242"/>
      <c r="K46" s="701"/>
      <c r="L46" s="751"/>
      <c r="M46" s="751"/>
      <c r="N46" s="751"/>
      <c r="O46" s="751"/>
      <c r="P46" s="751"/>
      <c r="Q46" s="751"/>
      <c r="R46" s="751"/>
      <c r="S46" s="751"/>
      <c r="T46" s="1020"/>
    </row>
    <row r="47" spans="2:20" ht="12" customHeight="1" x14ac:dyDescent="0.2">
      <c r="B47" s="364" t="s">
        <v>318</v>
      </c>
      <c r="C47" s="773">
        <v>0</v>
      </c>
      <c r="D47" s="772">
        <f>C47*12/C$13+G47*C47*12/C$13</f>
        <v>0</v>
      </c>
      <c r="E47" s="1124">
        <f>D47*(1+H47)</f>
        <v>0</v>
      </c>
      <c r="F47" s="1127" t="s">
        <v>681</v>
      </c>
      <c r="G47" s="1110">
        <v>0</v>
      </c>
      <c r="H47" s="1111">
        <f>G47</f>
        <v>0</v>
      </c>
      <c r="I47" s="1242"/>
      <c r="K47" s="701"/>
      <c r="L47" s="751"/>
      <c r="M47" s="751"/>
      <c r="N47" s="751"/>
      <c r="O47" s="751"/>
      <c r="P47" s="751"/>
      <c r="Q47" s="751"/>
      <c r="R47" s="751"/>
      <c r="S47" s="751"/>
      <c r="T47" s="1020"/>
    </row>
    <row r="48" spans="2:20" ht="12" customHeight="1" x14ac:dyDescent="0.2">
      <c r="B48" s="364" t="s">
        <v>756</v>
      </c>
      <c r="C48" s="774">
        <f>IF(C46=0,0,C47*C46/(1+C45))</f>
        <v>0</v>
      </c>
      <c r="D48" s="774">
        <f>IF(D46=0,0,D47*D46/(1+D45))</f>
        <v>0</v>
      </c>
      <c r="E48" s="1121">
        <f>IF(E46=0,0,E47*E46/(1+E45))</f>
        <v>0</v>
      </c>
      <c r="F48" s="1127"/>
      <c r="G48" s="362"/>
      <c r="H48" s="362"/>
      <c r="I48" s="1252"/>
      <c r="K48" s="701"/>
      <c r="L48" s="751"/>
      <c r="M48" s="751"/>
      <c r="N48" s="751"/>
      <c r="O48" s="751"/>
      <c r="P48" s="751"/>
      <c r="Q48" s="751"/>
      <c r="R48" s="751"/>
      <c r="S48" s="751"/>
      <c r="T48" s="1020"/>
    </row>
    <row r="49" spans="2:20" ht="12" customHeight="1" x14ac:dyDescent="0.2">
      <c r="B49" s="364" t="s">
        <v>757</v>
      </c>
      <c r="C49" s="770">
        <v>0</v>
      </c>
      <c r="D49" s="771">
        <f>C49*(1+G49)</f>
        <v>0</v>
      </c>
      <c r="E49" s="1119">
        <f>D49*(1+H49)</f>
        <v>0</v>
      </c>
      <c r="F49" s="1127" t="s">
        <v>683</v>
      </c>
      <c r="G49" s="1110">
        <v>0.03</v>
      </c>
      <c r="H49" s="1111">
        <f>G49</f>
        <v>0.03</v>
      </c>
      <c r="I49" s="1242"/>
      <c r="K49" s="701"/>
      <c r="L49" s="751"/>
      <c r="M49" s="751"/>
      <c r="N49" s="751"/>
      <c r="O49" s="751"/>
      <c r="P49" s="751"/>
      <c r="Q49" s="751"/>
      <c r="R49" s="751"/>
      <c r="S49" s="751"/>
      <c r="T49" s="1020"/>
    </row>
    <row r="50" spans="2:20" ht="12" customHeight="1" x14ac:dyDescent="0.2">
      <c r="B50" s="364" t="s">
        <v>319</v>
      </c>
      <c r="C50" s="338">
        <v>0</v>
      </c>
      <c r="D50" s="337">
        <f>C50</f>
        <v>0</v>
      </c>
      <c r="E50" s="1110">
        <f>D50</f>
        <v>0</v>
      </c>
      <c r="F50" s="1128"/>
      <c r="G50" s="898"/>
      <c r="H50" s="898"/>
      <c r="I50" s="1238"/>
      <c r="K50" s="701"/>
      <c r="L50" s="751"/>
      <c r="M50" s="751"/>
      <c r="N50" s="751"/>
      <c r="O50" s="751"/>
      <c r="P50" s="751"/>
      <c r="Q50" s="751"/>
      <c r="R50" s="751"/>
      <c r="S50" s="751"/>
      <c r="T50" s="1020"/>
    </row>
    <row r="51" spans="2:20" ht="12" customHeight="1" x14ac:dyDescent="0.2">
      <c r="B51" s="364" t="s">
        <v>320</v>
      </c>
      <c r="C51" s="775">
        <f>IF(C46=0,0,(C46-(C49+(C49*C50)))/C46)</f>
        <v>0</v>
      </c>
      <c r="D51" s="775">
        <f>IF(D46=0,0,(D46-(D49+(D49*D50)))/D46)</f>
        <v>0</v>
      </c>
      <c r="E51" s="1122">
        <f>IF(E46=0,0,(E46-(E49+(E49*E50)))/E46)</f>
        <v>0</v>
      </c>
      <c r="F51" s="1128"/>
      <c r="G51" s="898"/>
      <c r="H51" s="898"/>
      <c r="I51" s="1238"/>
      <c r="K51" s="701"/>
      <c r="L51" s="751"/>
      <c r="M51" s="751"/>
      <c r="N51" s="751"/>
      <c r="O51" s="751"/>
      <c r="P51" s="751"/>
      <c r="Q51" s="751"/>
      <c r="R51" s="751"/>
      <c r="S51" s="751"/>
      <c r="T51" s="1020"/>
    </row>
    <row r="52" spans="2:20" ht="12" customHeight="1" x14ac:dyDescent="0.2">
      <c r="B52" s="364" t="s">
        <v>758</v>
      </c>
      <c r="C52" s="776">
        <f>IF(C49=0,0,(C49/(1-C50))/(1+C45))</f>
        <v>0</v>
      </c>
      <c r="D52" s="776">
        <f>IF(D49=0,0,(D49/(1-D50))/(1+D45))</f>
        <v>0</v>
      </c>
      <c r="E52" s="1123">
        <f>IF(E49=0,0,(E49/(1-E50))/(1+E45))</f>
        <v>0</v>
      </c>
      <c r="F52" s="1128"/>
      <c r="G52" s="898"/>
      <c r="H52" s="898"/>
      <c r="I52" s="1238"/>
      <c r="K52" s="701"/>
      <c r="L52" s="751"/>
      <c r="M52" s="751"/>
      <c r="N52" s="751"/>
      <c r="O52" s="751"/>
      <c r="P52" s="751"/>
      <c r="Q52" s="751"/>
      <c r="R52" s="751"/>
      <c r="S52" s="751"/>
      <c r="T52" s="1020"/>
    </row>
    <row r="53" spans="2:20" ht="12" customHeight="1" x14ac:dyDescent="0.2">
      <c r="B53" s="364" t="s">
        <v>759</v>
      </c>
      <c r="C53" s="774">
        <f>C52*C47</f>
        <v>0</v>
      </c>
      <c r="D53" s="774">
        <f>D52*D47</f>
        <v>0</v>
      </c>
      <c r="E53" s="1121">
        <f>E52*E47</f>
        <v>0</v>
      </c>
      <c r="F53" s="1128" t="s">
        <v>0</v>
      </c>
      <c r="G53" s="898"/>
      <c r="H53" s="898"/>
      <c r="I53" s="1238"/>
      <c r="K53" s="701"/>
      <c r="L53" s="751"/>
      <c r="M53" s="751"/>
      <c r="N53" s="751"/>
      <c r="O53" s="751"/>
      <c r="P53" s="751"/>
      <c r="Q53" s="751"/>
      <c r="R53" s="751"/>
      <c r="S53" s="751"/>
      <c r="T53" s="1020"/>
    </row>
    <row r="54" spans="2:20" s="52" customFormat="1" ht="4.5" customHeight="1" x14ac:dyDescent="0.2">
      <c r="B54" s="1130"/>
      <c r="C54" s="1131"/>
      <c r="D54" s="1131"/>
      <c r="E54" s="1131"/>
      <c r="F54" s="1243"/>
      <c r="G54" s="1113"/>
      <c r="H54" s="1113"/>
      <c r="I54" s="1240"/>
      <c r="K54" s="1034"/>
      <c r="L54" s="161"/>
      <c r="M54" s="161"/>
      <c r="N54" s="161"/>
      <c r="O54" s="161"/>
      <c r="P54" s="161"/>
      <c r="Q54" s="161"/>
      <c r="R54" s="161"/>
      <c r="S54" s="161"/>
      <c r="T54" s="1371"/>
    </row>
    <row r="55" spans="2:20" ht="12" customHeight="1" x14ac:dyDescent="0.2">
      <c r="B55" s="367" t="s">
        <v>779</v>
      </c>
      <c r="C55" s="337">
        <v>0.255</v>
      </c>
      <c r="D55" s="337">
        <f>C55</f>
        <v>0.255</v>
      </c>
      <c r="E55" s="1110">
        <f>D55</f>
        <v>0.255</v>
      </c>
      <c r="F55" s="1241"/>
      <c r="G55" s="340">
        <f>G$25</f>
        <v>2027</v>
      </c>
      <c r="H55" s="340">
        <f>H$25</f>
        <v>2028</v>
      </c>
      <c r="I55" s="1237"/>
      <c r="K55" s="701"/>
      <c r="L55" s="751"/>
      <c r="M55" s="751"/>
      <c r="N55" s="751"/>
      <c r="O55" s="751"/>
      <c r="P55" s="751"/>
      <c r="Q55" s="751"/>
      <c r="R55" s="751"/>
      <c r="S55" s="751"/>
      <c r="T55" s="1020"/>
    </row>
    <row r="56" spans="2:20" ht="12" customHeight="1" x14ac:dyDescent="0.2">
      <c r="B56" s="364" t="s">
        <v>755</v>
      </c>
      <c r="C56" s="1228">
        <v>0</v>
      </c>
      <c r="D56" s="771">
        <f>C56*(1+G56)</f>
        <v>0</v>
      </c>
      <c r="E56" s="1119">
        <f>D56*(1+H56)</f>
        <v>0</v>
      </c>
      <c r="F56" s="1127" t="s">
        <v>682</v>
      </c>
      <c r="G56" s="1110">
        <v>0.03</v>
      </c>
      <c r="H56" s="1111">
        <f>G56</f>
        <v>0.03</v>
      </c>
      <c r="I56" s="1242"/>
      <c r="K56" s="701"/>
      <c r="L56" s="751"/>
      <c r="M56" s="751"/>
      <c r="N56" s="751"/>
      <c r="O56" s="751"/>
      <c r="P56" s="751"/>
      <c r="Q56" s="751"/>
      <c r="R56" s="751"/>
      <c r="S56" s="751"/>
      <c r="T56" s="1020"/>
    </row>
    <row r="57" spans="2:20" ht="12" customHeight="1" x14ac:dyDescent="0.2">
      <c r="B57" s="364" t="s">
        <v>318</v>
      </c>
      <c r="C57" s="1229">
        <v>0</v>
      </c>
      <c r="D57" s="772">
        <f>C57*12/C$13+G57*C57*12/C$13</f>
        <v>0</v>
      </c>
      <c r="E57" s="1124">
        <f>D57*(1+H57)</f>
        <v>0</v>
      </c>
      <c r="F57" s="1127" t="s">
        <v>681</v>
      </c>
      <c r="G57" s="1110">
        <v>0</v>
      </c>
      <c r="H57" s="1111">
        <f>G57</f>
        <v>0</v>
      </c>
      <c r="I57" s="1242"/>
      <c r="K57" s="701"/>
      <c r="L57" s="751"/>
      <c r="M57" s="751"/>
      <c r="N57" s="751"/>
      <c r="O57" s="751"/>
      <c r="P57" s="751"/>
      <c r="Q57" s="751"/>
      <c r="R57" s="751"/>
      <c r="S57" s="751"/>
      <c r="T57" s="1020"/>
    </row>
    <row r="58" spans="2:20" ht="12" customHeight="1" x14ac:dyDescent="0.2">
      <c r="B58" s="364" t="s">
        <v>756</v>
      </c>
      <c r="C58" s="1229">
        <v>0</v>
      </c>
      <c r="D58" s="771">
        <f>C58*(1+G58)</f>
        <v>0</v>
      </c>
      <c r="E58" s="1119">
        <f>D58*(1+H58)</f>
        <v>0</v>
      </c>
      <c r="F58" s="1127" t="s">
        <v>682</v>
      </c>
      <c r="G58" s="1110">
        <v>0.03</v>
      </c>
      <c r="H58" s="1111">
        <f>G58</f>
        <v>0.03</v>
      </c>
      <c r="I58" s="1242"/>
      <c r="K58" s="701"/>
      <c r="L58" s="751"/>
      <c r="M58" s="751"/>
      <c r="N58" s="751"/>
      <c r="O58" s="751"/>
      <c r="P58" s="751"/>
      <c r="Q58" s="751"/>
      <c r="R58" s="751"/>
      <c r="S58" s="751"/>
      <c r="T58" s="1020"/>
    </row>
    <row r="59" spans="2:20" ht="12" customHeight="1" x14ac:dyDescent="0.2">
      <c r="B59" s="364" t="s">
        <v>757</v>
      </c>
      <c r="C59" s="859">
        <v>0</v>
      </c>
      <c r="D59" s="860">
        <f>C59</f>
        <v>0</v>
      </c>
      <c r="E59" s="1126">
        <f>D59</f>
        <v>0</v>
      </c>
      <c r="F59" s="1128"/>
      <c r="G59" s="898"/>
      <c r="H59" s="898"/>
      <c r="I59" s="1238"/>
      <c r="K59" s="701"/>
      <c r="L59" s="751"/>
      <c r="M59" s="751"/>
      <c r="N59" s="751"/>
      <c r="O59" s="751"/>
      <c r="P59" s="751"/>
      <c r="Q59" s="751"/>
      <c r="R59" s="751"/>
      <c r="S59" s="751"/>
      <c r="T59" s="1020"/>
    </row>
    <row r="60" spans="2:20" ht="12" customHeight="1" x14ac:dyDescent="0.2">
      <c r="B60" s="364" t="s">
        <v>319</v>
      </c>
      <c r="C60" s="774">
        <f>IF(C56=0,0,C57*C56-'4 AT  Myynnin alv'!B12)</f>
        <v>0</v>
      </c>
      <c r="D60" s="774">
        <f>IF(D56=0,0,D57*D56-'4 AT  Myynnin alv'!C12)</f>
        <v>0</v>
      </c>
      <c r="E60" s="1121">
        <f>IF(E56=0,0,E57*E56-'4 AT  Myynnin alv'!D12)</f>
        <v>0</v>
      </c>
      <c r="F60" s="1128"/>
      <c r="G60" s="898"/>
      <c r="H60" s="898"/>
      <c r="I60" s="1238"/>
      <c r="K60" s="701"/>
      <c r="L60" s="751"/>
      <c r="M60" s="751"/>
      <c r="N60" s="751"/>
      <c r="O60" s="751"/>
      <c r="P60" s="751"/>
      <c r="Q60" s="751"/>
      <c r="R60" s="751"/>
      <c r="S60" s="751"/>
      <c r="T60" s="1020"/>
    </row>
    <row r="61" spans="2:20" ht="12" customHeight="1" x14ac:dyDescent="0.2">
      <c r="B61" s="364" t="s">
        <v>320</v>
      </c>
      <c r="C61" s="775">
        <f>IF(C58=0,0,(C60-C63)/C60)</f>
        <v>0</v>
      </c>
      <c r="D61" s="775">
        <f t="shared" ref="D61:E61" si="0">IF(D58=0,0,(D60-D63)/D60)</f>
        <v>0</v>
      </c>
      <c r="E61" s="1122">
        <f t="shared" si="0"/>
        <v>0</v>
      </c>
      <c r="F61" s="1128"/>
      <c r="G61" s="898"/>
      <c r="H61" s="898"/>
      <c r="I61" s="1238"/>
      <c r="K61" s="701"/>
      <c r="L61" s="751"/>
      <c r="M61" s="751"/>
      <c r="N61" s="751"/>
      <c r="O61" s="751"/>
      <c r="P61" s="751"/>
      <c r="Q61" s="751"/>
      <c r="R61" s="751"/>
      <c r="S61" s="751"/>
      <c r="T61" s="1020"/>
    </row>
    <row r="62" spans="2:20" ht="12" customHeight="1" x14ac:dyDescent="0.2">
      <c r="B62" s="364" t="s">
        <v>758</v>
      </c>
      <c r="C62" s="776">
        <f>IF(C58=0,0,(C58/(1-C59)))</f>
        <v>0</v>
      </c>
      <c r="D62" s="776">
        <f t="shared" ref="D62:E62" si="1">IF(D58=0,0,(D58/(1-D59)))</f>
        <v>0</v>
      </c>
      <c r="E62" s="1123">
        <f t="shared" si="1"/>
        <v>0</v>
      </c>
      <c r="F62" s="1128"/>
      <c r="G62" s="898"/>
      <c r="H62" s="898"/>
      <c r="I62" s="1238"/>
      <c r="K62" s="701"/>
      <c r="L62" s="751"/>
      <c r="M62" s="751"/>
      <c r="N62" s="751"/>
      <c r="O62" s="751"/>
      <c r="P62" s="751"/>
      <c r="Q62" s="751"/>
      <c r="R62" s="751"/>
      <c r="S62" s="751"/>
      <c r="T62" s="1020"/>
    </row>
    <row r="63" spans="2:20" ht="12" customHeight="1" x14ac:dyDescent="0.2">
      <c r="B63" s="364" t="s">
        <v>759</v>
      </c>
      <c r="C63" s="774">
        <f>C62*C57</f>
        <v>0</v>
      </c>
      <c r="D63" s="774">
        <f t="shared" ref="D63:E63" si="2">D62*D57</f>
        <v>0</v>
      </c>
      <c r="E63" s="1121">
        <f t="shared" si="2"/>
        <v>0</v>
      </c>
      <c r="F63" s="1244" t="s">
        <v>0</v>
      </c>
      <c r="G63" s="1245"/>
      <c r="H63" s="1245"/>
      <c r="I63" s="1246"/>
      <c r="K63" s="1035"/>
      <c r="L63" s="1014"/>
      <c r="M63" s="1014"/>
      <c r="N63" s="1014"/>
      <c r="O63" s="1014"/>
      <c r="P63" s="1014"/>
      <c r="Q63" s="1014"/>
      <c r="R63" s="1014"/>
      <c r="S63" s="1014"/>
      <c r="T63" s="1023"/>
    </row>
    <row r="64" spans="2:20" ht="4.5" customHeight="1" x14ac:dyDescent="0.2">
      <c r="B64" s="368"/>
      <c r="C64" s="779"/>
      <c r="D64" s="779"/>
      <c r="E64" s="779"/>
      <c r="F64" s="341"/>
      <c r="G64" s="341"/>
      <c r="H64" s="339"/>
      <c r="I64" s="361"/>
    </row>
    <row r="65" spans="1:20" ht="12.75" customHeight="1" x14ac:dyDescent="0.2">
      <c r="B65" s="1115" t="s">
        <v>545</v>
      </c>
      <c r="C65" s="1116">
        <f>C16*C17+C26*C27+C36*C37+C46*C47+C56*C57</f>
        <v>0</v>
      </c>
      <c r="D65" s="1116">
        <f>D16*D17+D26*D27+D36*D37+D46*D47+D56*D57</f>
        <v>0</v>
      </c>
      <c r="E65" s="1116">
        <f>E16*E17+E26*E27+E36*E37+E46*E47+E56*E57</f>
        <v>0</v>
      </c>
      <c r="F65" s="341"/>
      <c r="G65" s="341"/>
      <c r="H65" s="339"/>
      <c r="I65" s="361"/>
    </row>
    <row r="66" spans="1:20" ht="12" customHeight="1" x14ac:dyDescent="0.2">
      <c r="B66" s="1117" t="s">
        <v>546</v>
      </c>
      <c r="C66" s="1116">
        <f>C18+C28+C38+C48+C60</f>
        <v>0</v>
      </c>
      <c r="D66" s="1116">
        <f t="shared" ref="D66:E66" si="3">D18+D28+D38+D48+D60</f>
        <v>0</v>
      </c>
      <c r="E66" s="1116">
        <f t="shared" si="3"/>
        <v>0</v>
      </c>
      <c r="F66" s="339"/>
      <c r="G66" s="339"/>
      <c r="H66" s="339"/>
      <c r="I66" s="361"/>
    </row>
    <row r="67" spans="1:20" ht="12" customHeight="1" x14ac:dyDescent="0.2">
      <c r="B67" s="1117" t="s">
        <v>592</v>
      </c>
      <c r="C67" s="1116">
        <f>C53+C53*C45+C43+C43*C35+C33+C33*C25+C23+C23*C15</f>
        <v>0</v>
      </c>
      <c r="D67" s="1116">
        <f t="shared" ref="D67:E67" si="4">D53+D53*D45+D43+D43*D35+D33+D33*D25+D23+D23*D15</f>
        <v>0</v>
      </c>
      <c r="E67" s="1116">
        <f t="shared" si="4"/>
        <v>0</v>
      </c>
      <c r="F67" s="339"/>
      <c r="G67" s="339"/>
      <c r="H67" s="339"/>
      <c r="I67" s="361"/>
    </row>
    <row r="68" spans="1:20" ht="12" customHeight="1" x14ac:dyDescent="0.2">
      <c r="B68" s="1117" t="s">
        <v>593</v>
      </c>
      <c r="C68" s="1116">
        <f>C63+C53+C43+C33+C23</f>
        <v>0</v>
      </c>
      <c r="D68" s="1116">
        <f>D63+D53+D43+D33+D23</f>
        <v>0</v>
      </c>
      <c r="E68" s="1116">
        <f>E63+E53+E43+E33+E23</f>
        <v>0</v>
      </c>
      <c r="F68" s="339"/>
      <c r="G68" s="339"/>
      <c r="H68" s="339"/>
      <c r="I68" s="361"/>
    </row>
    <row r="69" spans="1:20" ht="12" customHeight="1" x14ac:dyDescent="0.2">
      <c r="B69" s="1117" t="s">
        <v>594</v>
      </c>
      <c r="C69" s="1118">
        <f>IF(C66=0,0,(C66-C68)/C66)</f>
        <v>0</v>
      </c>
      <c r="D69" s="1118">
        <f>IF(D66=0,0,(D66-D68)/D66)</f>
        <v>0</v>
      </c>
      <c r="E69" s="1118">
        <f>IF(E66=0,0,(E66-E68)/E66)</f>
        <v>0</v>
      </c>
      <c r="F69" s="339"/>
      <c r="G69" s="339"/>
      <c r="H69" s="339"/>
      <c r="I69" s="361"/>
    </row>
    <row r="70" spans="1:20" ht="6" customHeight="1" x14ac:dyDescent="0.2">
      <c r="B70" s="369"/>
      <c r="C70" s="781"/>
      <c r="D70" s="781"/>
      <c r="E70" s="782"/>
      <c r="F70" s="339"/>
      <c r="G70" s="339"/>
      <c r="H70" s="339"/>
      <c r="I70" s="361"/>
    </row>
    <row r="71" spans="1:20" ht="12" customHeight="1" x14ac:dyDescent="0.2">
      <c r="B71" s="1650"/>
      <c r="C71" s="1129" t="str">
        <f t="shared" ref="C71:E73" si="5">C11</f>
        <v>Period 1</v>
      </c>
      <c r="D71" s="1129" t="str">
        <f t="shared" si="5"/>
        <v>Period 2</v>
      </c>
      <c r="E71" s="1129" t="str">
        <f t="shared" si="5"/>
        <v>Period 3</v>
      </c>
      <c r="F71" s="339"/>
      <c r="G71" s="339"/>
      <c r="H71" s="339"/>
      <c r="I71" s="361"/>
    </row>
    <row r="72" spans="1:20" ht="12" customHeight="1" x14ac:dyDescent="0.2">
      <c r="B72" s="1650"/>
      <c r="C72" s="1137">
        <f t="shared" si="5"/>
        <v>2026</v>
      </c>
      <c r="D72" s="1137">
        <f t="shared" si="5"/>
        <v>2027</v>
      </c>
      <c r="E72" s="1137">
        <f t="shared" si="5"/>
        <v>2028</v>
      </c>
      <c r="F72" s="339"/>
      <c r="G72" s="339"/>
      <c r="H72" s="339"/>
      <c r="I72" s="361"/>
    </row>
    <row r="73" spans="1:20" ht="12" customHeight="1" x14ac:dyDescent="0.2">
      <c r="B73" s="1135" t="str">
        <f>B13</f>
        <v>Räkenskapsperiodens längd</v>
      </c>
      <c r="C73" s="1136">
        <f t="shared" si="5"/>
        <v>12</v>
      </c>
      <c r="D73" s="1136">
        <f t="shared" si="5"/>
        <v>12</v>
      </c>
      <c r="E73" s="1136">
        <f t="shared" si="5"/>
        <v>12</v>
      </c>
      <c r="F73" s="339"/>
      <c r="G73" s="339"/>
      <c r="H73" s="339"/>
      <c r="I73" s="361"/>
    </row>
    <row r="74" spans="1:20" ht="4.5" customHeight="1" x14ac:dyDescent="0.2">
      <c r="B74" s="369"/>
      <c r="C74" s="370"/>
      <c r="D74" s="370"/>
      <c r="E74" s="370"/>
      <c r="F74" s="339"/>
      <c r="G74" s="339"/>
      <c r="H74" s="339"/>
      <c r="I74" s="361"/>
    </row>
    <row r="75" spans="1:20" ht="12" customHeight="1" x14ac:dyDescent="0.2">
      <c r="B75" s="367">
        <v>0</v>
      </c>
      <c r="C75" s="337">
        <v>0.255</v>
      </c>
      <c r="D75" s="337">
        <f>C75</f>
        <v>0.255</v>
      </c>
      <c r="E75" s="1110">
        <f>D75</f>
        <v>0.255</v>
      </c>
      <c r="F75" s="1369"/>
      <c r="G75" s="1236">
        <f>G$15</f>
        <v>2027</v>
      </c>
      <c r="H75" s="1236">
        <f>H$15</f>
        <v>2028</v>
      </c>
      <c r="I75" s="1368"/>
      <c r="J75" s="1247"/>
      <c r="K75" s="1025" t="s">
        <v>310</v>
      </c>
      <c r="L75" s="1030"/>
      <c r="M75" s="1030"/>
      <c r="N75" s="1030"/>
      <c r="O75" s="1030"/>
      <c r="P75" s="1030"/>
      <c r="Q75" s="1030"/>
      <c r="R75" s="1030"/>
      <c r="S75" s="1030"/>
      <c r="T75" s="1031"/>
    </row>
    <row r="76" spans="1:20" ht="12" customHeight="1" x14ac:dyDescent="0.2">
      <c r="B76" s="364" t="s">
        <v>755</v>
      </c>
      <c r="C76" s="1228">
        <v>0</v>
      </c>
      <c r="D76" s="770">
        <f>C76*(1+G76)</f>
        <v>0</v>
      </c>
      <c r="E76" s="1119">
        <f>D76*(1+H76)</f>
        <v>0</v>
      </c>
      <c r="F76" s="1127" t="s">
        <v>682</v>
      </c>
      <c r="G76" s="1110">
        <v>0.03</v>
      </c>
      <c r="H76" s="1111">
        <f>G76</f>
        <v>0.03</v>
      </c>
      <c r="I76" s="1242"/>
      <c r="J76" s="1247"/>
      <c r="K76" s="701"/>
      <c r="L76" s="751"/>
      <c r="M76" s="751"/>
      <c r="N76" s="751"/>
      <c r="O76" s="751"/>
      <c r="P76" s="751"/>
      <c r="Q76" s="751"/>
      <c r="R76" s="751"/>
      <c r="S76" s="751"/>
      <c r="T76" s="1020"/>
    </row>
    <row r="77" spans="1:20" ht="12" customHeight="1" x14ac:dyDescent="0.2">
      <c r="B77" s="364" t="s">
        <v>318</v>
      </c>
      <c r="C77" s="1229">
        <v>0</v>
      </c>
      <c r="D77" s="773">
        <f>C77*12/C$13+G77*C77*12/C$13</f>
        <v>0</v>
      </c>
      <c r="E77" s="1124">
        <f>D77*(1+H77)</f>
        <v>0</v>
      </c>
      <c r="F77" s="1127" t="s">
        <v>681</v>
      </c>
      <c r="G77" s="1110">
        <v>0</v>
      </c>
      <c r="H77" s="1111">
        <f>G77</f>
        <v>0</v>
      </c>
      <c r="I77" s="1242"/>
      <c r="J77" s="1247"/>
      <c r="K77" s="701"/>
      <c r="L77" s="751"/>
      <c r="M77" s="751"/>
      <c r="N77" s="751"/>
      <c r="O77" s="751"/>
      <c r="P77" s="751"/>
      <c r="Q77" s="751"/>
      <c r="R77" s="751"/>
      <c r="S77" s="751"/>
      <c r="T77" s="1020"/>
    </row>
    <row r="78" spans="1:20" ht="12" customHeight="1" x14ac:dyDescent="0.2">
      <c r="B78" s="364" t="s">
        <v>756</v>
      </c>
      <c r="C78" s="774">
        <f>IF(C76=0,0,C77*C76/(1+C75))</f>
        <v>0</v>
      </c>
      <c r="D78" s="774">
        <f>IF(D76=0,0,D77*D76/(1+D75))</f>
        <v>0</v>
      </c>
      <c r="E78" s="1121">
        <f>IF(E76=0,0,E77*E76/(1+E75))</f>
        <v>0</v>
      </c>
      <c r="F78" s="1127"/>
      <c r="G78" s="362"/>
      <c r="H78" s="362"/>
      <c r="I78" s="1252"/>
      <c r="J78" s="1247"/>
      <c r="K78" s="701"/>
      <c r="L78" s="751"/>
      <c r="M78" s="751"/>
      <c r="N78" s="751"/>
      <c r="O78" s="751"/>
      <c r="P78" s="751"/>
      <c r="Q78" s="751"/>
      <c r="R78" s="751"/>
      <c r="S78" s="751"/>
      <c r="T78" s="1020"/>
    </row>
    <row r="79" spans="1:20" ht="12" customHeight="1" x14ac:dyDescent="0.2">
      <c r="B79" s="364" t="s">
        <v>757</v>
      </c>
      <c r="C79" s="770">
        <v>0</v>
      </c>
      <c r="D79" s="770">
        <f>C79*(1+G79)</f>
        <v>0</v>
      </c>
      <c r="E79" s="1119">
        <f>D79*(1+H79)</f>
        <v>0</v>
      </c>
      <c r="F79" s="1127" t="s">
        <v>683</v>
      </c>
      <c r="G79" s="1110">
        <v>0.03</v>
      </c>
      <c r="H79" s="1111">
        <f>G79</f>
        <v>0.03</v>
      </c>
      <c r="I79" s="1242"/>
      <c r="J79" s="1247"/>
      <c r="K79" s="701"/>
      <c r="L79" s="751"/>
      <c r="M79" s="751"/>
      <c r="N79" s="751"/>
      <c r="O79" s="751"/>
      <c r="P79" s="751"/>
      <c r="Q79" s="751"/>
      <c r="R79" s="751"/>
      <c r="S79" s="751"/>
      <c r="T79" s="1020"/>
    </row>
    <row r="80" spans="1:20" ht="12" customHeight="1" x14ac:dyDescent="0.2">
      <c r="A80" s="162"/>
      <c r="B80" s="364" t="s">
        <v>319</v>
      </c>
      <c r="C80" s="338">
        <v>0</v>
      </c>
      <c r="D80" s="338">
        <f>C80</f>
        <v>0</v>
      </c>
      <c r="E80" s="1110">
        <f>D80</f>
        <v>0</v>
      </c>
      <c r="F80" s="1128"/>
      <c r="G80" s="898"/>
      <c r="H80" s="898"/>
      <c r="I80" s="1238"/>
      <c r="J80" s="1247"/>
      <c r="K80" s="701"/>
      <c r="L80" s="751"/>
      <c r="M80" s="751"/>
      <c r="N80" s="751"/>
      <c r="O80" s="751"/>
      <c r="P80" s="751"/>
      <c r="Q80" s="751"/>
      <c r="R80" s="751"/>
      <c r="S80" s="751"/>
      <c r="T80" s="1020"/>
    </row>
    <row r="81" spans="1:20" ht="12" customHeight="1" x14ac:dyDescent="0.2">
      <c r="B81" s="364" t="s">
        <v>320</v>
      </c>
      <c r="C81" s="775">
        <f>IF(C76=0,0,(C76-(C79+(C79*C80)))/C76)</f>
        <v>0</v>
      </c>
      <c r="D81" s="775">
        <f>IF(D76=0,0,(D76-(D79+(D79*D80)))/D76)</f>
        <v>0</v>
      </c>
      <c r="E81" s="1122">
        <f>IF(E76=0,0,(E76-(E79+(E79*E80)))/E76)</f>
        <v>0</v>
      </c>
      <c r="F81" s="1128"/>
      <c r="G81" s="898"/>
      <c r="H81" s="898"/>
      <c r="I81" s="1238"/>
      <c r="J81" s="1247"/>
      <c r="K81" s="701"/>
      <c r="L81" s="751"/>
      <c r="M81" s="751"/>
      <c r="N81" s="751"/>
      <c r="O81" s="751"/>
      <c r="P81" s="751"/>
      <c r="Q81" s="751"/>
      <c r="R81" s="751"/>
      <c r="S81" s="751"/>
      <c r="T81" s="1020"/>
    </row>
    <row r="82" spans="1:20" ht="12" customHeight="1" x14ac:dyDescent="0.2">
      <c r="A82" s="162"/>
      <c r="B82" s="364" t="s">
        <v>758</v>
      </c>
      <c r="C82" s="776">
        <f>IF(C79=0,0,(C79/(1-C80))/(1+C75))</f>
        <v>0</v>
      </c>
      <c r="D82" s="776">
        <f>IF(D79=0,0,(D79/(1-D80))/(1+D75))</f>
        <v>0</v>
      </c>
      <c r="E82" s="1123">
        <f>IF(E79=0,0,(E79/(1-E80))/(1+E75))</f>
        <v>0</v>
      </c>
      <c r="F82" s="1128"/>
      <c r="G82" s="898"/>
      <c r="H82" s="898"/>
      <c r="I82" s="1238"/>
      <c r="J82" s="1247"/>
      <c r="K82" s="701"/>
      <c r="L82" s="751"/>
      <c r="M82" s="751"/>
      <c r="N82" s="751"/>
      <c r="O82" s="751"/>
      <c r="P82" s="751"/>
      <c r="Q82" s="751"/>
      <c r="R82" s="751"/>
      <c r="S82" s="751"/>
      <c r="T82" s="1020"/>
    </row>
    <row r="83" spans="1:20" ht="12" customHeight="1" x14ac:dyDescent="0.2">
      <c r="A83" s="2"/>
      <c r="B83" s="364" t="s">
        <v>759</v>
      </c>
      <c r="C83" s="774">
        <f>C82*C77</f>
        <v>0</v>
      </c>
      <c r="D83" s="774">
        <f>D82*D77</f>
        <v>0</v>
      </c>
      <c r="E83" s="1121">
        <f>E82*E77</f>
        <v>0</v>
      </c>
      <c r="F83" s="1128"/>
      <c r="G83" s="898"/>
      <c r="H83" s="898"/>
      <c r="I83" s="1238"/>
      <c r="J83" s="1247"/>
      <c r="K83" s="701"/>
      <c r="L83" s="751"/>
      <c r="M83" s="751"/>
      <c r="N83" s="751"/>
      <c r="O83" s="751"/>
      <c r="P83" s="751"/>
      <c r="Q83" s="751"/>
      <c r="R83" s="751"/>
      <c r="S83" s="751"/>
      <c r="T83" s="1020"/>
    </row>
    <row r="84" spans="1:20" s="52" customFormat="1" ht="4.5" customHeight="1" x14ac:dyDescent="0.2">
      <c r="A84" s="405"/>
      <c r="B84" s="1130"/>
      <c r="C84" s="1131"/>
      <c r="D84" s="1131"/>
      <c r="E84" s="1131"/>
      <c r="F84" s="1243"/>
      <c r="G84" s="1113"/>
      <c r="H84" s="1113"/>
      <c r="I84" s="1240"/>
      <c r="J84" s="1248"/>
      <c r="K84" s="1034"/>
      <c r="L84" s="161"/>
      <c r="M84" s="161"/>
      <c r="N84" s="751"/>
      <c r="O84" s="751"/>
      <c r="P84" s="751"/>
      <c r="Q84" s="751"/>
      <c r="R84" s="751"/>
      <c r="S84" s="751"/>
      <c r="T84" s="1020"/>
    </row>
    <row r="85" spans="1:20" ht="12" customHeight="1" x14ac:dyDescent="0.2">
      <c r="B85" s="367">
        <v>0</v>
      </c>
      <c r="C85" s="337">
        <v>0.255</v>
      </c>
      <c r="D85" s="337">
        <f>C85</f>
        <v>0.255</v>
      </c>
      <c r="E85" s="1110">
        <f>D85</f>
        <v>0.255</v>
      </c>
      <c r="F85" s="1241"/>
      <c r="G85" s="340">
        <f>G$25</f>
        <v>2027</v>
      </c>
      <c r="H85" s="340">
        <f>H$25</f>
        <v>2028</v>
      </c>
      <c r="I85" s="1242"/>
      <c r="J85" s="1247"/>
      <c r="K85" s="701"/>
      <c r="L85" s="751"/>
      <c r="M85" s="751"/>
      <c r="N85" s="751"/>
      <c r="O85" s="751"/>
      <c r="P85" s="751"/>
      <c r="Q85" s="751"/>
      <c r="R85" s="751"/>
      <c r="S85" s="751"/>
      <c r="T85" s="1020"/>
    </row>
    <row r="86" spans="1:20" ht="12" customHeight="1" x14ac:dyDescent="0.2">
      <c r="A86" s="162"/>
      <c r="B86" s="364" t="s">
        <v>755</v>
      </c>
      <c r="C86" s="770">
        <v>0</v>
      </c>
      <c r="D86" s="770">
        <f>C86*(1+G86)</f>
        <v>0</v>
      </c>
      <c r="E86" s="1119">
        <f>D86*(1+H86)</f>
        <v>0</v>
      </c>
      <c r="F86" s="1127" t="s">
        <v>682</v>
      </c>
      <c r="G86" s="1110">
        <v>0.03</v>
      </c>
      <c r="H86" s="1111">
        <f>G86</f>
        <v>0.03</v>
      </c>
      <c r="I86" s="1242"/>
      <c r="J86" s="1247"/>
      <c r="K86" s="701"/>
      <c r="L86" s="751"/>
      <c r="M86" s="751"/>
      <c r="N86" s="751"/>
      <c r="O86" s="751"/>
      <c r="P86" s="751"/>
      <c r="Q86" s="751"/>
      <c r="R86" s="751"/>
      <c r="S86" s="751"/>
      <c r="T86" s="1020"/>
    </row>
    <row r="87" spans="1:20" ht="12" customHeight="1" x14ac:dyDescent="0.2">
      <c r="B87" s="364" t="s">
        <v>318</v>
      </c>
      <c r="C87" s="773">
        <v>0</v>
      </c>
      <c r="D87" s="773">
        <f>C87*12/C$13+G87*C87*12/C$13</f>
        <v>0</v>
      </c>
      <c r="E87" s="1124">
        <f>D87*(1+H87)</f>
        <v>0</v>
      </c>
      <c r="F87" s="1127" t="s">
        <v>681</v>
      </c>
      <c r="G87" s="1110">
        <v>0</v>
      </c>
      <c r="H87" s="1111">
        <f>G87</f>
        <v>0</v>
      </c>
      <c r="I87" s="1242"/>
      <c r="J87" s="1247"/>
      <c r="K87" s="701"/>
      <c r="L87" s="751"/>
      <c r="M87" s="751"/>
      <c r="N87" s="751"/>
      <c r="O87" s="751"/>
      <c r="P87" s="751"/>
      <c r="Q87" s="751"/>
      <c r="R87" s="751"/>
      <c r="S87" s="751"/>
      <c r="T87" s="1020"/>
    </row>
    <row r="88" spans="1:20" ht="12" customHeight="1" x14ac:dyDescent="0.2">
      <c r="A88" s="162"/>
      <c r="B88" s="364" t="s">
        <v>756</v>
      </c>
      <c r="C88" s="774">
        <f>IF(C86=0,0,C87*C86/(1+C85))</f>
        <v>0</v>
      </c>
      <c r="D88" s="774">
        <f>IF(D86=0,0,D87*D86/(1+D85))</f>
        <v>0</v>
      </c>
      <c r="E88" s="1121">
        <f>IF(E86=0,0,E87*E86/(1+E85))</f>
        <v>0</v>
      </c>
      <c r="F88" s="1127"/>
      <c r="G88" s="362"/>
      <c r="H88" s="362"/>
      <c r="I88" s="1252"/>
      <c r="J88" s="1247"/>
      <c r="K88" s="701"/>
      <c r="L88" s="751"/>
      <c r="M88" s="751"/>
      <c r="N88" s="751"/>
      <c r="O88" s="751"/>
      <c r="P88" s="751"/>
      <c r="Q88" s="751"/>
      <c r="R88" s="751"/>
      <c r="S88" s="751"/>
      <c r="T88" s="1020"/>
    </row>
    <row r="89" spans="1:20" ht="12" customHeight="1" x14ac:dyDescent="0.2">
      <c r="A89" s="2"/>
      <c r="B89" s="364" t="s">
        <v>757</v>
      </c>
      <c r="C89" s="770">
        <v>0</v>
      </c>
      <c r="D89" s="770">
        <f>C89*(1+G89)</f>
        <v>0</v>
      </c>
      <c r="E89" s="1119">
        <f>D89*(1+H89)</f>
        <v>0</v>
      </c>
      <c r="F89" s="1127" t="s">
        <v>683</v>
      </c>
      <c r="G89" s="1110">
        <v>0.03</v>
      </c>
      <c r="H89" s="1111">
        <f>G89</f>
        <v>0.03</v>
      </c>
      <c r="I89" s="1242"/>
      <c r="J89" s="1247"/>
      <c r="K89" s="701"/>
      <c r="L89" s="751"/>
      <c r="M89" s="751"/>
      <c r="N89" s="751"/>
      <c r="O89" s="751"/>
      <c r="P89" s="751"/>
      <c r="Q89" s="751"/>
      <c r="R89" s="751"/>
      <c r="S89" s="751"/>
      <c r="T89" s="1020"/>
    </row>
    <row r="90" spans="1:20" ht="12" customHeight="1" x14ac:dyDescent="0.2">
      <c r="A90" s="162"/>
      <c r="B90" s="364" t="s">
        <v>319</v>
      </c>
      <c r="C90" s="338">
        <v>0</v>
      </c>
      <c r="D90" s="338">
        <f>C90</f>
        <v>0</v>
      </c>
      <c r="E90" s="1110">
        <f>D90</f>
        <v>0</v>
      </c>
      <c r="F90" s="1128"/>
      <c r="G90" s="898"/>
      <c r="H90" s="898"/>
      <c r="I90" s="1238"/>
      <c r="J90" s="1247"/>
      <c r="K90" s="701"/>
      <c r="L90" s="751"/>
      <c r="M90" s="751"/>
      <c r="N90" s="751"/>
      <c r="O90" s="751"/>
      <c r="P90" s="751"/>
      <c r="Q90" s="751"/>
      <c r="R90" s="751"/>
      <c r="S90" s="751"/>
      <c r="T90" s="1020"/>
    </row>
    <row r="91" spans="1:20" ht="12" customHeight="1" x14ac:dyDescent="0.2">
      <c r="B91" s="364" t="s">
        <v>320</v>
      </c>
      <c r="C91" s="775">
        <f>IF(C86=0,0,(C86-(C89+(C89*C90)))/C86)</f>
        <v>0</v>
      </c>
      <c r="D91" s="775">
        <f>IF(D86=0,0,(D86-(D89+(D89*D90)))/D86)</f>
        <v>0</v>
      </c>
      <c r="E91" s="1122">
        <f>IF(E86=0,0,(E86-(E89+(E89*E90)))/E86)</f>
        <v>0</v>
      </c>
      <c r="F91" s="1128"/>
      <c r="G91" s="898"/>
      <c r="H91" s="898"/>
      <c r="I91" s="1238"/>
      <c r="J91" s="1247"/>
      <c r="K91" s="701"/>
      <c r="L91" s="751"/>
      <c r="M91" s="751"/>
      <c r="N91" s="751"/>
      <c r="O91" s="751"/>
      <c r="P91" s="751"/>
      <c r="Q91" s="751"/>
      <c r="R91" s="751"/>
      <c r="S91" s="751"/>
      <c r="T91" s="1020"/>
    </row>
    <row r="92" spans="1:20" ht="12" customHeight="1" x14ac:dyDescent="0.2">
      <c r="A92" s="162"/>
      <c r="B92" s="364" t="s">
        <v>758</v>
      </c>
      <c r="C92" s="776">
        <f>IF(C89=0,0,(C89/(1-C90))/(1+C85))</f>
        <v>0</v>
      </c>
      <c r="D92" s="776">
        <f>IF(D89=0,0,(D89/(1-D90))/(1+D85))</f>
        <v>0</v>
      </c>
      <c r="E92" s="1123">
        <f>IF(E89=0,0,(E89/(1-E90))/(1+E85))</f>
        <v>0</v>
      </c>
      <c r="F92" s="1128" t="s">
        <v>0</v>
      </c>
      <c r="G92" s="898"/>
      <c r="H92" s="898"/>
      <c r="I92" s="1238"/>
      <c r="J92" s="1247"/>
      <c r="K92" s="701"/>
      <c r="L92" s="751"/>
      <c r="M92" s="751"/>
      <c r="N92" s="751"/>
      <c r="O92" s="751"/>
      <c r="P92" s="751"/>
      <c r="Q92" s="751"/>
      <c r="R92" s="751"/>
      <c r="S92" s="751"/>
      <c r="T92" s="1020"/>
    </row>
    <row r="93" spans="1:20" ht="12" customHeight="1" x14ac:dyDescent="0.2">
      <c r="B93" s="364" t="s">
        <v>759</v>
      </c>
      <c r="C93" s="774">
        <f>C92*C87</f>
        <v>0</v>
      </c>
      <c r="D93" s="774">
        <f>D92*D87</f>
        <v>0</v>
      </c>
      <c r="E93" s="1121">
        <f>E92*E87</f>
        <v>0</v>
      </c>
      <c r="F93" s="1128"/>
      <c r="G93" s="898"/>
      <c r="H93" s="898"/>
      <c r="I93" s="1238"/>
      <c r="J93" s="1247"/>
      <c r="K93" s="701"/>
      <c r="L93" s="751"/>
      <c r="M93" s="751"/>
      <c r="N93" s="751"/>
      <c r="O93" s="751"/>
      <c r="P93" s="751"/>
      <c r="Q93" s="751"/>
      <c r="R93" s="751"/>
      <c r="S93" s="751"/>
      <c r="T93" s="1020"/>
    </row>
    <row r="94" spans="1:20" s="52" customFormat="1" ht="4.5" customHeight="1" x14ac:dyDescent="0.2">
      <c r="A94" s="405"/>
      <c r="B94" s="1130"/>
      <c r="C94" s="1131"/>
      <c r="D94" s="1131"/>
      <c r="E94" s="1131"/>
      <c r="F94" s="1239"/>
      <c r="G94" s="1112"/>
      <c r="H94" s="1112"/>
      <c r="I94" s="1240"/>
      <c r="J94" s="1248"/>
      <c r="K94" s="1034"/>
      <c r="L94" s="161"/>
      <c r="M94" s="161"/>
      <c r="N94" s="751"/>
      <c r="O94" s="751"/>
      <c r="P94" s="751"/>
      <c r="Q94" s="751"/>
      <c r="R94" s="751"/>
      <c r="S94" s="751"/>
      <c r="T94" s="1020"/>
    </row>
    <row r="95" spans="1:20" ht="12" customHeight="1" x14ac:dyDescent="0.2">
      <c r="A95" s="2"/>
      <c r="B95" s="367">
        <v>0</v>
      </c>
      <c r="C95" s="337">
        <v>0.255</v>
      </c>
      <c r="D95" s="337">
        <f>C95</f>
        <v>0.255</v>
      </c>
      <c r="E95" s="1110">
        <f>D95</f>
        <v>0.255</v>
      </c>
      <c r="F95" s="1241"/>
      <c r="G95" s="340">
        <f>G$25</f>
        <v>2027</v>
      </c>
      <c r="H95" s="340">
        <f>H$25</f>
        <v>2028</v>
      </c>
      <c r="I95" s="1242"/>
      <c r="J95" s="1247"/>
      <c r="K95" s="701"/>
      <c r="L95" s="751"/>
      <c r="M95" s="751"/>
      <c r="N95" s="751"/>
      <c r="O95" s="751"/>
      <c r="P95" s="751"/>
      <c r="Q95" s="751"/>
      <c r="R95" s="751"/>
      <c r="S95" s="751"/>
      <c r="T95" s="1020"/>
    </row>
    <row r="96" spans="1:20" ht="12" customHeight="1" x14ac:dyDescent="0.2">
      <c r="B96" s="364" t="s">
        <v>755</v>
      </c>
      <c r="C96" s="770">
        <v>0</v>
      </c>
      <c r="D96" s="770">
        <f>C96*(1+G96)</f>
        <v>0</v>
      </c>
      <c r="E96" s="1119">
        <f>D96*(1+H96)</f>
        <v>0</v>
      </c>
      <c r="F96" s="1127" t="s">
        <v>682</v>
      </c>
      <c r="G96" s="1110">
        <v>0.03</v>
      </c>
      <c r="H96" s="1111">
        <f>G96</f>
        <v>0.03</v>
      </c>
      <c r="I96" s="1242"/>
      <c r="J96" s="1247"/>
      <c r="K96" s="701"/>
      <c r="L96" s="751"/>
      <c r="M96" s="751"/>
      <c r="N96" s="751"/>
      <c r="O96" s="751"/>
      <c r="P96" s="751"/>
      <c r="Q96" s="751"/>
      <c r="R96" s="751"/>
      <c r="S96" s="751"/>
      <c r="T96" s="1020"/>
    </row>
    <row r="97" spans="2:20" ht="12" customHeight="1" x14ac:dyDescent="0.2">
      <c r="B97" s="364" t="s">
        <v>318</v>
      </c>
      <c r="C97" s="773">
        <v>0</v>
      </c>
      <c r="D97" s="773">
        <f>C97*12/C$13+G97*C97*12/C$13</f>
        <v>0</v>
      </c>
      <c r="E97" s="1124">
        <f>D97*(1+H97)</f>
        <v>0</v>
      </c>
      <c r="F97" s="1127" t="s">
        <v>681</v>
      </c>
      <c r="G97" s="1110">
        <v>0</v>
      </c>
      <c r="H97" s="1111">
        <f>G97</f>
        <v>0</v>
      </c>
      <c r="I97" s="1242"/>
      <c r="J97" s="1247"/>
      <c r="K97" s="701"/>
      <c r="L97" s="751"/>
      <c r="M97" s="751"/>
      <c r="N97" s="751"/>
      <c r="O97" s="751"/>
      <c r="P97" s="751"/>
      <c r="Q97" s="751"/>
      <c r="R97" s="751"/>
      <c r="S97" s="751"/>
      <c r="T97" s="1020"/>
    </row>
    <row r="98" spans="2:20" ht="12" customHeight="1" x14ac:dyDescent="0.2">
      <c r="B98" s="364" t="s">
        <v>756</v>
      </c>
      <c r="C98" s="774">
        <f>IF(C96=0,0,C97*C96/(1+C95))</f>
        <v>0</v>
      </c>
      <c r="D98" s="774">
        <f>IF(D96=0,0,D97*D96/(1+D95))</f>
        <v>0</v>
      </c>
      <c r="E98" s="1121">
        <f>IF(E96=0,0,E97*E96/(1+E95))</f>
        <v>0</v>
      </c>
      <c r="F98" s="1127"/>
      <c r="G98" s="362"/>
      <c r="H98" s="362"/>
      <c r="I98" s="1252"/>
      <c r="J98" s="1247"/>
      <c r="K98" s="701"/>
      <c r="L98" s="751"/>
      <c r="M98" s="751"/>
      <c r="N98" s="751"/>
      <c r="O98" s="751"/>
      <c r="P98" s="751"/>
      <c r="Q98" s="751"/>
      <c r="R98" s="751"/>
      <c r="S98" s="751"/>
      <c r="T98" s="1020"/>
    </row>
    <row r="99" spans="2:20" ht="12" customHeight="1" x14ac:dyDescent="0.2">
      <c r="B99" s="364" t="s">
        <v>757</v>
      </c>
      <c r="C99" s="770">
        <v>0</v>
      </c>
      <c r="D99" s="770">
        <f>C99*(1+G99)</f>
        <v>0</v>
      </c>
      <c r="E99" s="1119">
        <f>D99*(1+H99)</f>
        <v>0</v>
      </c>
      <c r="F99" s="1127" t="s">
        <v>683</v>
      </c>
      <c r="G99" s="1110">
        <v>0.03</v>
      </c>
      <c r="H99" s="1111">
        <f>G99</f>
        <v>0.03</v>
      </c>
      <c r="I99" s="1242"/>
      <c r="J99" s="1247"/>
      <c r="K99" s="701"/>
      <c r="L99" s="751"/>
      <c r="M99" s="751"/>
      <c r="N99" s="751"/>
      <c r="O99" s="751"/>
      <c r="P99" s="751"/>
      <c r="Q99" s="751"/>
      <c r="R99" s="751"/>
      <c r="S99" s="751"/>
      <c r="T99" s="1020"/>
    </row>
    <row r="100" spans="2:20" ht="12" customHeight="1" x14ac:dyDescent="0.2">
      <c r="B100" s="364" t="s">
        <v>319</v>
      </c>
      <c r="C100" s="338">
        <v>0</v>
      </c>
      <c r="D100" s="338">
        <f>C100</f>
        <v>0</v>
      </c>
      <c r="E100" s="1110">
        <f>D100</f>
        <v>0</v>
      </c>
      <c r="F100" s="1128"/>
      <c r="G100" s="898"/>
      <c r="H100" s="898"/>
      <c r="I100" s="1238"/>
      <c r="J100" s="1247"/>
      <c r="K100" s="701"/>
      <c r="L100" s="751"/>
      <c r="M100" s="751"/>
      <c r="N100" s="751"/>
      <c r="O100" s="751"/>
      <c r="P100" s="751"/>
      <c r="Q100" s="751"/>
      <c r="R100" s="751"/>
      <c r="S100" s="751"/>
      <c r="T100" s="1020"/>
    </row>
    <row r="101" spans="2:20" ht="12" customHeight="1" x14ac:dyDescent="0.2">
      <c r="B101" s="364" t="s">
        <v>320</v>
      </c>
      <c r="C101" s="775">
        <f>IF(C96=0,0,(C96-(C99+(C99*C100)))/C96)</f>
        <v>0</v>
      </c>
      <c r="D101" s="775">
        <f>IF(D96=0,0,(D96-(D99+(D99*D100)))/D96)</f>
        <v>0</v>
      </c>
      <c r="E101" s="1122">
        <f>IF(E96=0,0,(E96-(E99+(E99*E100)))/E96)</f>
        <v>0</v>
      </c>
      <c r="F101" s="1128"/>
      <c r="G101" s="898"/>
      <c r="H101" s="898"/>
      <c r="I101" s="1238"/>
      <c r="J101" s="1247"/>
      <c r="K101" s="701"/>
      <c r="L101" s="751"/>
      <c r="M101" s="751"/>
      <c r="N101" s="751"/>
      <c r="O101" s="751"/>
      <c r="P101" s="751"/>
      <c r="Q101" s="751"/>
      <c r="R101" s="751"/>
      <c r="S101" s="751"/>
      <c r="T101" s="1020"/>
    </row>
    <row r="102" spans="2:20" ht="12" customHeight="1" x14ac:dyDescent="0.2">
      <c r="B102" s="364" t="s">
        <v>758</v>
      </c>
      <c r="C102" s="776">
        <f>IF(C99=0,0,(C99/(1-C100))/(1+C95))</f>
        <v>0</v>
      </c>
      <c r="D102" s="776">
        <f>IF(D99=0,0,(D99/(1-D100))/(1+D95))</f>
        <v>0</v>
      </c>
      <c r="E102" s="1123">
        <f>IF(E99=0,0,(E99/(1-E100))/(1+E95))</f>
        <v>0</v>
      </c>
      <c r="F102" s="1128"/>
      <c r="G102" s="898"/>
      <c r="H102" s="898"/>
      <c r="I102" s="1238"/>
      <c r="J102" s="1247"/>
      <c r="K102" s="701"/>
      <c r="L102" s="751"/>
      <c r="M102" s="751"/>
      <c r="N102" s="751"/>
      <c r="O102" s="751"/>
      <c r="P102" s="751"/>
      <c r="Q102" s="751"/>
      <c r="R102" s="751"/>
      <c r="S102" s="751"/>
      <c r="T102" s="1020"/>
    </row>
    <row r="103" spans="2:20" ht="12" customHeight="1" x14ac:dyDescent="0.2">
      <c r="B103" s="364" t="s">
        <v>759</v>
      </c>
      <c r="C103" s="774">
        <f>C102*C97</f>
        <v>0</v>
      </c>
      <c r="D103" s="774">
        <f>D102*D97</f>
        <v>0</v>
      </c>
      <c r="E103" s="1121">
        <f>E102*E97</f>
        <v>0</v>
      </c>
      <c r="F103" s="1128"/>
      <c r="G103" s="898"/>
      <c r="H103" s="898"/>
      <c r="I103" s="1238"/>
      <c r="J103" s="1247"/>
      <c r="K103" s="701"/>
      <c r="L103" s="751"/>
      <c r="M103" s="751"/>
      <c r="N103" s="751"/>
      <c r="O103" s="751"/>
      <c r="P103" s="751"/>
      <c r="Q103" s="751"/>
      <c r="R103" s="751"/>
      <c r="S103" s="751"/>
      <c r="T103" s="1020"/>
    </row>
    <row r="104" spans="2:20" s="52" customFormat="1" ht="4.5" customHeight="1" x14ac:dyDescent="0.2">
      <c r="B104" s="1130"/>
      <c r="C104" s="1131"/>
      <c r="D104" s="1131"/>
      <c r="E104" s="1131"/>
      <c r="F104" s="1239"/>
      <c r="G104" s="1112"/>
      <c r="H104" s="1112"/>
      <c r="I104" s="1240"/>
      <c r="J104" s="1248"/>
      <c r="K104" s="1034"/>
      <c r="L104" s="161"/>
      <c r="M104" s="161"/>
      <c r="N104" s="751"/>
      <c r="O104" s="751"/>
      <c r="P104" s="751"/>
      <c r="Q104" s="751"/>
      <c r="R104" s="751"/>
      <c r="S104" s="751"/>
      <c r="T104" s="1020"/>
    </row>
    <row r="105" spans="2:20" ht="12" customHeight="1" x14ac:dyDescent="0.2">
      <c r="B105" s="367">
        <v>0</v>
      </c>
      <c r="C105" s="337">
        <v>0.255</v>
      </c>
      <c r="D105" s="337">
        <f>C105</f>
        <v>0.255</v>
      </c>
      <c r="E105" s="1110">
        <f>D105</f>
        <v>0.255</v>
      </c>
      <c r="F105" s="1241"/>
      <c r="G105" s="340">
        <f>G$25</f>
        <v>2027</v>
      </c>
      <c r="H105" s="340">
        <f>H$25</f>
        <v>2028</v>
      </c>
      <c r="I105" s="1242"/>
      <c r="J105" s="1247"/>
      <c r="K105" s="701"/>
      <c r="L105" s="751"/>
      <c r="M105" s="751"/>
      <c r="N105" s="751"/>
      <c r="O105" s="751"/>
      <c r="P105" s="751"/>
      <c r="Q105" s="751"/>
      <c r="R105" s="751"/>
      <c r="S105" s="751"/>
      <c r="T105" s="1020"/>
    </row>
    <row r="106" spans="2:20" ht="12" customHeight="1" x14ac:dyDescent="0.2">
      <c r="B106" s="364" t="s">
        <v>755</v>
      </c>
      <c r="C106" s="770">
        <v>0</v>
      </c>
      <c r="D106" s="771">
        <f>C106*(1+G106)</f>
        <v>0</v>
      </c>
      <c r="E106" s="1119">
        <f>D106*(1+H106)</f>
        <v>0</v>
      </c>
      <c r="F106" s="1127" t="s">
        <v>682</v>
      </c>
      <c r="G106" s="1110">
        <v>0.03</v>
      </c>
      <c r="H106" s="1111">
        <f>G106</f>
        <v>0.03</v>
      </c>
      <c r="I106" s="1242"/>
      <c r="J106" s="1247"/>
      <c r="K106" s="701"/>
      <c r="L106" s="751"/>
      <c r="M106" s="751"/>
      <c r="N106" s="751"/>
      <c r="O106" s="751"/>
      <c r="P106" s="751"/>
      <c r="Q106" s="751"/>
      <c r="R106" s="751"/>
      <c r="S106" s="751"/>
      <c r="T106" s="1020"/>
    </row>
    <row r="107" spans="2:20" ht="12" customHeight="1" x14ac:dyDescent="0.2">
      <c r="B107" s="364" t="s">
        <v>318</v>
      </c>
      <c r="C107" s="773">
        <v>0</v>
      </c>
      <c r="D107" s="772">
        <f>C107*12/C$13+G107*C107*12/C$13</f>
        <v>0</v>
      </c>
      <c r="E107" s="1124">
        <f>D107*(1+H107)</f>
        <v>0</v>
      </c>
      <c r="F107" s="1127" t="s">
        <v>681</v>
      </c>
      <c r="G107" s="1110">
        <v>0</v>
      </c>
      <c r="H107" s="1111">
        <f>G107</f>
        <v>0</v>
      </c>
      <c r="I107" s="1242"/>
      <c r="J107" s="1247"/>
      <c r="K107" s="701"/>
      <c r="L107" s="751"/>
      <c r="M107" s="751"/>
      <c r="N107" s="751"/>
      <c r="O107" s="751"/>
      <c r="P107" s="751"/>
      <c r="Q107" s="751"/>
      <c r="R107" s="751"/>
      <c r="S107" s="751"/>
      <c r="T107" s="1020"/>
    </row>
    <row r="108" spans="2:20" ht="12" customHeight="1" x14ac:dyDescent="0.2">
      <c r="B108" s="364" t="s">
        <v>756</v>
      </c>
      <c r="C108" s="774">
        <f>IF(C106=0,0,C107*C106/(1+C105))</f>
        <v>0</v>
      </c>
      <c r="D108" s="774">
        <f>IF(D106=0,0,D107*D106/(1+D105))</f>
        <v>0</v>
      </c>
      <c r="E108" s="1121">
        <f>IF(E106=0,0,E107*E106/(1+E105))</f>
        <v>0</v>
      </c>
      <c r="F108" s="1127"/>
      <c r="G108" s="362"/>
      <c r="H108" s="362"/>
      <c r="I108" s="1252"/>
      <c r="J108" s="1247"/>
      <c r="K108" s="701"/>
      <c r="L108" s="751"/>
      <c r="M108" s="751"/>
      <c r="N108" s="751"/>
      <c r="O108" s="751"/>
      <c r="P108" s="751"/>
      <c r="Q108" s="751"/>
      <c r="R108" s="751"/>
      <c r="S108" s="751"/>
      <c r="T108" s="1020"/>
    </row>
    <row r="109" spans="2:20" ht="12" customHeight="1" x14ac:dyDescent="0.2">
      <c r="B109" s="364" t="s">
        <v>757</v>
      </c>
      <c r="C109" s="770">
        <v>0</v>
      </c>
      <c r="D109" s="771">
        <f>C109*(1+G109)</f>
        <v>0</v>
      </c>
      <c r="E109" s="1119">
        <f>D109*(1+H109)</f>
        <v>0</v>
      </c>
      <c r="F109" s="1127" t="s">
        <v>683</v>
      </c>
      <c r="G109" s="1110">
        <v>0.03</v>
      </c>
      <c r="H109" s="1111">
        <f>G109</f>
        <v>0.03</v>
      </c>
      <c r="I109" s="1242"/>
      <c r="J109" s="1247"/>
      <c r="K109" s="701"/>
      <c r="L109" s="751"/>
      <c r="M109" s="751"/>
      <c r="N109" s="751"/>
      <c r="O109" s="751"/>
      <c r="P109" s="751"/>
      <c r="Q109" s="751"/>
      <c r="R109" s="751"/>
      <c r="S109" s="751"/>
      <c r="T109" s="1020"/>
    </row>
    <row r="110" spans="2:20" ht="12" customHeight="1" x14ac:dyDescent="0.2">
      <c r="B110" s="364" t="s">
        <v>319</v>
      </c>
      <c r="C110" s="338">
        <v>0</v>
      </c>
      <c r="D110" s="337">
        <f>C110</f>
        <v>0</v>
      </c>
      <c r="E110" s="1110">
        <f>D110</f>
        <v>0</v>
      </c>
      <c r="F110" s="1128"/>
      <c r="G110" s="898"/>
      <c r="H110" s="898"/>
      <c r="I110" s="1238"/>
      <c r="J110" s="1247"/>
      <c r="K110" s="701"/>
      <c r="L110" s="751"/>
      <c r="M110" s="751"/>
      <c r="N110" s="751"/>
      <c r="O110" s="751"/>
      <c r="P110" s="751"/>
      <c r="Q110" s="751"/>
      <c r="R110" s="751"/>
      <c r="S110" s="751"/>
      <c r="T110" s="1020"/>
    </row>
    <row r="111" spans="2:20" ht="12" customHeight="1" x14ac:dyDescent="0.2">
      <c r="B111" s="364" t="s">
        <v>320</v>
      </c>
      <c r="C111" s="775">
        <f>IF(C106=0,0,(C106-(C109+(C109*C110)))/C106)</f>
        <v>0</v>
      </c>
      <c r="D111" s="775">
        <f>IF(D106=0,0,(D106-(D109+(D109*D110)))/D106)</f>
        <v>0</v>
      </c>
      <c r="E111" s="1122">
        <f>IF(E106=0,0,(E106-(E109+(E109*E110)))/E106)</f>
        <v>0</v>
      </c>
      <c r="F111" s="1128"/>
      <c r="G111" s="898"/>
      <c r="H111" s="898"/>
      <c r="I111" s="1238"/>
      <c r="J111" s="1247"/>
      <c r="K111" s="701"/>
      <c r="L111" s="751"/>
      <c r="M111" s="751"/>
      <c r="N111" s="751"/>
      <c r="O111" s="751"/>
      <c r="P111" s="751"/>
      <c r="Q111" s="751"/>
      <c r="R111" s="751"/>
      <c r="S111" s="751"/>
      <c r="T111" s="1020"/>
    </row>
    <row r="112" spans="2:20" ht="12" customHeight="1" x14ac:dyDescent="0.2">
      <c r="B112" s="364" t="s">
        <v>758</v>
      </c>
      <c r="C112" s="776">
        <f>IF(C109=0,0,(C109/(1-C110))/(1+C105))</f>
        <v>0</v>
      </c>
      <c r="D112" s="776">
        <f>IF(D109=0,0,(D109/(1-D110))/(1+D105))</f>
        <v>0</v>
      </c>
      <c r="E112" s="1123">
        <f>IF(E109=0,0,(E109/(1-E110))/(1+E105))</f>
        <v>0</v>
      </c>
      <c r="F112" s="1128"/>
      <c r="G112" s="898"/>
      <c r="H112" s="898"/>
      <c r="I112" s="1238"/>
      <c r="J112" s="1247"/>
      <c r="K112" s="701"/>
      <c r="L112" s="751"/>
      <c r="M112" s="751"/>
      <c r="N112" s="751"/>
      <c r="O112" s="751"/>
      <c r="P112" s="751"/>
      <c r="Q112" s="751"/>
      <c r="R112" s="751"/>
      <c r="S112" s="751"/>
      <c r="T112" s="1020"/>
    </row>
    <row r="113" spans="2:20" ht="12" customHeight="1" x14ac:dyDescent="0.2">
      <c r="B113" s="364" t="s">
        <v>759</v>
      </c>
      <c r="C113" s="774">
        <f>C112*C107</f>
        <v>0</v>
      </c>
      <c r="D113" s="774">
        <f>D112*D107</f>
        <v>0</v>
      </c>
      <c r="E113" s="1121">
        <f>E112*E107</f>
        <v>0</v>
      </c>
      <c r="F113" s="1128" t="s">
        <v>0</v>
      </c>
      <c r="G113" s="898"/>
      <c r="H113" s="898"/>
      <c r="I113" s="1238"/>
      <c r="J113" s="1247"/>
      <c r="K113" s="701"/>
      <c r="L113" s="751"/>
      <c r="M113" s="751"/>
      <c r="N113" s="751"/>
      <c r="O113" s="751"/>
      <c r="P113" s="751"/>
      <c r="Q113" s="751"/>
      <c r="R113" s="751"/>
      <c r="S113" s="751"/>
      <c r="T113" s="1020"/>
    </row>
    <row r="114" spans="2:20" s="52" customFormat="1" ht="4.5" customHeight="1" x14ac:dyDescent="0.2">
      <c r="B114" s="1130"/>
      <c r="C114" s="1131"/>
      <c r="D114" s="1131"/>
      <c r="E114" s="1131"/>
      <c r="F114" s="1239"/>
      <c r="G114" s="1112"/>
      <c r="H114" s="1112"/>
      <c r="I114" s="1240"/>
      <c r="J114" s="1248"/>
      <c r="K114" s="1034"/>
      <c r="L114" s="161"/>
      <c r="M114" s="161"/>
      <c r="N114" s="751"/>
      <c r="O114" s="751"/>
      <c r="P114" s="751"/>
      <c r="Q114" s="751"/>
      <c r="R114" s="751"/>
      <c r="S114" s="751"/>
      <c r="T114" s="1020"/>
    </row>
    <row r="115" spans="2:20" ht="12" customHeight="1" x14ac:dyDescent="0.2">
      <c r="B115" s="367">
        <v>0</v>
      </c>
      <c r="C115" s="337">
        <v>0.255</v>
      </c>
      <c r="D115" s="337">
        <f>C115</f>
        <v>0.255</v>
      </c>
      <c r="E115" s="1110">
        <f>D115</f>
        <v>0.255</v>
      </c>
      <c r="F115" s="1241"/>
      <c r="G115" s="340">
        <f>G$25</f>
        <v>2027</v>
      </c>
      <c r="H115" s="340">
        <f>H$25</f>
        <v>2028</v>
      </c>
      <c r="I115" s="1242"/>
      <c r="J115" s="1247"/>
      <c r="K115" s="701"/>
      <c r="L115" s="751"/>
      <c r="M115" s="751"/>
      <c r="N115" s="751"/>
      <c r="O115" s="751"/>
      <c r="P115" s="751"/>
      <c r="Q115" s="751"/>
      <c r="R115" s="751"/>
      <c r="S115" s="751"/>
      <c r="T115" s="1020"/>
    </row>
    <row r="116" spans="2:20" ht="12" customHeight="1" x14ac:dyDescent="0.2">
      <c r="B116" s="364" t="s">
        <v>755</v>
      </c>
      <c r="C116" s="770">
        <v>0</v>
      </c>
      <c r="D116" s="771">
        <f>C116*(1+G116)</f>
        <v>0</v>
      </c>
      <c r="E116" s="1119">
        <f>D116*(1+H116)</f>
        <v>0</v>
      </c>
      <c r="F116" s="1127" t="s">
        <v>682</v>
      </c>
      <c r="G116" s="1110">
        <v>0.03</v>
      </c>
      <c r="H116" s="1111">
        <f>G116</f>
        <v>0.03</v>
      </c>
      <c r="I116" s="1242"/>
      <c r="J116" s="1247"/>
      <c r="K116" s="701"/>
      <c r="L116" s="751"/>
      <c r="M116" s="751"/>
      <c r="N116" s="751"/>
      <c r="O116" s="751"/>
      <c r="P116" s="751"/>
      <c r="Q116" s="751"/>
      <c r="R116" s="751"/>
      <c r="S116" s="751"/>
      <c r="T116" s="1020"/>
    </row>
    <row r="117" spans="2:20" ht="12" customHeight="1" x14ac:dyDescent="0.2">
      <c r="B117" s="364" t="s">
        <v>318</v>
      </c>
      <c r="C117" s="773">
        <v>0</v>
      </c>
      <c r="D117" s="772">
        <f>C117*12/C$13+G117*C117*12/C$13</f>
        <v>0</v>
      </c>
      <c r="E117" s="1124">
        <f>D117*(1+H117)</f>
        <v>0</v>
      </c>
      <c r="F117" s="1127" t="s">
        <v>681</v>
      </c>
      <c r="G117" s="1110">
        <v>0</v>
      </c>
      <c r="H117" s="1111">
        <f>G117</f>
        <v>0</v>
      </c>
      <c r="I117" s="1242"/>
      <c r="J117" s="1247"/>
      <c r="K117" s="701"/>
      <c r="L117" s="751"/>
      <c r="M117" s="751"/>
      <c r="N117" s="751"/>
      <c r="O117" s="751"/>
      <c r="P117" s="751"/>
      <c r="Q117" s="751"/>
      <c r="R117" s="751"/>
      <c r="S117" s="751"/>
      <c r="T117" s="1020"/>
    </row>
    <row r="118" spans="2:20" ht="12" customHeight="1" x14ac:dyDescent="0.2">
      <c r="B118" s="364" t="s">
        <v>756</v>
      </c>
      <c r="C118" s="774">
        <f>IF(C116=0,0,C117*C116/(1+C115))</f>
        <v>0</v>
      </c>
      <c r="D118" s="774">
        <f>IF(D116=0,0,D117*D116/(1+D115))</f>
        <v>0</v>
      </c>
      <c r="E118" s="1121">
        <f>IF(E116=0,0,E117*E116/(1+E115))</f>
        <v>0</v>
      </c>
      <c r="F118" s="1127"/>
      <c r="G118" s="362"/>
      <c r="H118" s="362"/>
      <c r="I118" s="1252"/>
      <c r="J118" s="1247"/>
      <c r="K118" s="701"/>
      <c r="L118" s="751"/>
      <c r="M118" s="751"/>
      <c r="N118" s="751"/>
      <c r="O118" s="751"/>
      <c r="P118" s="751"/>
      <c r="Q118" s="751"/>
      <c r="R118" s="751"/>
      <c r="S118" s="751"/>
      <c r="T118" s="1020"/>
    </row>
    <row r="119" spans="2:20" ht="12" customHeight="1" x14ac:dyDescent="0.2">
      <c r="B119" s="364" t="s">
        <v>757</v>
      </c>
      <c r="C119" s="770">
        <v>0</v>
      </c>
      <c r="D119" s="771">
        <f>C119*(1+G119)</f>
        <v>0</v>
      </c>
      <c r="E119" s="1119">
        <f>D119*(1+H119)</f>
        <v>0</v>
      </c>
      <c r="F119" s="1127" t="s">
        <v>683</v>
      </c>
      <c r="G119" s="1110">
        <v>0.03</v>
      </c>
      <c r="H119" s="1111">
        <f>G119</f>
        <v>0.03</v>
      </c>
      <c r="I119" s="1242"/>
      <c r="J119" s="1247"/>
      <c r="K119" s="701"/>
      <c r="L119" s="751"/>
      <c r="M119" s="751"/>
      <c r="N119" s="751"/>
      <c r="O119" s="751"/>
      <c r="P119" s="751"/>
      <c r="Q119" s="751"/>
      <c r="R119" s="751"/>
      <c r="S119" s="751"/>
      <c r="T119" s="1020"/>
    </row>
    <row r="120" spans="2:20" ht="12" customHeight="1" x14ac:dyDescent="0.2">
      <c r="B120" s="364" t="s">
        <v>319</v>
      </c>
      <c r="C120" s="338">
        <v>0</v>
      </c>
      <c r="D120" s="337">
        <f>C120</f>
        <v>0</v>
      </c>
      <c r="E120" s="1110">
        <f>D120</f>
        <v>0</v>
      </c>
      <c r="F120" s="1128"/>
      <c r="G120" s="898"/>
      <c r="H120" s="898"/>
      <c r="I120" s="1238"/>
      <c r="J120" s="1247"/>
      <c r="K120" s="701"/>
      <c r="L120" s="751"/>
      <c r="M120" s="751"/>
      <c r="N120" s="751"/>
      <c r="O120" s="751"/>
      <c r="P120" s="751"/>
      <c r="Q120" s="751"/>
      <c r="R120" s="751"/>
      <c r="S120" s="751"/>
      <c r="T120" s="1020"/>
    </row>
    <row r="121" spans="2:20" ht="12" customHeight="1" x14ac:dyDescent="0.2">
      <c r="B121" s="364" t="s">
        <v>320</v>
      </c>
      <c r="C121" s="775">
        <f>IF(C116=0,0,(C116-(C119+(C119*C120)))/C116)</f>
        <v>0</v>
      </c>
      <c r="D121" s="775">
        <f>IF(D116=0,0,(D116-(D119+(D119*D120)))/D116)</f>
        <v>0</v>
      </c>
      <c r="E121" s="1122">
        <f>IF(E116=0,0,(E116-(E119+(E119*E120)))/E116)</f>
        <v>0</v>
      </c>
      <c r="F121" s="1128"/>
      <c r="G121" s="898"/>
      <c r="H121" s="898"/>
      <c r="I121" s="1238"/>
      <c r="J121" s="1247"/>
      <c r="K121" s="701"/>
      <c r="L121" s="751"/>
      <c r="M121" s="751"/>
      <c r="N121" s="751"/>
      <c r="O121" s="751"/>
      <c r="P121" s="751"/>
      <c r="Q121" s="751"/>
      <c r="R121" s="751"/>
      <c r="S121" s="751"/>
      <c r="T121" s="1020"/>
    </row>
    <row r="122" spans="2:20" ht="12" customHeight="1" x14ac:dyDescent="0.2">
      <c r="B122" s="364" t="s">
        <v>758</v>
      </c>
      <c r="C122" s="776">
        <f>IF(C119=0,0,(C119/(1-C120))/(1+C115))</f>
        <v>0</v>
      </c>
      <c r="D122" s="776">
        <f>IF(D119=0,0,(D119/(1-D120))/(1+D115))</f>
        <v>0</v>
      </c>
      <c r="E122" s="1123">
        <f>IF(E119=0,0,(E119/(1-E120))/(1+E115))</f>
        <v>0</v>
      </c>
      <c r="F122" s="1128"/>
      <c r="G122" s="898"/>
      <c r="H122" s="898"/>
      <c r="I122" s="1238"/>
      <c r="J122" s="1247"/>
      <c r="K122" s="701"/>
      <c r="L122" s="751"/>
      <c r="M122" s="751"/>
      <c r="N122" s="751"/>
      <c r="O122" s="751"/>
      <c r="P122" s="751"/>
      <c r="Q122" s="751"/>
      <c r="R122" s="751"/>
      <c r="S122" s="751"/>
      <c r="T122" s="1020"/>
    </row>
    <row r="123" spans="2:20" ht="12" customHeight="1" x14ac:dyDescent="0.2">
      <c r="B123" s="364" t="s">
        <v>759</v>
      </c>
      <c r="C123" s="774">
        <f>C122*C117</f>
        <v>0</v>
      </c>
      <c r="D123" s="774">
        <f>D122*D117</f>
        <v>0</v>
      </c>
      <c r="E123" s="1121">
        <f>E122*E117</f>
        <v>0</v>
      </c>
      <c r="F123" s="1128" t="s">
        <v>0</v>
      </c>
      <c r="G123" s="898"/>
      <c r="H123" s="898"/>
      <c r="I123" s="1238"/>
      <c r="J123" s="1247"/>
      <c r="K123" s="701"/>
      <c r="L123" s="751"/>
      <c r="M123" s="751"/>
      <c r="N123" s="751"/>
      <c r="O123" s="751"/>
      <c r="P123" s="751"/>
      <c r="Q123" s="751"/>
      <c r="R123" s="751"/>
      <c r="S123" s="751"/>
      <c r="T123" s="1020"/>
    </row>
    <row r="124" spans="2:20" s="52" customFormat="1" ht="4.5" customHeight="1" x14ac:dyDescent="0.2">
      <c r="B124" s="1132"/>
      <c r="C124" s="1133"/>
      <c r="D124" s="1133"/>
      <c r="E124" s="1133"/>
      <c r="F124" s="1239"/>
      <c r="G124" s="1112"/>
      <c r="H124" s="1112"/>
      <c r="I124" s="1240"/>
      <c r="J124" s="1248"/>
      <c r="K124" s="1034"/>
      <c r="L124" s="161"/>
      <c r="M124" s="161"/>
      <c r="N124" s="751"/>
      <c r="O124" s="751"/>
      <c r="P124" s="751"/>
      <c r="Q124" s="751"/>
      <c r="R124" s="751"/>
      <c r="S124" s="751"/>
      <c r="T124" s="1020"/>
    </row>
    <row r="125" spans="2:20" ht="12" customHeight="1" x14ac:dyDescent="0.2">
      <c r="B125" s="367" t="s">
        <v>779</v>
      </c>
      <c r="C125" s="337">
        <v>0.255</v>
      </c>
      <c r="D125" s="337">
        <f>C125</f>
        <v>0.255</v>
      </c>
      <c r="E125" s="1110">
        <f>D125</f>
        <v>0.255</v>
      </c>
      <c r="F125" s="1241"/>
      <c r="G125" s="340">
        <f>G$25</f>
        <v>2027</v>
      </c>
      <c r="H125" s="340">
        <f>H$25</f>
        <v>2028</v>
      </c>
      <c r="I125" s="1242"/>
      <c r="J125" s="1247"/>
      <c r="K125" s="701"/>
      <c r="L125" s="751"/>
      <c r="M125" s="751"/>
      <c r="N125" s="751"/>
      <c r="O125" s="751"/>
      <c r="P125" s="751"/>
      <c r="Q125" s="751"/>
      <c r="R125" s="751"/>
      <c r="S125" s="751"/>
      <c r="T125" s="1020"/>
    </row>
    <row r="126" spans="2:20" ht="12" customHeight="1" x14ac:dyDescent="0.2">
      <c r="B126" s="364" t="s">
        <v>755</v>
      </c>
      <c r="C126" s="1228">
        <v>0</v>
      </c>
      <c r="D126" s="778">
        <f>C126*(1+G126)</f>
        <v>0</v>
      </c>
      <c r="E126" s="1125">
        <f>D126*(1+H126)</f>
        <v>0</v>
      </c>
      <c r="F126" s="1127" t="s">
        <v>682</v>
      </c>
      <c r="G126" s="1110">
        <v>0.03</v>
      </c>
      <c r="H126" s="1111">
        <f>G126</f>
        <v>0.03</v>
      </c>
      <c r="I126" s="1242"/>
      <c r="J126" s="1247"/>
      <c r="K126" s="701"/>
      <c r="L126" s="751"/>
      <c r="M126" s="751"/>
      <c r="N126" s="751"/>
      <c r="O126" s="751"/>
      <c r="P126" s="751"/>
      <c r="Q126" s="751"/>
      <c r="R126" s="751"/>
      <c r="S126" s="751"/>
      <c r="T126" s="1020"/>
    </row>
    <row r="127" spans="2:20" ht="12" customHeight="1" x14ac:dyDescent="0.2">
      <c r="B127" s="364" t="s">
        <v>318</v>
      </c>
      <c r="C127" s="1229">
        <v>0</v>
      </c>
      <c r="D127" s="772">
        <f>C127*12/C$13+G127*C127*12/C$13</f>
        <v>0</v>
      </c>
      <c r="E127" s="1124">
        <f>D127*(1+H127)</f>
        <v>0</v>
      </c>
      <c r="F127" s="1127" t="s">
        <v>681</v>
      </c>
      <c r="G127" s="1110">
        <v>0</v>
      </c>
      <c r="H127" s="1111">
        <f>G127</f>
        <v>0</v>
      </c>
      <c r="I127" s="1242"/>
      <c r="J127" s="1247"/>
      <c r="K127" s="701"/>
      <c r="L127" s="751"/>
      <c r="M127" s="751"/>
      <c r="N127" s="751"/>
      <c r="O127" s="751"/>
      <c r="P127" s="751"/>
      <c r="Q127" s="751"/>
      <c r="R127" s="751"/>
      <c r="S127" s="751"/>
      <c r="T127" s="1020"/>
    </row>
    <row r="128" spans="2:20" ht="12" customHeight="1" x14ac:dyDescent="0.2">
      <c r="B128" s="364" t="s">
        <v>756</v>
      </c>
      <c r="C128" s="1229">
        <v>0</v>
      </c>
      <c r="D128" s="773">
        <f>C128*(1+G128)</f>
        <v>0</v>
      </c>
      <c r="E128" s="1124">
        <f>D128*(1+H128)</f>
        <v>0</v>
      </c>
      <c r="F128" s="1127" t="s">
        <v>682</v>
      </c>
      <c r="G128" s="1110">
        <v>0.03</v>
      </c>
      <c r="H128" s="1111">
        <f>G128</f>
        <v>0.03</v>
      </c>
      <c r="I128" s="1252"/>
      <c r="J128" s="1247"/>
      <c r="K128" s="701"/>
      <c r="L128" s="751"/>
      <c r="M128" s="751"/>
      <c r="N128" s="751"/>
      <c r="O128" s="751"/>
      <c r="P128" s="751"/>
      <c r="Q128" s="751"/>
      <c r="R128" s="751"/>
      <c r="S128" s="751"/>
      <c r="T128" s="1020"/>
    </row>
    <row r="129" spans="2:20" ht="12" customHeight="1" x14ac:dyDescent="0.2">
      <c r="B129" s="364" t="s">
        <v>757</v>
      </c>
      <c r="C129" s="859">
        <v>0</v>
      </c>
      <c r="D129" s="860">
        <f>C129</f>
        <v>0</v>
      </c>
      <c r="E129" s="1126">
        <f>D129</f>
        <v>0</v>
      </c>
      <c r="F129" s="1128"/>
      <c r="G129" s="898"/>
      <c r="H129" s="898"/>
      <c r="I129" s="1237"/>
      <c r="J129" s="1247"/>
      <c r="K129" s="701"/>
      <c r="L129" s="751"/>
      <c r="M129" s="751"/>
      <c r="N129" s="751"/>
      <c r="O129" s="751"/>
      <c r="P129" s="751"/>
      <c r="Q129" s="751"/>
      <c r="R129" s="751"/>
      <c r="S129" s="751"/>
      <c r="T129" s="1020"/>
    </row>
    <row r="130" spans="2:20" ht="12" customHeight="1" x14ac:dyDescent="0.2">
      <c r="B130" s="364" t="s">
        <v>319</v>
      </c>
      <c r="C130" s="774">
        <f>IF(C126=0,0,C127*C126-'4 AT  Myynnin alv'!B19)</f>
        <v>0</v>
      </c>
      <c r="D130" s="774">
        <f>IF(D126=0,0,D127*D126-'4 AT  Myynnin alv'!C19)</f>
        <v>0</v>
      </c>
      <c r="E130" s="1121">
        <f>IF(E126=0,0,E127*E126-'4 AT  Myynnin alv'!D19)</f>
        <v>0</v>
      </c>
      <c r="F130" s="1128"/>
      <c r="G130" s="898"/>
      <c r="H130" s="898"/>
      <c r="I130" s="1238"/>
      <c r="J130" s="1247"/>
      <c r="K130" s="701"/>
      <c r="L130" s="751"/>
      <c r="M130" s="751"/>
      <c r="N130" s="751"/>
      <c r="O130" s="751"/>
      <c r="P130" s="751"/>
      <c r="Q130" s="751"/>
      <c r="R130" s="751"/>
      <c r="S130" s="751"/>
      <c r="T130" s="1020"/>
    </row>
    <row r="131" spans="2:20" ht="12" customHeight="1" x14ac:dyDescent="0.2">
      <c r="B131" s="364" t="s">
        <v>320</v>
      </c>
      <c r="C131" s="775">
        <f>IF(C126=0,0,(C130-C133)/C130)</f>
        <v>0</v>
      </c>
      <c r="D131" s="775">
        <f t="shared" ref="D131:E131" si="6">IF(D126=0,0,(D130-D133)/D130)</f>
        <v>0</v>
      </c>
      <c r="E131" s="1122">
        <f t="shared" si="6"/>
        <v>0</v>
      </c>
      <c r="F131" s="1128"/>
      <c r="G131" s="898"/>
      <c r="H131" s="898"/>
      <c r="I131" s="1238"/>
      <c r="J131" s="1247"/>
      <c r="K131" s="701"/>
      <c r="L131" s="751"/>
      <c r="M131" s="751"/>
      <c r="N131" s="751"/>
      <c r="O131" s="751"/>
      <c r="P131" s="751"/>
      <c r="Q131" s="751"/>
      <c r="R131" s="751"/>
      <c r="S131" s="751"/>
      <c r="T131" s="1020"/>
    </row>
    <row r="132" spans="2:20" ht="12" customHeight="1" x14ac:dyDescent="0.2">
      <c r="B132" s="364" t="s">
        <v>758</v>
      </c>
      <c r="C132" s="776">
        <f>IF(C128=0,0,(C128/(1-C129)))</f>
        <v>0</v>
      </c>
      <c r="D132" s="776">
        <f t="shared" ref="D132:E132" si="7">IF(D128=0,0,(D128/(1-D129)))</f>
        <v>0</v>
      </c>
      <c r="E132" s="1123">
        <f t="shared" si="7"/>
        <v>0</v>
      </c>
      <c r="F132" s="1128"/>
      <c r="G132" s="898"/>
      <c r="H132" s="898"/>
      <c r="I132" s="1238"/>
      <c r="J132" s="1247"/>
      <c r="K132" s="701"/>
      <c r="L132" s="751"/>
      <c r="M132" s="751"/>
      <c r="N132" s="751"/>
      <c r="O132" s="751"/>
      <c r="P132" s="751"/>
      <c r="Q132" s="751"/>
      <c r="R132" s="751"/>
      <c r="S132" s="751"/>
      <c r="T132" s="1020"/>
    </row>
    <row r="133" spans="2:20" ht="12" customHeight="1" x14ac:dyDescent="0.2">
      <c r="B133" s="364" t="s">
        <v>759</v>
      </c>
      <c r="C133" s="774">
        <f>C132*C127</f>
        <v>0</v>
      </c>
      <c r="D133" s="774">
        <f>D132*D127</f>
        <v>0</v>
      </c>
      <c r="E133" s="1121">
        <f>E132*E127</f>
        <v>0</v>
      </c>
      <c r="F133" s="1244" t="s">
        <v>0</v>
      </c>
      <c r="G133" s="1245"/>
      <c r="H133" s="1245"/>
      <c r="I133" s="1246"/>
      <c r="J133" s="1247"/>
      <c r="K133" s="1035"/>
      <c r="L133" s="1014"/>
      <c r="M133" s="1014"/>
      <c r="N133" s="1014"/>
      <c r="O133" s="1014"/>
      <c r="P133" s="1014"/>
      <c r="Q133" s="1014"/>
      <c r="R133" s="1014"/>
      <c r="S133" s="1014"/>
      <c r="T133" s="1023"/>
    </row>
    <row r="134" spans="2:20" ht="4.5" customHeight="1" x14ac:dyDescent="0.2">
      <c r="B134" s="162"/>
      <c r="C134" s="400"/>
      <c r="D134" s="400"/>
      <c r="E134" s="400"/>
      <c r="F134" s="339"/>
      <c r="G134" s="339"/>
      <c r="H134" s="339"/>
      <c r="I134" s="361"/>
    </row>
    <row r="135" spans="2:20" ht="12.75" customHeight="1" x14ac:dyDescent="0.2">
      <c r="B135" s="1115" t="s">
        <v>543</v>
      </c>
      <c r="C135" s="1116">
        <f>C76*C77+C86*C87+C96*C97+C106*C107+C116*C117+C126*C127+C65</f>
        <v>0</v>
      </c>
      <c r="D135" s="1116">
        <f>D76*D77+D86*D87+D96*D97+D106*D107+D116*D117+D126*D127+D65</f>
        <v>0</v>
      </c>
      <c r="E135" s="1116">
        <f>E76*E77+E86*E87+E96*E97+E106*E107+E116*E117+E126*E127+E65</f>
        <v>0</v>
      </c>
      <c r="F135" s="339"/>
      <c r="G135" s="339"/>
      <c r="H135" s="339"/>
      <c r="I135" s="361"/>
    </row>
    <row r="136" spans="2:20" ht="12" customHeight="1" x14ac:dyDescent="0.2">
      <c r="B136" s="1117" t="s">
        <v>544</v>
      </c>
      <c r="C136" s="1116">
        <f>C88+C98+C108+C118+C130+C66+C78</f>
        <v>0</v>
      </c>
      <c r="D136" s="1116">
        <f>D88+D98+D108+D118+D130+D66+D78</f>
        <v>0</v>
      </c>
      <c r="E136" s="1116">
        <f>E88+E98+E108+E118+E130+E66+E78</f>
        <v>0</v>
      </c>
      <c r="F136" s="339"/>
      <c r="G136" s="339"/>
      <c r="H136" s="339"/>
      <c r="I136" s="361"/>
    </row>
    <row r="137" spans="2:20" ht="12" customHeight="1" x14ac:dyDescent="0.2">
      <c r="B137" s="1117" t="s">
        <v>596</v>
      </c>
      <c r="C137" s="1116">
        <f>C123+C123*C115+C113+C113*C105+C103+C103*C95+C93+C93*C85+C83+C83*C75+C67</f>
        <v>0</v>
      </c>
      <c r="D137" s="1116">
        <f t="shared" ref="D137:E137" si="8">D123+D123*D115+D113+D113*D105+D103+D103*D95+D93+D93*D85+D83+D83*D75+D67</f>
        <v>0</v>
      </c>
      <c r="E137" s="1116">
        <f t="shared" si="8"/>
        <v>0</v>
      </c>
      <c r="F137" s="339"/>
      <c r="G137" s="339"/>
      <c r="H137" s="339"/>
      <c r="I137" s="361"/>
    </row>
    <row r="138" spans="2:20" ht="12" customHeight="1" x14ac:dyDescent="0.2">
      <c r="B138" s="1117" t="s">
        <v>597</v>
      </c>
      <c r="C138" s="1116">
        <f>C133+C123+C113+C103+C93+C83+C68</f>
        <v>0</v>
      </c>
      <c r="D138" s="1116">
        <f>D133+D123+D113+D103+D93+D83+D68</f>
        <v>0</v>
      </c>
      <c r="E138" s="1116">
        <f>E133+E123+E113+E103+E93+E83+E68</f>
        <v>0</v>
      </c>
      <c r="F138" s="339"/>
      <c r="G138" s="339"/>
      <c r="H138" s="339"/>
      <c r="I138" s="361"/>
    </row>
    <row r="139" spans="2:20" ht="12" customHeight="1" x14ac:dyDescent="0.2">
      <c r="B139" s="1117" t="s">
        <v>594</v>
      </c>
      <c r="C139" s="1118">
        <f>IF(C136=0,0,(C136-C138)/C136)</f>
        <v>0</v>
      </c>
      <c r="D139" s="1118">
        <f t="shared" ref="D139:E139" si="9">IF(D136=0,0,(D136-D138)/D136)</f>
        <v>0</v>
      </c>
      <c r="E139" s="1118">
        <f t="shared" si="9"/>
        <v>0</v>
      </c>
      <c r="F139" s="339"/>
      <c r="G139" s="339"/>
      <c r="H139" s="339"/>
      <c r="I139" s="361"/>
    </row>
    <row r="140" spans="2:20" ht="4.5" customHeight="1" x14ac:dyDescent="0.2">
      <c r="B140" s="371"/>
      <c r="C140" s="783"/>
      <c r="D140" s="783"/>
      <c r="E140" s="783"/>
      <c r="F140" s="339"/>
      <c r="G140" s="339"/>
      <c r="H140" s="339"/>
      <c r="I140" s="361"/>
    </row>
    <row r="141" spans="2:20" ht="12" customHeight="1" x14ac:dyDescent="0.2">
      <c r="B141" s="1650"/>
      <c r="C141" s="1108" t="str">
        <f t="shared" ref="C141:E142" si="10">C11</f>
        <v>Period 1</v>
      </c>
      <c r="D141" s="1108" t="str">
        <f t="shared" si="10"/>
        <v>Period 2</v>
      </c>
      <c r="E141" s="1108" t="str">
        <f t="shared" si="10"/>
        <v>Period 3</v>
      </c>
      <c r="F141" s="339"/>
      <c r="G141" s="339"/>
      <c r="H141" s="339"/>
      <c r="I141" s="361"/>
    </row>
    <row r="142" spans="2:20" ht="12" customHeight="1" x14ac:dyDescent="0.2">
      <c r="B142" s="1650"/>
      <c r="C142" s="1140">
        <f t="shared" si="10"/>
        <v>2026</v>
      </c>
      <c r="D142" s="1140">
        <f t="shared" si="10"/>
        <v>2027</v>
      </c>
      <c r="E142" s="1140">
        <f t="shared" si="10"/>
        <v>2028</v>
      </c>
      <c r="F142" s="339"/>
      <c r="G142" s="339"/>
      <c r="H142" s="339"/>
      <c r="I142" s="361"/>
    </row>
    <row r="143" spans="2:20" ht="12" customHeight="1" x14ac:dyDescent="0.2">
      <c r="B143" s="1106" t="str">
        <f>B73</f>
        <v>Räkenskapsperiodens längd</v>
      </c>
      <c r="C143" s="1141">
        <f>C73</f>
        <v>12</v>
      </c>
      <c r="D143" s="1141">
        <f>D73</f>
        <v>12</v>
      </c>
      <c r="E143" s="1141">
        <f>E73</f>
        <v>12</v>
      </c>
      <c r="F143" s="339"/>
      <c r="G143" s="339"/>
      <c r="H143" s="339"/>
      <c r="I143" s="361"/>
    </row>
    <row r="144" spans="2:20" ht="6" customHeight="1" x14ac:dyDescent="0.2">
      <c r="B144" s="162"/>
      <c r="C144" s="400"/>
      <c r="D144" s="400"/>
      <c r="E144" s="400"/>
      <c r="F144" s="339"/>
      <c r="G144" s="339"/>
      <c r="H144" s="339"/>
      <c r="I144" s="361"/>
    </row>
    <row r="145" spans="1:20" ht="12" customHeight="1" x14ac:dyDescent="0.2">
      <c r="B145" s="367">
        <v>0</v>
      </c>
      <c r="C145" s="337">
        <v>0.255</v>
      </c>
      <c r="D145" s="337">
        <f>C145</f>
        <v>0.255</v>
      </c>
      <c r="E145" s="1110">
        <f>D145</f>
        <v>0.255</v>
      </c>
      <c r="F145" s="1369"/>
      <c r="G145" s="1236">
        <f>G$15</f>
        <v>2027</v>
      </c>
      <c r="H145" s="1236">
        <f>H$15</f>
        <v>2028</v>
      </c>
      <c r="I145" s="1368"/>
      <c r="K145" s="1025" t="s">
        <v>310</v>
      </c>
      <c r="L145" s="1030"/>
      <c r="M145" s="1030"/>
      <c r="N145" s="1030"/>
      <c r="O145" s="1030"/>
      <c r="P145" s="1030"/>
      <c r="Q145" s="1030"/>
      <c r="R145" s="1030"/>
      <c r="S145" s="1030"/>
      <c r="T145" s="1031"/>
    </row>
    <row r="146" spans="1:20" ht="12" customHeight="1" x14ac:dyDescent="0.2">
      <c r="B146" s="364" t="s">
        <v>755</v>
      </c>
      <c r="C146" s="770">
        <v>0</v>
      </c>
      <c r="D146" s="770">
        <f>C146*(1+G146)</f>
        <v>0</v>
      </c>
      <c r="E146" s="1119">
        <f>D146*(1+H146)</f>
        <v>0</v>
      </c>
      <c r="F146" s="1127" t="s">
        <v>682</v>
      </c>
      <c r="G146" s="1111">
        <v>0.03</v>
      </c>
      <c r="H146" s="1114">
        <f>G146</f>
        <v>0.03</v>
      </c>
      <c r="I146" s="1242"/>
      <c r="K146" s="701"/>
      <c r="L146" s="751"/>
      <c r="M146" s="751"/>
      <c r="N146" s="751"/>
      <c r="O146" s="751"/>
      <c r="P146" s="751"/>
      <c r="Q146" s="751"/>
      <c r="R146" s="751"/>
      <c r="S146" s="751"/>
      <c r="T146" s="1020"/>
    </row>
    <row r="147" spans="1:20" ht="12" customHeight="1" x14ac:dyDescent="0.2">
      <c r="B147" s="364" t="s">
        <v>318</v>
      </c>
      <c r="C147" s="773">
        <v>0</v>
      </c>
      <c r="D147" s="773">
        <f>C147*12/C$13+G147*C147*12/C$13</f>
        <v>0</v>
      </c>
      <c r="E147" s="1124">
        <f>D147*(1+H147)</f>
        <v>0</v>
      </c>
      <c r="F147" s="1127" t="s">
        <v>681</v>
      </c>
      <c r="G147" s="1111">
        <v>0</v>
      </c>
      <c r="H147" s="1114">
        <f>G147</f>
        <v>0</v>
      </c>
      <c r="I147" s="1242"/>
      <c r="K147" s="701"/>
      <c r="L147" s="751"/>
      <c r="M147" s="751"/>
      <c r="N147" s="751"/>
      <c r="O147" s="751"/>
      <c r="P147" s="751"/>
      <c r="Q147" s="751"/>
      <c r="R147" s="751"/>
      <c r="S147" s="751"/>
      <c r="T147" s="1020"/>
    </row>
    <row r="148" spans="1:20" ht="12" customHeight="1" x14ac:dyDescent="0.2">
      <c r="B148" s="364" t="s">
        <v>756</v>
      </c>
      <c r="C148" s="774">
        <f>IF(C146=0,0,C147*C146/(1+C145))</f>
        <v>0</v>
      </c>
      <c r="D148" s="774">
        <f>IF(D146=0,0,D147*D146/(1+D145))</f>
        <v>0</v>
      </c>
      <c r="E148" s="1121">
        <f>IF(E146=0,0,E147*E146/(1+E145))</f>
        <v>0</v>
      </c>
      <c r="F148" s="1127"/>
      <c r="G148" s="362"/>
      <c r="H148" s="362"/>
      <c r="I148" s="1252"/>
      <c r="K148" s="701"/>
      <c r="L148" s="751"/>
      <c r="M148" s="751"/>
      <c r="N148" s="751"/>
      <c r="O148" s="751"/>
      <c r="P148" s="751"/>
      <c r="Q148" s="751"/>
      <c r="R148" s="751"/>
      <c r="S148" s="751"/>
      <c r="T148" s="1020"/>
    </row>
    <row r="149" spans="1:20" ht="12" customHeight="1" x14ac:dyDescent="0.2">
      <c r="B149" s="364" t="s">
        <v>757</v>
      </c>
      <c r="C149" s="770">
        <v>0</v>
      </c>
      <c r="D149" s="770">
        <f>C149*(1+G149)</f>
        <v>0</v>
      </c>
      <c r="E149" s="1119">
        <f>D149*(1+H149)</f>
        <v>0</v>
      </c>
      <c r="F149" s="1127" t="s">
        <v>683</v>
      </c>
      <c r="G149" s="1111">
        <v>0.03</v>
      </c>
      <c r="H149" s="1114">
        <f>G149</f>
        <v>0.03</v>
      </c>
      <c r="I149" s="1242"/>
      <c r="K149" s="701"/>
      <c r="L149" s="751"/>
      <c r="M149" s="751"/>
      <c r="N149" s="751"/>
      <c r="O149" s="751"/>
      <c r="P149" s="751"/>
      <c r="Q149" s="751"/>
      <c r="R149" s="751"/>
      <c r="S149" s="751"/>
      <c r="T149" s="1020"/>
    </row>
    <row r="150" spans="1:20" ht="12" customHeight="1" x14ac:dyDescent="0.2">
      <c r="B150" s="364" t="s">
        <v>319</v>
      </c>
      <c r="C150" s="338">
        <v>0</v>
      </c>
      <c r="D150" s="338">
        <f>C150</f>
        <v>0</v>
      </c>
      <c r="E150" s="1110">
        <f>D150</f>
        <v>0</v>
      </c>
      <c r="F150" s="1128"/>
      <c r="G150" s="898"/>
      <c r="H150" s="898"/>
      <c r="I150" s="1238"/>
      <c r="K150" s="701"/>
      <c r="L150" s="751"/>
      <c r="M150" s="751"/>
      <c r="N150" s="751"/>
      <c r="O150" s="751"/>
      <c r="P150" s="751"/>
      <c r="Q150" s="751"/>
      <c r="R150" s="751"/>
      <c r="S150" s="751"/>
      <c r="T150" s="1020"/>
    </row>
    <row r="151" spans="1:20" ht="12" customHeight="1" x14ac:dyDescent="0.2">
      <c r="B151" s="364" t="s">
        <v>320</v>
      </c>
      <c r="C151" s="775">
        <f>IF(C146=0,0,(C146-(C149+(C149*C150)))/C146)</f>
        <v>0</v>
      </c>
      <c r="D151" s="775">
        <f>IF(D146=0,0,(D146-(D149+(D149*D150)))/D146)</f>
        <v>0</v>
      </c>
      <c r="E151" s="1122">
        <f>IF(E146=0,0,(E146-(E149+(E149*E150)))/E146)</f>
        <v>0</v>
      </c>
      <c r="F151" s="1128"/>
      <c r="G151" s="898"/>
      <c r="H151" s="898"/>
      <c r="I151" s="1238"/>
      <c r="K151" s="701"/>
      <c r="L151" s="751"/>
      <c r="M151" s="751"/>
      <c r="N151" s="751"/>
      <c r="O151" s="751"/>
      <c r="P151" s="751"/>
      <c r="Q151" s="751"/>
      <c r="R151" s="751"/>
      <c r="S151" s="751"/>
      <c r="T151" s="1020"/>
    </row>
    <row r="152" spans="1:20" ht="12" customHeight="1" x14ac:dyDescent="0.2">
      <c r="B152" s="364" t="s">
        <v>758</v>
      </c>
      <c r="C152" s="776">
        <f>IF(C149=0,0,(C149/(1-C150))/(1+C145))</f>
        <v>0</v>
      </c>
      <c r="D152" s="776">
        <f>IF(D149=0,0,(D149/(1-D150))/(1+D145))</f>
        <v>0</v>
      </c>
      <c r="E152" s="1123">
        <f>IF(E149=0,0,(E149/(1-E150))/(1+E145))</f>
        <v>0</v>
      </c>
      <c r="F152" s="1128"/>
      <c r="G152" s="898"/>
      <c r="H152" s="898"/>
      <c r="I152" s="1238"/>
      <c r="K152" s="701"/>
      <c r="L152" s="751"/>
      <c r="M152" s="751"/>
      <c r="N152" s="751"/>
      <c r="O152" s="751"/>
      <c r="P152" s="751"/>
      <c r="Q152" s="751"/>
      <c r="R152" s="751"/>
      <c r="S152" s="751"/>
      <c r="T152" s="1020"/>
    </row>
    <row r="153" spans="1:20" ht="12" customHeight="1" x14ac:dyDescent="0.2">
      <c r="B153" s="364" t="s">
        <v>759</v>
      </c>
      <c r="C153" s="774">
        <f>C152*C147</f>
        <v>0</v>
      </c>
      <c r="D153" s="774">
        <f>D152*D147</f>
        <v>0</v>
      </c>
      <c r="E153" s="1121">
        <f>E152*E147</f>
        <v>0</v>
      </c>
      <c r="F153" s="1128"/>
      <c r="G153" s="898"/>
      <c r="H153" s="898"/>
      <c r="I153" s="1238"/>
      <c r="K153" s="701"/>
      <c r="L153" s="751"/>
      <c r="M153" s="751"/>
      <c r="N153" s="751"/>
      <c r="O153" s="751"/>
      <c r="P153" s="751"/>
      <c r="Q153" s="751"/>
      <c r="R153" s="751"/>
      <c r="S153" s="751"/>
      <c r="T153" s="1020"/>
    </row>
    <row r="154" spans="1:20" s="52" customFormat="1" ht="4.5" customHeight="1" x14ac:dyDescent="0.2">
      <c r="B154" s="1130"/>
      <c r="C154" s="1131"/>
      <c r="D154" s="1131"/>
      <c r="E154" s="1131"/>
      <c r="F154" s="1239"/>
      <c r="G154" s="1112"/>
      <c r="H154" s="1112"/>
      <c r="I154" s="1240"/>
      <c r="K154" s="1034"/>
      <c r="L154" s="161"/>
      <c r="M154" s="161"/>
      <c r="N154" s="751"/>
      <c r="O154" s="751"/>
      <c r="P154" s="751"/>
      <c r="Q154" s="751"/>
      <c r="R154" s="751"/>
      <c r="S154" s="751"/>
      <c r="T154" s="1020"/>
    </row>
    <row r="155" spans="1:20" ht="12" customHeight="1" x14ac:dyDescent="0.2">
      <c r="A155" s="162"/>
      <c r="B155" s="367">
        <v>0</v>
      </c>
      <c r="C155" s="337">
        <v>0.255</v>
      </c>
      <c r="D155" s="337">
        <f>C155</f>
        <v>0.255</v>
      </c>
      <c r="E155" s="1110">
        <f>D155</f>
        <v>0.255</v>
      </c>
      <c r="F155" s="1241"/>
      <c r="G155" s="340">
        <f>G$25</f>
        <v>2027</v>
      </c>
      <c r="H155" s="340">
        <f>H$25</f>
        <v>2028</v>
      </c>
      <c r="I155" s="1242"/>
      <c r="K155" s="701"/>
      <c r="L155" s="751"/>
      <c r="M155" s="751"/>
      <c r="N155" s="751"/>
      <c r="O155" s="751"/>
      <c r="P155" s="751"/>
      <c r="Q155" s="751"/>
      <c r="R155" s="751"/>
      <c r="S155" s="751"/>
      <c r="T155" s="1020"/>
    </row>
    <row r="156" spans="1:20" ht="12" customHeight="1" x14ac:dyDescent="0.2">
      <c r="B156" s="364" t="s">
        <v>755</v>
      </c>
      <c r="C156" s="770">
        <v>0</v>
      </c>
      <c r="D156" s="770">
        <f>C156*(1+G156)</f>
        <v>0</v>
      </c>
      <c r="E156" s="1119">
        <f>D156*(1+H156)</f>
        <v>0</v>
      </c>
      <c r="F156" s="1127" t="s">
        <v>682</v>
      </c>
      <c r="G156" s="1110">
        <v>0.03</v>
      </c>
      <c r="H156" s="1111">
        <f>G156</f>
        <v>0.03</v>
      </c>
      <c r="I156" s="1242"/>
      <c r="K156" s="701"/>
      <c r="L156" s="751"/>
      <c r="M156" s="751"/>
      <c r="N156" s="751"/>
      <c r="O156" s="751"/>
      <c r="P156" s="751"/>
      <c r="Q156" s="751"/>
      <c r="R156" s="751"/>
      <c r="S156" s="751"/>
      <c r="T156" s="1020"/>
    </row>
    <row r="157" spans="1:20" ht="12" customHeight="1" x14ac:dyDescent="0.2">
      <c r="A157" s="162"/>
      <c r="B157" s="364" t="s">
        <v>318</v>
      </c>
      <c r="C157" s="773">
        <v>0</v>
      </c>
      <c r="D157" s="773">
        <f>C157*12/C$13+G157*C157*12/C$13</f>
        <v>0</v>
      </c>
      <c r="E157" s="1124">
        <f>D157*(1+H157)</f>
        <v>0</v>
      </c>
      <c r="F157" s="1127" t="s">
        <v>681</v>
      </c>
      <c r="G157" s="1110">
        <v>0</v>
      </c>
      <c r="H157" s="1111">
        <f>G157</f>
        <v>0</v>
      </c>
      <c r="I157" s="1242"/>
      <c r="K157" s="701"/>
      <c r="L157" s="751"/>
      <c r="M157" s="751"/>
      <c r="N157" s="751"/>
      <c r="O157" s="751"/>
      <c r="P157" s="751"/>
      <c r="Q157" s="751"/>
      <c r="R157" s="751"/>
      <c r="S157" s="751"/>
      <c r="T157" s="1020"/>
    </row>
    <row r="158" spans="1:20" ht="12" customHeight="1" x14ac:dyDescent="0.2">
      <c r="A158" s="2"/>
      <c r="B158" s="364" t="s">
        <v>756</v>
      </c>
      <c r="C158" s="774">
        <f>IF(C156=0,0,C157*C156/(1+C155))</f>
        <v>0</v>
      </c>
      <c r="D158" s="774">
        <f>IF(D156=0,0,D157*D156/(1+D155))</f>
        <v>0</v>
      </c>
      <c r="E158" s="1121">
        <f>IF(E156=0,0,E157*E156/(1+E155))</f>
        <v>0</v>
      </c>
      <c r="F158" s="1127"/>
      <c r="G158" s="362"/>
      <c r="H158" s="362"/>
      <c r="I158" s="1252"/>
      <c r="K158" s="701"/>
      <c r="L158" s="751"/>
      <c r="M158" s="751"/>
      <c r="N158" s="751"/>
      <c r="O158" s="751"/>
      <c r="P158" s="751"/>
      <c r="Q158" s="751"/>
      <c r="R158" s="751"/>
      <c r="S158" s="751"/>
      <c r="T158" s="1020"/>
    </row>
    <row r="159" spans="1:20" ht="12" customHeight="1" x14ac:dyDescent="0.2">
      <c r="A159" s="162"/>
      <c r="B159" s="364" t="s">
        <v>757</v>
      </c>
      <c r="C159" s="770">
        <v>0</v>
      </c>
      <c r="D159" s="770">
        <f>C159*(1+G159)</f>
        <v>0</v>
      </c>
      <c r="E159" s="1119">
        <f>D159*(1+H159)</f>
        <v>0</v>
      </c>
      <c r="F159" s="1127" t="s">
        <v>683</v>
      </c>
      <c r="G159" s="1110">
        <v>0.03</v>
      </c>
      <c r="H159" s="1111">
        <f>G159</f>
        <v>0.03</v>
      </c>
      <c r="I159" s="1242"/>
      <c r="K159" s="701"/>
      <c r="L159" s="751"/>
      <c r="M159" s="751"/>
      <c r="N159" s="751"/>
      <c r="O159" s="751"/>
      <c r="P159" s="751"/>
      <c r="Q159" s="751"/>
      <c r="R159" s="751"/>
      <c r="S159" s="751"/>
      <c r="T159" s="1020"/>
    </row>
    <row r="160" spans="1:20" ht="12" customHeight="1" x14ac:dyDescent="0.2">
      <c r="B160" s="364" t="s">
        <v>319</v>
      </c>
      <c r="C160" s="338">
        <v>0</v>
      </c>
      <c r="D160" s="338">
        <f>C160</f>
        <v>0</v>
      </c>
      <c r="E160" s="1110">
        <f>D160</f>
        <v>0</v>
      </c>
      <c r="F160" s="1128"/>
      <c r="G160" s="898"/>
      <c r="H160" s="898"/>
      <c r="I160" s="1238"/>
      <c r="K160" s="701"/>
      <c r="L160" s="751"/>
      <c r="M160" s="751"/>
      <c r="N160" s="751"/>
      <c r="O160" s="751"/>
      <c r="P160" s="751"/>
      <c r="Q160" s="751"/>
      <c r="R160" s="751"/>
      <c r="S160" s="751"/>
      <c r="T160" s="1020"/>
    </row>
    <row r="161" spans="1:20" ht="12" customHeight="1" x14ac:dyDescent="0.2">
      <c r="A161" s="162"/>
      <c r="B161" s="364" t="s">
        <v>320</v>
      </c>
      <c r="C161" s="775">
        <f>IF(C156=0,0,(C156-(C159+(C159*C160)))/C156)</f>
        <v>0</v>
      </c>
      <c r="D161" s="775">
        <f>IF(D156=0,0,(D156-(D159+(D159*D160)))/D156)</f>
        <v>0</v>
      </c>
      <c r="E161" s="1122">
        <f>IF(E156=0,0,(E156-(E159+(E159*E160)))/E156)</f>
        <v>0</v>
      </c>
      <c r="F161" s="1128"/>
      <c r="G161" s="898"/>
      <c r="H161" s="898"/>
      <c r="I161" s="1238"/>
      <c r="K161" s="701"/>
      <c r="L161" s="751"/>
      <c r="M161" s="751"/>
      <c r="N161" s="751"/>
      <c r="O161" s="751"/>
      <c r="P161" s="751"/>
      <c r="Q161" s="751"/>
      <c r="R161" s="751"/>
      <c r="S161" s="751"/>
      <c r="T161" s="1020"/>
    </row>
    <row r="162" spans="1:20" ht="12" customHeight="1" x14ac:dyDescent="0.2">
      <c r="B162" s="364" t="s">
        <v>758</v>
      </c>
      <c r="C162" s="776">
        <f>IF(C159=0,0,(C159/(1-C160))/(1+C155))</f>
        <v>0</v>
      </c>
      <c r="D162" s="776">
        <f>IF(D159=0,0,(D159/(1-D160))/(1+D155))</f>
        <v>0</v>
      </c>
      <c r="E162" s="1123">
        <f>IF(E159=0,0,(E159/(1-E160))/(1+E155))</f>
        <v>0</v>
      </c>
      <c r="F162" s="1128"/>
      <c r="G162" s="898"/>
      <c r="H162" s="898"/>
      <c r="I162" s="1238"/>
      <c r="K162" s="701"/>
      <c r="L162" s="751"/>
      <c r="M162" s="751"/>
      <c r="N162" s="751"/>
      <c r="O162" s="751"/>
      <c r="P162" s="751"/>
      <c r="Q162" s="751"/>
      <c r="R162" s="751"/>
      <c r="S162" s="751"/>
      <c r="T162" s="1020"/>
    </row>
    <row r="163" spans="1:20" ht="12" customHeight="1" x14ac:dyDescent="0.2">
      <c r="A163" s="162"/>
      <c r="B163" s="364" t="s">
        <v>759</v>
      </c>
      <c r="C163" s="774">
        <f>C162*C157</f>
        <v>0</v>
      </c>
      <c r="D163" s="774">
        <f>D162*D157</f>
        <v>0</v>
      </c>
      <c r="E163" s="1121">
        <f>E162*E157</f>
        <v>0</v>
      </c>
      <c r="F163" s="1128"/>
      <c r="G163" s="898"/>
      <c r="H163" s="898"/>
      <c r="I163" s="1238"/>
      <c r="K163" s="701"/>
      <c r="L163" s="751"/>
      <c r="M163" s="751"/>
      <c r="N163" s="751"/>
      <c r="O163" s="751"/>
      <c r="P163" s="751"/>
      <c r="Q163" s="751"/>
      <c r="R163" s="751"/>
      <c r="S163" s="751"/>
      <c r="T163" s="1020"/>
    </row>
    <row r="164" spans="1:20" ht="4.5" customHeight="1" x14ac:dyDescent="0.2">
      <c r="A164" s="2"/>
      <c r="B164" s="1134"/>
      <c r="C164" s="1131"/>
      <c r="D164" s="1131"/>
      <c r="E164" s="1131"/>
      <c r="F164" s="1241"/>
      <c r="G164" s="339"/>
      <c r="H164" s="339"/>
      <c r="I164" s="1242"/>
      <c r="K164" s="701"/>
      <c r="L164" s="751"/>
      <c r="M164" s="751"/>
      <c r="N164" s="751"/>
      <c r="O164" s="751"/>
      <c r="P164" s="751"/>
      <c r="Q164" s="751"/>
      <c r="R164" s="751"/>
      <c r="S164" s="751"/>
      <c r="T164" s="1020"/>
    </row>
    <row r="165" spans="1:20" ht="12" customHeight="1" x14ac:dyDescent="0.2">
      <c r="B165" s="367">
        <v>0</v>
      </c>
      <c r="C165" s="337">
        <v>0.255</v>
      </c>
      <c r="D165" s="337">
        <f>C165</f>
        <v>0.255</v>
      </c>
      <c r="E165" s="1110">
        <f>D165</f>
        <v>0.255</v>
      </c>
      <c r="F165" s="1241"/>
      <c r="G165" s="340">
        <f>G$25</f>
        <v>2027</v>
      </c>
      <c r="H165" s="340">
        <f>H$25</f>
        <v>2028</v>
      </c>
      <c r="I165" s="1242"/>
      <c r="K165" s="701"/>
      <c r="L165" s="751"/>
      <c r="M165" s="751"/>
      <c r="N165" s="751"/>
      <c r="O165" s="751"/>
      <c r="P165" s="751"/>
      <c r="Q165" s="751"/>
      <c r="R165" s="751"/>
      <c r="S165" s="751"/>
      <c r="T165" s="1020"/>
    </row>
    <row r="166" spans="1:20" ht="12" customHeight="1" x14ac:dyDescent="0.2">
      <c r="A166" s="162"/>
      <c r="B166" s="364" t="s">
        <v>755</v>
      </c>
      <c r="C166" s="770">
        <v>0</v>
      </c>
      <c r="D166" s="770">
        <f>C166*(1+G166)</f>
        <v>0</v>
      </c>
      <c r="E166" s="1119">
        <f>D166*(1+H166)</f>
        <v>0</v>
      </c>
      <c r="F166" s="1127" t="s">
        <v>682</v>
      </c>
      <c r="G166" s="1110">
        <v>0.03</v>
      </c>
      <c r="H166" s="1111">
        <f>G166</f>
        <v>0.03</v>
      </c>
      <c r="I166" s="1242"/>
      <c r="K166" s="701"/>
      <c r="L166" s="751"/>
      <c r="M166" s="751"/>
      <c r="N166" s="751"/>
      <c r="O166" s="751"/>
      <c r="P166" s="751"/>
      <c r="Q166" s="751"/>
      <c r="R166" s="751"/>
      <c r="S166" s="751"/>
      <c r="T166" s="1020"/>
    </row>
    <row r="167" spans="1:20" ht="12" customHeight="1" x14ac:dyDescent="0.2">
      <c r="B167" s="364" t="s">
        <v>318</v>
      </c>
      <c r="C167" s="773">
        <v>0</v>
      </c>
      <c r="D167" s="773">
        <f>C167*12/C$13+G167*C167*12/C$13</f>
        <v>0</v>
      </c>
      <c r="E167" s="1124">
        <f>D167*(1+H167)</f>
        <v>0</v>
      </c>
      <c r="F167" s="1127" t="s">
        <v>681</v>
      </c>
      <c r="G167" s="1110">
        <v>0</v>
      </c>
      <c r="H167" s="1111">
        <f>G167</f>
        <v>0</v>
      </c>
      <c r="I167" s="1242"/>
      <c r="K167" s="701"/>
      <c r="L167" s="751"/>
      <c r="M167" s="751"/>
      <c r="N167" s="751"/>
      <c r="O167" s="751"/>
      <c r="P167" s="751"/>
      <c r="Q167" s="751"/>
      <c r="R167" s="751"/>
      <c r="S167" s="751"/>
      <c r="T167" s="1020"/>
    </row>
    <row r="168" spans="1:20" ht="12" customHeight="1" x14ac:dyDescent="0.2">
      <c r="A168" s="162"/>
      <c r="B168" s="364" t="s">
        <v>756</v>
      </c>
      <c r="C168" s="774">
        <f>IF(C166=0,0,C167*C166/(1+C165))</f>
        <v>0</v>
      </c>
      <c r="D168" s="774">
        <f>IF(D166=0,0,D167*D166/(1+D165))</f>
        <v>0</v>
      </c>
      <c r="E168" s="1121">
        <f>IF(E166=0,0,E167*E166/(1+E165))</f>
        <v>0</v>
      </c>
      <c r="F168" s="1127"/>
      <c r="G168" s="362"/>
      <c r="H168" s="362"/>
      <c r="I168" s="1252"/>
      <c r="K168" s="701"/>
      <c r="L168" s="751"/>
      <c r="M168" s="751"/>
      <c r="N168" s="751"/>
      <c r="O168" s="751"/>
      <c r="P168" s="751"/>
      <c r="Q168" s="751"/>
      <c r="R168" s="751"/>
      <c r="S168" s="751"/>
      <c r="T168" s="1020"/>
    </row>
    <row r="169" spans="1:20" ht="12" customHeight="1" x14ac:dyDescent="0.2">
      <c r="A169" s="2"/>
      <c r="B169" s="364" t="s">
        <v>757</v>
      </c>
      <c r="C169" s="770">
        <v>0</v>
      </c>
      <c r="D169" s="770">
        <f>C169*(1+G169)</f>
        <v>0</v>
      </c>
      <c r="E169" s="1119">
        <f>D169*(1+H169)</f>
        <v>0</v>
      </c>
      <c r="F169" s="1127" t="s">
        <v>683</v>
      </c>
      <c r="G169" s="1110">
        <v>0.03</v>
      </c>
      <c r="H169" s="1111">
        <f>G169</f>
        <v>0.03</v>
      </c>
      <c r="I169" s="1242"/>
      <c r="K169" s="701"/>
      <c r="L169" s="751"/>
      <c r="M169" s="751"/>
      <c r="N169" s="751"/>
      <c r="O169" s="751"/>
      <c r="P169" s="751"/>
      <c r="Q169" s="751"/>
      <c r="R169" s="751"/>
      <c r="S169" s="751"/>
      <c r="T169" s="1020"/>
    </row>
    <row r="170" spans="1:20" ht="12" customHeight="1" x14ac:dyDescent="0.2">
      <c r="A170" s="162"/>
      <c r="B170" s="364" t="s">
        <v>319</v>
      </c>
      <c r="C170" s="338">
        <v>0</v>
      </c>
      <c r="D170" s="338">
        <f>C170</f>
        <v>0</v>
      </c>
      <c r="E170" s="1110">
        <f>D170</f>
        <v>0</v>
      </c>
      <c r="F170" s="1128"/>
      <c r="G170" s="898"/>
      <c r="H170" s="898"/>
      <c r="I170" s="1238"/>
      <c r="K170" s="701"/>
      <c r="L170" s="751"/>
      <c r="M170" s="751"/>
      <c r="N170" s="751"/>
      <c r="O170" s="751"/>
      <c r="P170" s="751"/>
      <c r="Q170" s="751"/>
      <c r="R170" s="751"/>
      <c r="S170" s="751"/>
      <c r="T170" s="1020"/>
    </row>
    <row r="171" spans="1:20" ht="12" customHeight="1" x14ac:dyDescent="0.2">
      <c r="B171" s="364" t="s">
        <v>320</v>
      </c>
      <c r="C171" s="775">
        <f>IF(C166=0,0,(C166-(C169+(C169*C170)))/C166)</f>
        <v>0</v>
      </c>
      <c r="D171" s="775">
        <f>IF(D166=0,0,(D166-(D169+(D169*D170)))/D166)</f>
        <v>0</v>
      </c>
      <c r="E171" s="1122">
        <f>IF(E166=0,0,(E166-(E169+(E169*E170)))/E166)</f>
        <v>0</v>
      </c>
      <c r="F171" s="1128"/>
      <c r="G171" s="898"/>
      <c r="H171" s="898"/>
      <c r="I171" s="1238"/>
      <c r="K171" s="701"/>
      <c r="L171" s="751"/>
      <c r="M171" s="751"/>
      <c r="N171" s="751"/>
      <c r="O171" s="751"/>
      <c r="P171" s="751"/>
      <c r="Q171" s="751"/>
      <c r="R171" s="751"/>
      <c r="S171" s="751"/>
      <c r="T171" s="1020"/>
    </row>
    <row r="172" spans="1:20" ht="12" customHeight="1" x14ac:dyDescent="0.2">
      <c r="A172" s="162"/>
      <c r="B172" s="364" t="s">
        <v>758</v>
      </c>
      <c r="C172" s="776">
        <f>IF(C169=0,0,(C169/(1-C170))/(1+C165))</f>
        <v>0</v>
      </c>
      <c r="D172" s="776">
        <f>IF(D169=0,0,(D169/(1-D170))/(1+D165))</f>
        <v>0</v>
      </c>
      <c r="E172" s="1123">
        <f>IF(E169=0,0,(E169/(1-E170))/(1+E165))</f>
        <v>0</v>
      </c>
      <c r="F172" s="1128"/>
      <c r="G172" s="898"/>
      <c r="H172" s="898"/>
      <c r="I172" s="1238"/>
      <c r="K172" s="701"/>
      <c r="L172" s="751"/>
      <c r="M172" s="751"/>
      <c r="N172" s="751"/>
      <c r="O172" s="751"/>
      <c r="P172" s="751"/>
      <c r="Q172" s="751"/>
      <c r="R172" s="751"/>
      <c r="S172" s="751"/>
      <c r="T172" s="1020"/>
    </row>
    <row r="173" spans="1:20" ht="12" customHeight="1" x14ac:dyDescent="0.2">
      <c r="B173" s="364" t="s">
        <v>759</v>
      </c>
      <c r="C173" s="774">
        <f>C172*C167</f>
        <v>0</v>
      </c>
      <c r="D173" s="774">
        <f>D172*D167</f>
        <v>0</v>
      </c>
      <c r="E173" s="1121">
        <f>E172*E167</f>
        <v>0</v>
      </c>
      <c r="F173" s="1128"/>
      <c r="G173" s="898"/>
      <c r="H173" s="898"/>
      <c r="I173" s="1238"/>
      <c r="K173" s="701"/>
      <c r="L173" s="751"/>
      <c r="M173" s="751"/>
      <c r="N173" s="751"/>
      <c r="O173" s="751"/>
      <c r="P173" s="751"/>
      <c r="Q173" s="751"/>
      <c r="R173" s="751"/>
      <c r="S173" s="751"/>
      <c r="T173" s="1020"/>
    </row>
    <row r="174" spans="1:20" s="52" customFormat="1" ht="4.5" customHeight="1" x14ac:dyDescent="0.2">
      <c r="A174" s="405"/>
      <c r="B174" s="1130"/>
      <c r="C174" s="1131"/>
      <c r="D174" s="1131"/>
      <c r="E174" s="1131"/>
      <c r="F174" s="1243"/>
      <c r="G174" s="1113"/>
      <c r="H174" s="1113"/>
      <c r="I174" s="1240"/>
      <c r="K174" s="1034"/>
      <c r="L174" s="161"/>
      <c r="M174" s="161"/>
      <c r="N174" s="751"/>
      <c r="O174" s="751"/>
      <c r="P174" s="751"/>
      <c r="Q174" s="751"/>
      <c r="R174" s="751"/>
      <c r="S174" s="751"/>
      <c r="T174" s="1020"/>
    </row>
    <row r="175" spans="1:20" ht="12" customHeight="1" x14ac:dyDescent="0.2">
      <c r="A175" s="2"/>
      <c r="B175" s="367">
        <v>0</v>
      </c>
      <c r="C175" s="337">
        <v>0.255</v>
      </c>
      <c r="D175" s="337">
        <f>C175</f>
        <v>0.255</v>
      </c>
      <c r="E175" s="1110">
        <f>D175</f>
        <v>0.255</v>
      </c>
      <c r="F175" s="1241"/>
      <c r="G175" s="340">
        <f>G$25</f>
        <v>2027</v>
      </c>
      <c r="H175" s="340">
        <f>H$25</f>
        <v>2028</v>
      </c>
      <c r="I175" s="1242"/>
      <c r="K175" s="701"/>
      <c r="L175" s="751"/>
      <c r="M175" s="751"/>
      <c r="N175" s="751"/>
      <c r="O175" s="751"/>
      <c r="P175" s="751"/>
      <c r="Q175" s="751"/>
      <c r="R175" s="751"/>
      <c r="S175" s="751"/>
      <c r="T175" s="1020"/>
    </row>
    <row r="176" spans="1:20" ht="12" customHeight="1" x14ac:dyDescent="0.2">
      <c r="B176" s="364" t="s">
        <v>755</v>
      </c>
      <c r="C176" s="770">
        <v>0</v>
      </c>
      <c r="D176" s="778">
        <f>C176*(1+G176)</f>
        <v>0</v>
      </c>
      <c r="E176" s="1125">
        <f>D176*(1+H176)</f>
        <v>0</v>
      </c>
      <c r="F176" s="1127" t="s">
        <v>682</v>
      </c>
      <c r="G176" s="1110">
        <v>0.03</v>
      </c>
      <c r="H176" s="1111">
        <f>G176</f>
        <v>0.03</v>
      </c>
      <c r="I176" s="1242"/>
      <c r="K176" s="701"/>
      <c r="L176" s="751"/>
      <c r="M176" s="751"/>
      <c r="N176" s="751"/>
      <c r="O176" s="751"/>
      <c r="P176" s="751"/>
      <c r="Q176" s="751"/>
      <c r="R176" s="751"/>
      <c r="S176" s="751"/>
      <c r="T176" s="1020"/>
    </row>
    <row r="177" spans="2:20" ht="12" customHeight="1" x14ac:dyDescent="0.2">
      <c r="B177" s="364" t="s">
        <v>318</v>
      </c>
      <c r="C177" s="773">
        <v>0</v>
      </c>
      <c r="D177" s="772">
        <f>C177*12/C$13+G177*C177*12/C$13</f>
        <v>0</v>
      </c>
      <c r="E177" s="1124">
        <f>D177*(1+H177)</f>
        <v>0</v>
      </c>
      <c r="F177" s="1127" t="s">
        <v>681</v>
      </c>
      <c r="G177" s="1110">
        <v>0</v>
      </c>
      <c r="H177" s="1111">
        <f>G177</f>
        <v>0</v>
      </c>
      <c r="I177" s="1242"/>
      <c r="K177" s="701"/>
      <c r="L177" s="751"/>
      <c r="M177" s="751"/>
      <c r="N177" s="751"/>
      <c r="O177" s="751"/>
      <c r="P177" s="751"/>
      <c r="Q177" s="751"/>
      <c r="R177" s="751"/>
      <c r="S177" s="751"/>
      <c r="T177" s="1020"/>
    </row>
    <row r="178" spans="2:20" ht="12" customHeight="1" x14ac:dyDescent="0.2">
      <c r="B178" s="364" t="s">
        <v>756</v>
      </c>
      <c r="C178" s="774">
        <f>IF(C176=0,0,C177*C176/(1+C175))</f>
        <v>0</v>
      </c>
      <c r="D178" s="774">
        <f>IF(D176=0,0,D177*D176/(1+D175))</f>
        <v>0</v>
      </c>
      <c r="E178" s="1121">
        <f>IF(E176=0,0,E177*E176/(1+E175))</f>
        <v>0</v>
      </c>
      <c r="F178" s="1127"/>
      <c r="G178" s="362"/>
      <c r="H178" s="362"/>
      <c r="I178" s="1252"/>
      <c r="K178" s="701"/>
      <c r="L178" s="751"/>
      <c r="M178" s="751"/>
      <c r="N178" s="751"/>
      <c r="O178" s="751"/>
      <c r="P178" s="751"/>
      <c r="Q178" s="751"/>
      <c r="R178" s="751"/>
      <c r="S178" s="751"/>
      <c r="T178" s="1020"/>
    </row>
    <row r="179" spans="2:20" ht="12" customHeight="1" x14ac:dyDescent="0.2">
      <c r="B179" s="364" t="s">
        <v>757</v>
      </c>
      <c r="C179" s="770">
        <v>0</v>
      </c>
      <c r="D179" s="771">
        <f>C179*(1+G179)</f>
        <v>0</v>
      </c>
      <c r="E179" s="1119">
        <f>D179*(1+H179)</f>
        <v>0</v>
      </c>
      <c r="F179" s="1127" t="s">
        <v>683</v>
      </c>
      <c r="G179" s="1110">
        <v>0.03</v>
      </c>
      <c r="H179" s="1111">
        <f>G179</f>
        <v>0.03</v>
      </c>
      <c r="I179" s="1242"/>
      <c r="K179" s="701"/>
      <c r="L179" s="751"/>
      <c r="M179" s="751"/>
      <c r="N179" s="751"/>
      <c r="O179" s="751"/>
      <c r="P179" s="751"/>
      <c r="Q179" s="751"/>
      <c r="R179" s="751"/>
      <c r="S179" s="751"/>
      <c r="T179" s="1020"/>
    </row>
    <row r="180" spans="2:20" ht="12" customHeight="1" x14ac:dyDescent="0.2">
      <c r="B180" s="364" t="s">
        <v>319</v>
      </c>
      <c r="C180" s="338">
        <v>0</v>
      </c>
      <c r="D180" s="337">
        <f>C180</f>
        <v>0</v>
      </c>
      <c r="E180" s="1110">
        <f>D180</f>
        <v>0</v>
      </c>
      <c r="F180" s="1128"/>
      <c r="G180" s="898"/>
      <c r="H180" s="898"/>
      <c r="I180" s="1238"/>
      <c r="K180" s="701"/>
      <c r="L180" s="751"/>
      <c r="M180" s="751"/>
      <c r="N180" s="751"/>
      <c r="O180" s="751"/>
      <c r="P180" s="751"/>
      <c r="Q180" s="751"/>
      <c r="R180" s="751"/>
      <c r="S180" s="751"/>
      <c r="T180" s="1020"/>
    </row>
    <row r="181" spans="2:20" ht="12" customHeight="1" x14ac:dyDescent="0.2">
      <c r="B181" s="364" t="s">
        <v>320</v>
      </c>
      <c r="C181" s="775">
        <f>IF(C176=0,0,(C176-(C179+(C179*C180)))/C176)</f>
        <v>0</v>
      </c>
      <c r="D181" s="775">
        <f>IF(D176=0,0,(D176-(D179+(D179*D180)))/D176)</f>
        <v>0</v>
      </c>
      <c r="E181" s="1122">
        <f>IF(E176=0,0,(E176-(E179+(E179*E180)))/E176)</f>
        <v>0</v>
      </c>
      <c r="F181" s="1128"/>
      <c r="G181" s="898"/>
      <c r="H181" s="898"/>
      <c r="I181" s="1238"/>
      <c r="K181" s="701"/>
      <c r="L181" s="751"/>
      <c r="M181" s="751"/>
      <c r="N181" s="751"/>
      <c r="O181" s="751"/>
      <c r="P181" s="751"/>
      <c r="Q181" s="751"/>
      <c r="R181" s="751"/>
      <c r="S181" s="751"/>
      <c r="T181" s="1020"/>
    </row>
    <row r="182" spans="2:20" ht="12" customHeight="1" x14ac:dyDescent="0.2">
      <c r="B182" s="364" t="s">
        <v>758</v>
      </c>
      <c r="C182" s="776">
        <f>IF(C179=0,0,(C179/(1-C180))/(1+C175))</f>
        <v>0</v>
      </c>
      <c r="D182" s="776">
        <f>IF(D179=0,0,(D179/(1-D180))/(1+D175))</f>
        <v>0</v>
      </c>
      <c r="E182" s="1123">
        <f>IF(E179=0,0,(E179/(1-E180))/(1+E175))</f>
        <v>0</v>
      </c>
      <c r="F182" s="1128"/>
      <c r="G182" s="898"/>
      <c r="H182" s="898"/>
      <c r="I182" s="1238"/>
      <c r="K182" s="701"/>
      <c r="L182" s="751"/>
      <c r="M182" s="751"/>
      <c r="N182" s="751"/>
      <c r="O182" s="751"/>
      <c r="P182" s="751"/>
      <c r="Q182" s="751"/>
      <c r="R182" s="751"/>
      <c r="S182" s="751"/>
      <c r="T182" s="1020"/>
    </row>
    <row r="183" spans="2:20" ht="12" customHeight="1" x14ac:dyDescent="0.2">
      <c r="B183" s="364" t="s">
        <v>759</v>
      </c>
      <c r="C183" s="774">
        <f>C182*C177</f>
        <v>0</v>
      </c>
      <c r="D183" s="774">
        <f>D182*D177</f>
        <v>0</v>
      </c>
      <c r="E183" s="1121">
        <f>E182*E177</f>
        <v>0</v>
      </c>
      <c r="F183" s="1128" t="s">
        <v>0</v>
      </c>
      <c r="G183" s="898"/>
      <c r="H183" s="898"/>
      <c r="I183" s="1238"/>
      <c r="K183" s="701"/>
      <c r="L183" s="751"/>
      <c r="M183" s="751"/>
      <c r="N183" s="751"/>
      <c r="O183" s="751"/>
      <c r="P183" s="751"/>
      <c r="Q183" s="751"/>
      <c r="R183" s="751"/>
      <c r="S183" s="751"/>
      <c r="T183" s="1020"/>
    </row>
    <row r="184" spans="2:20" s="52" customFormat="1" ht="4.5" customHeight="1" x14ac:dyDescent="0.2">
      <c r="B184" s="1130"/>
      <c r="C184" s="1131"/>
      <c r="D184" s="1131"/>
      <c r="E184" s="1131"/>
      <c r="F184" s="1243"/>
      <c r="G184" s="1113"/>
      <c r="H184" s="1113"/>
      <c r="I184" s="1240"/>
      <c r="K184" s="1034"/>
      <c r="L184" s="161"/>
      <c r="M184" s="161"/>
      <c r="N184" s="751"/>
      <c r="O184" s="751"/>
      <c r="P184" s="751"/>
      <c r="Q184" s="751"/>
      <c r="R184" s="751"/>
      <c r="S184" s="751"/>
      <c r="T184" s="1020"/>
    </row>
    <row r="185" spans="2:20" ht="12" customHeight="1" x14ac:dyDescent="0.2">
      <c r="B185" s="367">
        <v>0</v>
      </c>
      <c r="C185" s="337">
        <v>0.255</v>
      </c>
      <c r="D185" s="337">
        <f>C185</f>
        <v>0.255</v>
      </c>
      <c r="E185" s="1110">
        <f>D185</f>
        <v>0.255</v>
      </c>
      <c r="F185" s="1241"/>
      <c r="G185" s="340">
        <f>G$25</f>
        <v>2027</v>
      </c>
      <c r="H185" s="340">
        <f>H$25</f>
        <v>2028</v>
      </c>
      <c r="I185" s="1242"/>
      <c r="K185" s="701"/>
      <c r="L185" s="751"/>
      <c r="M185" s="751"/>
      <c r="N185" s="751"/>
      <c r="O185" s="751"/>
      <c r="P185" s="751"/>
      <c r="Q185" s="751"/>
      <c r="R185" s="751"/>
      <c r="S185" s="751"/>
      <c r="T185" s="1020"/>
    </row>
    <row r="186" spans="2:20" ht="12" customHeight="1" x14ac:dyDescent="0.2">
      <c r="B186" s="364" t="s">
        <v>755</v>
      </c>
      <c r="C186" s="1228">
        <v>0</v>
      </c>
      <c r="D186" s="778">
        <f>C186*(1+G186)</f>
        <v>0</v>
      </c>
      <c r="E186" s="1125">
        <f>D186*(1+H186)</f>
        <v>0</v>
      </c>
      <c r="F186" s="1127" t="s">
        <v>682</v>
      </c>
      <c r="G186" s="1110">
        <v>0.03</v>
      </c>
      <c r="H186" s="1111">
        <f>G186</f>
        <v>0.03</v>
      </c>
      <c r="I186" s="1242"/>
      <c r="K186" s="701"/>
      <c r="L186" s="751"/>
      <c r="M186" s="751"/>
      <c r="N186" s="751"/>
      <c r="O186" s="751"/>
      <c r="P186" s="751"/>
      <c r="Q186" s="751"/>
      <c r="R186" s="751"/>
      <c r="S186" s="751"/>
      <c r="T186" s="1020"/>
    </row>
    <row r="187" spans="2:20" ht="12" customHeight="1" x14ac:dyDescent="0.2">
      <c r="B187" s="364" t="s">
        <v>318</v>
      </c>
      <c r="C187" s="1229">
        <v>0</v>
      </c>
      <c r="D187" s="772">
        <f>C187*(1+G187)</f>
        <v>0</v>
      </c>
      <c r="E187" s="1124">
        <f>D187*(1+H187)</f>
        <v>0</v>
      </c>
      <c r="F187" s="1127" t="s">
        <v>681</v>
      </c>
      <c r="G187" s="1110">
        <v>0</v>
      </c>
      <c r="H187" s="1111">
        <f>G187</f>
        <v>0</v>
      </c>
      <c r="I187" s="1242"/>
      <c r="K187" s="701"/>
      <c r="L187" s="751"/>
      <c r="M187" s="751"/>
      <c r="N187" s="751"/>
      <c r="O187" s="751"/>
      <c r="P187" s="751"/>
      <c r="Q187" s="751"/>
      <c r="R187" s="751"/>
      <c r="S187" s="751"/>
      <c r="T187" s="1020"/>
    </row>
    <row r="188" spans="2:20" ht="12" customHeight="1" x14ac:dyDescent="0.2">
      <c r="B188" s="364" t="s">
        <v>756</v>
      </c>
      <c r="C188" s="774">
        <f>IF(C186=0,0,C187*C186/(1+C185))</f>
        <v>0</v>
      </c>
      <c r="D188" s="774">
        <f>IF(D186=0,0,D187*D186/(1+D185))</f>
        <v>0</v>
      </c>
      <c r="E188" s="1121">
        <f>IF(E186=0,0,E187*E186/(1+E185))</f>
        <v>0</v>
      </c>
      <c r="F188" s="1127"/>
      <c r="G188" s="362"/>
      <c r="H188" s="362"/>
      <c r="I188" s="1252"/>
      <c r="K188" s="701"/>
      <c r="L188" s="751"/>
      <c r="M188" s="751"/>
      <c r="N188" s="751"/>
      <c r="O188" s="751"/>
      <c r="P188" s="751"/>
      <c r="Q188" s="751"/>
      <c r="R188" s="751"/>
      <c r="S188" s="751"/>
      <c r="T188" s="1020"/>
    </row>
    <row r="189" spans="2:20" ht="12" customHeight="1" x14ac:dyDescent="0.2">
      <c r="B189" s="364" t="s">
        <v>757</v>
      </c>
      <c r="C189" s="770">
        <v>0</v>
      </c>
      <c r="D189" s="771">
        <f>C189*(1+G189)</f>
        <v>0</v>
      </c>
      <c r="E189" s="1119">
        <f>D189*(1+H189)</f>
        <v>0</v>
      </c>
      <c r="F189" s="1127" t="s">
        <v>683</v>
      </c>
      <c r="G189" s="1110">
        <v>0.03</v>
      </c>
      <c r="H189" s="1111">
        <f>G189</f>
        <v>0.03</v>
      </c>
      <c r="I189" s="1242"/>
      <c r="K189" s="701"/>
      <c r="L189" s="751"/>
      <c r="M189" s="751"/>
      <c r="N189" s="751"/>
      <c r="O189" s="751"/>
      <c r="P189" s="751"/>
      <c r="Q189" s="751"/>
      <c r="R189" s="751"/>
      <c r="S189" s="751"/>
      <c r="T189" s="1020"/>
    </row>
    <row r="190" spans="2:20" ht="12" customHeight="1" x14ac:dyDescent="0.2">
      <c r="B190" s="364" t="s">
        <v>319</v>
      </c>
      <c r="C190" s="338">
        <v>0</v>
      </c>
      <c r="D190" s="337">
        <f>C190</f>
        <v>0</v>
      </c>
      <c r="E190" s="1110">
        <f>D190</f>
        <v>0</v>
      </c>
      <c r="F190" s="1128"/>
      <c r="G190" s="898"/>
      <c r="H190" s="898"/>
      <c r="I190" s="1238"/>
      <c r="K190" s="701"/>
      <c r="L190" s="751"/>
      <c r="M190" s="751"/>
      <c r="N190" s="751"/>
      <c r="O190" s="751"/>
      <c r="P190" s="751"/>
      <c r="Q190" s="751"/>
      <c r="R190" s="751"/>
      <c r="S190" s="751"/>
      <c r="T190" s="1020"/>
    </row>
    <row r="191" spans="2:20" ht="12" customHeight="1" x14ac:dyDescent="0.2">
      <c r="B191" s="364" t="s">
        <v>320</v>
      </c>
      <c r="C191" s="775">
        <f>IF(C186=0,0,(C186-(C189+(C189*C190)))/C186)</f>
        <v>0</v>
      </c>
      <c r="D191" s="775">
        <f>IF(D186=0,0,(D186-(D189+(D189*D190)))/D186)</f>
        <v>0</v>
      </c>
      <c r="E191" s="1122">
        <f>IF(E186=0,0,(E186-(E189+(E189*E190)))/E186)</f>
        <v>0</v>
      </c>
      <c r="F191" s="1128"/>
      <c r="G191" s="898"/>
      <c r="H191" s="898"/>
      <c r="I191" s="1238"/>
      <c r="K191" s="701"/>
      <c r="L191" s="751"/>
      <c r="M191" s="751"/>
      <c r="N191" s="751"/>
      <c r="O191" s="751"/>
      <c r="P191" s="751"/>
      <c r="Q191" s="751"/>
      <c r="R191" s="751"/>
      <c r="S191" s="751"/>
      <c r="T191" s="1020"/>
    </row>
    <row r="192" spans="2:20" ht="12" customHeight="1" x14ac:dyDescent="0.2">
      <c r="B192" s="364" t="s">
        <v>758</v>
      </c>
      <c r="C192" s="776">
        <f>IF(C189=0,0,(C189/(1-C190))/(1+C185))</f>
        <v>0</v>
      </c>
      <c r="D192" s="776">
        <f>IF(D189=0,0,(D189/(1-D190))/(1+D185))</f>
        <v>0</v>
      </c>
      <c r="E192" s="1123">
        <f>IF(E189=0,0,(E189/(1-E190))/(1+E185))</f>
        <v>0</v>
      </c>
      <c r="F192" s="1128"/>
      <c r="G192" s="898"/>
      <c r="H192" s="898"/>
      <c r="I192" s="1238"/>
      <c r="K192" s="701"/>
      <c r="L192" s="751"/>
      <c r="M192" s="751"/>
      <c r="N192" s="751"/>
      <c r="O192" s="751"/>
      <c r="P192" s="751"/>
      <c r="Q192" s="751"/>
      <c r="R192" s="751"/>
      <c r="S192" s="751"/>
      <c r="T192" s="1020"/>
    </row>
    <row r="193" spans="2:20" ht="12" customHeight="1" x14ac:dyDescent="0.2">
      <c r="B193" s="364" t="s">
        <v>759</v>
      </c>
      <c r="C193" s="774">
        <f>C192*C187</f>
        <v>0</v>
      </c>
      <c r="D193" s="774">
        <f>D192*D187</f>
        <v>0</v>
      </c>
      <c r="E193" s="1121">
        <f>E192*E187</f>
        <v>0</v>
      </c>
      <c r="F193" s="1128" t="s">
        <v>0</v>
      </c>
      <c r="G193" s="898"/>
      <c r="H193" s="898"/>
      <c r="I193" s="1238"/>
      <c r="K193" s="701"/>
      <c r="L193" s="751"/>
      <c r="M193" s="751"/>
      <c r="N193" s="751"/>
      <c r="O193" s="751"/>
      <c r="P193" s="751"/>
      <c r="Q193" s="751"/>
      <c r="R193" s="751"/>
      <c r="S193" s="751"/>
      <c r="T193" s="1020"/>
    </row>
    <row r="194" spans="2:20" s="52" customFormat="1" ht="4.5" customHeight="1" x14ac:dyDescent="0.2">
      <c r="B194" s="1132"/>
      <c r="C194" s="1133"/>
      <c r="D194" s="1133"/>
      <c r="E194" s="1133"/>
      <c r="F194" s="1243"/>
      <c r="G194" s="1113"/>
      <c r="H194" s="1113"/>
      <c r="I194" s="1240"/>
      <c r="K194" s="1034"/>
      <c r="L194" s="161"/>
      <c r="M194" s="161"/>
      <c r="N194" s="751"/>
      <c r="O194" s="751"/>
      <c r="P194" s="751"/>
      <c r="Q194" s="751"/>
      <c r="R194" s="751"/>
      <c r="S194" s="751"/>
      <c r="T194" s="1020"/>
    </row>
    <row r="195" spans="2:20" ht="12" customHeight="1" x14ac:dyDescent="0.2">
      <c r="B195" s="367" t="s">
        <v>779</v>
      </c>
      <c r="C195" s="337">
        <v>0.255</v>
      </c>
      <c r="D195" s="337">
        <f>C195</f>
        <v>0.255</v>
      </c>
      <c r="E195" s="1110">
        <f>D195</f>
        <v>0.255</v>
      </c>
      <c r="F195" s="1241"/>
      <c r="G195" s="340">
        <f>G$25</f>
        <v>2027</v>
      </c>
      <c r="H195" s="340">
        <f>H$25</f>
        <v>2028</v>
      </c>
      <c r="I195" s="1242"/>
      <c r="K195" s="701"/>
      <c r="L195" s="751"/>
      <c r="M195" s="751"/>
      <c r="N195" s="751"/>
      <c r="O195" s="751"/>
      <c r="P195" s="751"/>
      <c r="Q195" s="751"/>
      <c r="R195" s="751"/>
      <c r="S195" s="751"/>
      <c r="T195" s="1020"/>
    </row>
    <row r="196" spans="2:20" ht="12" customHeight="1" x14ac:dyDescent="0.2">
      <c r="B196" s="364" t="s">
        <v>755</v>
      </c>
      <c r="C196" s="1228">
        <v>0</v>
      </c>
      <c r="D196" s="778">
        <f>C196*(1+G196)</f>
        <v>0</v>
      </c>
      <c r="E196" s="1125">
        <f>D196*(1+H196)</f>
        <v>0</v>
      </c>
      <c r="F196" s="1127" t="s">
        <v>682</v>
      </c>
      <c r="G196" s="1110">
        <v>0.03</v>
      </c>
      <c r="H196" s="1111">
        <f>G196</f>
        <v>0.03</v>
      </c>
      <c r="I196" s="1242"/>
      <c r="K196" s="701"/>
      <c r="L196" s="751"/>
      <c r="M196" s="751"/>
      <c r="N196" s="751"/>
      <c r="O196" s="751"/>
      <c r="P196" s="751"/>
      <c r="Q196" s="751"/>
      <c r="R196" s="751"/>
      <c r="S196" s="751"/>
      <c r="T196" s="1020"/>
    </row>
    <row r="197" spans="2:20" ht="12" customHeight="1" x14ac:dyDescent="0.2">
      <c r="B197" s="364" t="s">
        <v>318</v>
      </c>
      <c r="C197" s="1229">
        <v>0</v>
      </c>
      <c r="D197" s="772">
        <f>C197*12/C$13+G197*C197*12/C$13</f>
        <v>0</v>
      </c>
      <c r="E197" s="1124">
        <f>D197*(1+H197)</f>
        <v>0</v>
      </c>
      <c r="F197" s="1127" t="s">
        <v>681</v>
      </c>
      <c r="G197" s="1110">
        <v>0</v>
      </c>
      <c r="H197" s="1111">
        <f>G197</f>
        <v>0</v>
      </c>
      <c r="I197" s="1242"/>
      <c r="K197" s="701"/>
      <c r="L197" s="751"/>
      <c r="M197" s="751"/>
      <c r="N197" s="751"/>
      <c r="O197" s="751"/>
      <c r="P197" s="751"/>
      <c r="Q197" s="751"/>
      <c r="R197" s="751"/>
      <c r="S197" s="751"/>
      <c r="T197" s="1020"/>
    </row>
    <row r="198" spans="2:20" ht="12" customHeight="1" x14ac:dyDescent="0.2">
      <c r="B198" s="364" t="s">
        <v>756</v>
      </c>
      <c r="C198" s="1229">
        <v>0</v>
      </c>
      <c r="D198" s="773">
        <f>C198*(1+G198)</f>
        <v>0</v>
      </c>
      <c r="E198" s="1124">
        <f>D198*(1+H198)</f>
        <v>0</v>
      </c>
      <c r="F198" s="1127" t="s">
        <v>682</v>
      </c>
      <c r="G198" s="1110">
        <v>0.03</v>
      </c>
      <c r="H198" s="1111">
        <f>G198</f>
        <v>0.03</v>
      </c>
      <c r="I198" s="1252"/>
      <c r="K198" s="701"/>
      <c r="L198" s="751"/>
      <c r="M198" s="751"/>
      <c r="N198" s="751"/>
      <c r="O198" s="751"/>
      <c r="P198" s="751"/>
      <c r="Q198" s="751"/>
      <c r="R198" s="751"/>
      <c r="S198" s="751"/>
      <c r="T198" s="1020"/>
    </row>
    <row r="199" spans="2:20" ht="12" customHeight="1" x14ac:dyDescent="0.2">
      <c r="B199" s="364" t="s">
        <v>757</v>
      </c>
      <c r="C199" s="859">
        <v>0</v>
      </c>
      <c r="D199" s="860">
        <f>C199</f>
        <v>0</v>
      </c>
      <c r="E199" s="1126">
        <f>D199</f>
        <v>0</v>
      </c>
      <c r="F199" s="1128"/>
      <c r="G199" s="898"/>
      <c r="H199" s="898"/>
      <c r="I199" s="1237"/>
      <c r="K199" s="701"/>
      <c r="L199" s="751"/>
      <c r="M199" s="751"/>
      <c r="N199" s="751"/>
      <c r="O199" s="751"/>
      <c r="P199" s="751"/>
      <c r="Q199" s="751"/>
      <c r="R199" s="751"/>
      <c r="S199" s="751"/>
      <c r="T199" s="1020"/>
    </row>
    <row r="200" spans="2:20" ht="12" customHeight="1" x14ac:dyDescent="0.2">
      <c r="B200" s="364" t="s">
        <v>319</v>
      </c>
      <c r="C200" s="774">
        <f>IF(C196=0,0,C197*C196-'4 AT  Myynnin alv'!B26)</f>
        <v>0</v>
      </c>
      <c r="D200" s="774">
        <f>IF(D196=0,0,D197*D196-'4 AT  Myynnin alv'!C26)</f>
        <v>0</v>
      </c>
      <c r="E200" s="1370">
        <f>IF(E196=0,0,E197*E196-'4 AT  Myynnin alv'!D26)</f>
        <v>0</v>
      </c>
      <c r="F200" s="381"/>
      <c r="G200" s="898"/>
      <c r="H200" s="898"/>
      <c r="I200" s="1238"/>
      <c r="K200" s="701"/>
      <c r="L200" s="751"/>
      <c r="M200" s="751"/>
      <c r="N200" s="751"/>
      <c r="O200" s="751"/>
      <c r="P200" s="751"/>
      <c r="Q200" s="751"/>
      <c r="R200" s="751"/>
      <c r="S200" s="751"/>
      <c r="T200" s="1020"/>
    </row>
    <row r="201" spans="2:20" ht="12" customHeight="1" x14ac:dyDescent="0.2">
      <c r="B201" s="364" t="s">
        <v>320</v>
      </c>
      <c r="C201" s="852">
        <f>IF(C196=0,0,(C200-C203)/C200)</f>
        <v>0</v>
      </c>
      <c r="D201" s="852">
        <f t="shared" ref="D201:E201" si="11">IF(D196=0,0,(D200-D203)/D200)</f>
        <v>0</v>
      </c>
      <c r="E201" s="852">
        <f t="shared" si="11"/>
        <v>0</v>
      </c>
      <c r="F201" s="1128"/>
      <c r="G201" s="898"/>
      <c r="H201" s="898"/>
      <c r="I201" s="1238"/>
      <c r="K201" s="701"/>
      <c r="L201" s="751"/>
      <c r="M201" s="751"/>
      <c r="N201" s="751"/>
      <c r="O201" s="751"/>
      <c r="P201" s="751"/>
      <c r="Q201" s="751"/>
      <c r="R201" s="751"/>
      <c r="S201" s="751"/>
      <c r="T201" s="1020"/>
    </row>
    <row r="202" spans="2:20" ht="12" customHeight="1" x14ac:dyDescent="0.2">
      <c r="B202" s="364" t="s">
        <v>758</v>
      </c>
      <c r="C202" s="776">
        <f>IF(C198=0,0,(C198/(1-C199)))</f>
        <v>0</v>
      </c>
      <c r="D202" s="776">
        <f t="shared" ref="D202:E202" si="12">IF(D198=0,0,(D198/(1-D199)))</f>
        <v>0</v>
      </c>
      <c r="E202" s="1123">
        <f t="shared" si="12"/>
        <v>0</v>
      </c>
      <c r="F202" s="1128"/>
      <c r="G202" s="898"/>
      <c r="H202" s="898"/>
      <c r="I202" s="1238"/>
      <c r="K202" s="701"/>
      <c r="L202" s="751"/>
      <c r="M202" s="751"/>
      <c r="N202" s="751"/>
      <c r="O202" s="751"/>
      <c r="P202" s="751"/>
      <c r="Q202" s="751"/>
      <c r="R202" s="751"/>
      <c r="S202" s="751"/>
      <c r="T202" s="1020"/>
    </row>
    <row r="203" spans="2:20" ht="12" customHeight="1" x14ac:dyDescent="0.2">
      <c r="B203" s="364" t="s">
        <v>759</v>
      </c>
      <c r="C203" s="774">
        <f>C202*C197</f>
        <v>0</v>
      </c>
      <c r="D203" s="774">
        <f>D202*D197</f>
        <v>0</v>
      </c>
      <c r="E203" s="1121">
        <f>E202*E197</f>
        <v>0</v>
      </c>
      <c r="F203" s="1244" t="s">
        <v>0</v>
      </c>
      <c r="G203" s="1245"/>
      <c r="H203" s="1245"/>
      <c r="I203" s="1246"/>
      <c r="K203" s="1035"/>
      <c r="L203" s="1014"/>
      <c r="M203" s="1014"/>
      <c r="N203" s="1014"/>
      <c r="O203" s="1014"/>
      <c r="P203" s="1014"/>
      <c r="Q203" s="1014"/>
      <c r="R203" s="1014"/>
      <c r="S203" s="1014"/>
      <c r="T203" s="1023"/>
    </row>
    <row r="204" spans="2:20" ht="4.5" customHeight="1" x14ac:dyDescent="0.2">
      <c r="B204" s="162"/>
      <c r="C204" s="400"/>
      <c r="D204" s="400"/>
      <c r="E204" s="400"/>
      <c r="F204" s="162"/>
      <c r="G204" s="162"/>
      <c r="H204" s="162"/>
      <c r="I204" s="162"/>
    </row>
    <row r="205" spans="2:20" ht="12.75" customHeight="1" x14ac:dyDescent="0.2">
      <c r="B205" s="1115" t="s">
        <v>541</v>
      </c>
      <c r="C205" s="1116">
        <f>C146*C147+C156*C157+C166*C167+C176*C177+C186*C187+C196*C197+C135</f>
        <v>0</v>
      </c>
      <c r="D205" s="1116">
        <f>D146*D147+D156*D157+D166*D167+D176*D177+D186*D187+D196*D197+D135</f>
        <v>0</v>
      </c>
      <c r="E205" s="1116">
        <f>E146*E147+E156*E157+E166*E167+E176*E177+E186*E187+E196*E197+E135</f>
        <v>0</v>
      </c>
    </row>
    <row r="206" spans="2:20" ht="12" customHeight="1" x14ac:dyDescent="0.2">
      <c r="B206" s="1117" t="s">
        <v>542</v>
      </c>
      <c r="C206" s="1116">
        <f>C136+C148+C158+C168+C178+C188+C200</f>
        <v>0</v>
      </c>
      <c r="D206" s="1116">
        <f>D136+D148+D158+D168+D178+D188+D200</f>
        <v>0</v>
      </c>
      <c r="E206" s="1116">
        <f>E136+E148+E158+E168+E178+E188+E200</f>
        <v>0</v>
      </c>
      <c r="G206" s="400"/>
      <c r="H206" s="400"/>
    </row>
    <row r="207" spans="2:20" ht="12" customHeight="1" x14ac:dyDescent="0.2">
      <c r="B207" s="1117" t="s">
        <v>663</v>
      </c>
      <c r="C207" s="1116">
        <f>C193+C193*C185+C183+C183*C175+C173+C173*C165+C163+C163*C155+C153+C153*C145+C137</f>
        <v>0</v>
      </c>
      <c r="D207" s="1116">
        <f t="shared" ref="D207:E207" si="13">D193+D193*D185+D183+D183*D175+D173+D173*D165+D163+D163*D155+D153+D153*D145+D137</f>
        <v>0</v>
      </c>
      <c r="E207" s="1116">
        <f t="shared" si="13"/>
        <v>0</v>
      </c>
      <c r="G207" s="400"/>
      <c r="H207" s="400"/>
    </row>
    <row r="208" spans="2:20" ht="12" customHeight="1" x14ac:dyDescent="0.2">
      <c r="B208" s="1117" t="s">
        <v>664</v>
      </c>
      <c r="C208" s="1116">
        <f>C138+C153+C163+C173+C183+C193+C203</f>
        <v>0</v>
      </c>
      <c r="D208" s="1116">
        <f>D138+D153+D163+D173+D183+D193+D203</f>
        <v>0</v>
      </c>
      <c r="E208" s="1116">
        <f>E138+E153+E163+E173+E183+E193+E203</f>
        <v>0</v>
      </c>
    </row>
    <row r="209" spans="2:10" ht="12" customHeight="1" x14ac:dyDescent="0.2">
      <c r="B209" s="1117" t="s">
        <v>595</v>
      </c>
      <c r="C209" s="1118">
        <f>IF(C206=0,0,(C206-C208)/C206)</f>
        <v>0</v>
      </c>
      <c r="D209" s="1118">
        <f>IF(D206=0,0,(D206-D208)/D206)</f>
        <v>0</v>
      </c>
      <c r="E209" s="1118">
        <f>IF(E206=0,0,(E206-E208)/E206)</f>
        <v>0</v>
      </c>
    </row>
    <row r="211" spans="2:10" x14ac:dyDescent="0.2">
      <c r="B211" s="353" t="s">
        <v>306</v>
      </c>
      <c r="G211" s="382"/>
      <c r="H211" s="381"/>
      <c r="I211" s="381"/>
      <c r="J211" s="381"/>
    </row>
    <row r="212" spans="2:10" x14ac:dyDescent="0.2">
      <c r="B212" s="102" t="s">
        <v>307</v>
      </c>
    </row>
    <row r="213" spans="2:10" x14ac:dyDescent="0.2">
      <c r="B213" s="102" t="s">
        <v>308</v>
      </c>
    </row>
    <row r="215" spans="2:10" hidden="1" x14ac:dyDescent="0.2">
      <c r="B215" s="1253" t="s">
        <v>668</v>
      </c>
      <c r="C215" s="1254">
        <f>C196*C197+C126*C127+C56*C57</f>
        <v>0</v>
      </c>
      <c r="D215" s="1254">
        <f t="shared" ref="D215:E215" si="14">D196*D197+D126*D127+D56*D57</f>
        <v>0</v>
      </c>
      <c r="E215" s="1254">
        <f t="shared" si="14"/>
        <v>0</v>
      </c>
    </row>
    <row r="216" spans="2:10" hidden="1" x14ac:dyDescent="0.2">
      <c r="B216" s="1253" t="s">
        <v>669</v>
      </c>
      <c r="C216" s="1230">
        <f>C200+C130+C60</f>
        <v>0</v>
      </c>
      <c r="D216" s="1230">
        <f t="shared" ref="D216:E216" si="15">D200+D130+D60</f>
        <v>0</v>
      </c>
      <c r="E216" s="1230">
        <f t="shared" si="15"/>
        <v>0</v>
      </c>
    </row>
    <row r="217" spans="2:10" hidden="1" x14ac:dyDescent="0.2">
      <c r="B217" s="1255" t="s">
        <v>670</v>
      </c>
      <c r="C217" s="1230">
        <f>C205-C215</f>
        <v>0</v>
      </c>
      <c r="D217" s="1230">
        <f t="shared" ref="D217:E218" si="16">D205-D215</f>
        <v>0</v>
      </c>
      <c r="E217" s="1230">
        <f t="shared" si="16"/>
        <v>0</v>
      </c>
    </row>
    <row r="218" spans="2:10" hidden="1" x14ac:dyDescent="0.2">
      <c r="B218" s="1256" t="s">
        <v>671</v>
      </c>
      <c r="C218" s="1230">
        <f>C206-C216</f>
        <v>0</v>
      </c>
      <c r="D218" s="1230">
        <f t="shared" si="16"/>
        <v>0</v>
      </c>
      <c r="E218" s="1230">
        <f t="shared" si="16"/>
        <v>0</v>
      </c>
    </row>
    <row r="219" spans="2:10" ht="25.5" hidden="1" x14ac:dyDescent="0.2">
      <c r="B219" s="1257" t="s">
        <v>672</v>
      </c>
      <c r="C219" s="1230">
        <f>C193+C183+C173+C163+C153+C123+C113+C103+C93+C83+C53+C43+C33+C23</f>
        <v>0</v>
      </c>
      <c r="D219" s="1230">
        <f t="shared" ref="D219:E219" si="17">D193+D183+D173+D163+D153+D123+D113+D103+D93+D83+D53+D43+D33+D23</f>
        <v>0</v>
      </c>
      <c r="E219" s="1230">
        <f t="shared" si="17"/>
        <v>0</v>
      </c>
    </row>
    <row r="220" spans="2:10" ht="25.5" hidden="1" x14ac:dyDescent="0.2">
      <c r="B220" s="1257" t="s">
        <v>840</v>
      </c>
      <c r="C220" s="1258" t="e">
        <f>C219/C218</f>
        <v>#DIV/0!</v>
      </c>
      <c r="D220" s="1258" t="e">
        <f t="shared" ref="D220:E220" si="18">D219/D218</f>
        <v>#DIV/0!</v>
      </c>
      <c r="E220" s="1258" t="e">
        <f t="shared" si="18"/>
        <v>#DIV/0!</v>
      </c>
    </row>
    <row r="221" spans="2:10" hidden="1" x14ac:dyDescent="0.2">
      <c r="B221" s="1257" t="s">
        <v>673</v>
      </c>
      <c r="C221" s="1230">
        <f>C207</f>
        <v>0</v>
      </c>
      <c r="D221" s="1230">
        <f t="shared" ref="D221:E221" si="19">D207</f>
        <v>0</v>
      </c>
      <c r="E221" s="1230">
        <f t="shared" si="19"/>
        <v>0</v>
      </c>
    </row>
    <row r="222" spans="2:10" hidden="1" x14ac:dyDescent="0.2">
      <c r="B222" s="1259" t="s">
        <v>841</v>
      </c>
      <c r="C222" s="1230">
        <f>C203+C133+C63</f>
        <v>0</v>
      </c>
      <c r="D222" s="1230">
        <f t="shared" ref="D222:E222" si="20">D203+D133+D63</f>
        <v>0</v>
      </c>
      <c r="E222" s="1230">
        <f t="shared" si="20"/>
        <v>0</v>
      </c>
    </row>
    <row r="223" spans="2:10" hidden="1" x14ac:dyDescent="0.2">
      <c r="B223" s="1253" t="s">
        <v>674</v>
      </c>
      <c r="C223" s="1230">
        <f>C222+C207</f>
        <v>0</v>
      </c>
      <c r="D223" s="1230">
        <f t="shared" ref="D223:E223" si="21">D222+D207</f>
        <v>0</v>
      </c>
      <c r="E223" s="1230">
        <f t="shared" si="21"/>
        <v>0</v>
      </c>
    </row>
    <row r="224" spans="2:10" hidden="1" x14ac:dyDescent="0.2">
      <c r="B224" s="1257" t="s">
        <v>839</v>
      </c>
      <c r="C224" s="1254" t="e">
        <f>C223/C205</f>
        <v>#DIV/0!</v>
      </c>
      <c r="D224" s="1254" t="e">
        <f t="shared" ref="D224:E224" si="22">D223/D205</f>
        <v>#DIV/0!</v>
      </c>
      <c r="E224" s="1254" t="e">
        <f t="shared" si="22"/>
        <v>#DIV/0!</v>
      </c>
    </row>
  </sheetData>
  <sheetProtection algorithmName="SHA-512" hashValue="N0b7qaDBIODQiA48p6cUEfUkKDHPgHEC/u3bpnn1k+nKuyKzB73QFxy+J19kjuhk3gY3IqM2+8vwLiHDM3NiKw==" saltValue="kq07gkjw/1eBan/IbeQ69w==" spinCount="100000" sheet="1" objects="1" scenarios="1"/>
  <mergeCells count="11">
    <mergeCell ref="B141:B142"/>
    <mergeCell ref="F9:I9"/>
    <mergeCell ref="B9:E9"/>
    <mergeCell ref="B4:I4"/>
    <mergeCell ref="B11:B12"/>
    <mergeCell ref="B71:B72"/>
    <mergeCell ref="O2:Q2"/>
    <mergeCell ref="K2:M2"/>
    <mergeCell ref="B1:H1"/>
    <mergeCell ref="B2:I2"/>
    <mergeCell ref="D3:G3"/>
  </mergeCells>
  <phoneticPr fontId="10" type="noConversion"/>
  <conditionalFormatting sqref="C15:E15">
    <cfRule type="cellIs" priority="1" operator="equal">
      <formula>0</formula>
    </cfRule>
  </conditionalFormatting>
  <printOptions horizontalCentered="1"/>
  <pageMargins left="0.25" right="0.25" top="0.75" bottom="0.75" header="0.3" footer="0.3"/>
  <pageSetup paperSize="9" scale="92" orientation="portrait" r:id="rId1"/>
  <headerFooter alignWithMargins="0">
    <oddFooter xml:space="preserve">&amp;C&amp;8FT5 Nyföretagets ekonomiplan&amp;10 </oddFooter>
  </headerFooter>
  <rowBreaks count="2" manualBreakCount="2">
    <brk id="69" min="1" max="18" man="1"/>
    <brk id="140" min="1" max="18" man="1"/>
  </rowBreaks>
  <colBreaks count="1" manualBreakCount="1">
    <brk id="9" min="2" max="206" man="1"/>
  </col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ul2">
    <tabColor rgb="FFFFFF00"/>
  </sheetPr>
  <dimension ref="A2:AJ172"/>
  <sheetViews>
    <sheetView showGridLines="0" showZeros="0" zoomScaleNormal="100" workbookViewId="0"/>
  </sheetViews>
  <sheetFormatPr defaultRowHeight="12.75" x14ac:dyDescent="0.2"/>
  <cols>
    <col min="1" max="1" width="5.7109375" customWidth="1"/>
    <col min="2" max="2" width="2.7109375" customWidth="1"/>
    <col min="3" max="3" width="27.5703125" customWidth="1"/>
    <col min="4" max="4" width="7.5703125" customWidth="1"/>
    <col min="5" max="5" width="11.5703125" customWidth="1"/>
    <col min="6" max="6" width="10.85546875" customWidth="1"/>
    <col min="7" max="7" width="5.140625" customWidth="1"/>
    <col min="8" max="8" width="6.7109375" customWidth="1"/>
    <col min="9" max="9" width="4.85546875" customWidth="1"/>
    <col min="10" max="10" width="5.140625" customWidth="1"/>
    <col min="11" max="11" width="10.85546875" customWidth="1"/>
    <col min="12" max="12" width="5.140625" customWidth="1"/>
    <col min="13" max="13" width="2.5703125" customWidth="1"/>
    <col min="14" max="24" width="9.7109375" customWidth="1"/>
    <col min="37" max="37" width="10.28515625" bestFit="1" customWidth="1"/>
    <col min="38" max="38" width="12.5703125" customWidth="1"/>
    <col min="39" max="40" width="9.7109375" bestFit="1" customWidth="1"/>
  </cols>
  <sheetData>
    <row r="2" spans="2:28" ht="15" customHeight="1" x14ac:dyDescent="0.2">
      <c r="B2" s="1632" t="s">
        <v>236</v>
      </c>
      <c r="C2" s="1633"/>
      <c r="D2" s="1633"/>
      <c r="E2" s="1633"/>
      <c r="F2" s="1633"/>
      <c r="G2" s="1633"/>
      <c r="H2" s="1633"/>
      <c r="I2" s="1633"/>
      <c r="J2" s="1633"/>
      <c r="K2" s="1633"/>
      <c r="L2" s="1633"/>
      <c r="N2" s="1719" t="s">
        <v>239</v>
      </c>
      <c r="O2" s="1719"/>
      <c r="Q2" s="1719" t="s">
        <v>240</v>
      </c>
      <c r="R2" s="1719"/>
      <c r="S2" s="1719"/>
    </row>
    <row r="3" spans="2:28" ht="15" customHeight="1" x14ac:dyDescent="0.2"/>
    <row r="4" spans="2:28" ht="15" customHeight="1" x14ac:dyDescent="0.2">
      <c r="B4" s="1739" t="s">
        <v>322</v>
      </c>
      <c r="C4" s="1739"/>
      <c r="D4" s="1739"/>
      <c r="E4" s="1739"/>
      <c r="F4" s="1739"/>
      <c r="G4" s="1739"/>
      <c r="H4" s="1739"/>
      <c r="I4" s="1739"/>
      <c r="J4" s="1739"/>
      <c r="K4" s="1739"/>
      <c r="L4" s="1739"/>
      <c r="AB4" s="286"/>
    </row>
    <row r="5" spans="2:28" ht="12" customHeight="1" x14ac:dyDescent="0.2">
      <c r="B5" s="101" t="str">
        <f>'K1 Kostnader'!C5</f>
        <v>Tjänsten erbjuds av</v>
      </c>
    </row>
    <row r="6" spans="2:28" ht="12" customHeight="1" x14ac:dyDescent="0.2">
      <c r="B6" s="61" t="str">
        <f>Startsidan!G35</f>
        <v>Business Kristinestad och Dynamo Närpes</v>
      </c>
      <c r="C6" s="8"/>
      <c r="D6" s="8"/>
      <c r="E6" s="8"/>
      <c r="F6" s="8"/>
      <c r="G6" s="52"/>
      <c r="H6" s="52"/>
      <c r="I6" s="52"/>
      <c r="J6" s="52"/>
      <c r="K6" s="1742"/>
      <c r="L6" s="1742"/>
    </row>
    <row r="7" spans="2:28" ht="12" customHeight="1" x14ac:dyDescent="0.2">
      <c r="B7" s="488"/>
      <c r="C7" s="286"/>
      <c r="D7" s="286"/>
      <c r="E7" s="286"/>
      <c r="F7" s="286"/>
      <c r="G7" s="52"/>
      <c r="H7" s="52"/>
      <c r="I7" s="52"/>
      <c r="J7" s="52"/>
      <c r="K7" s="489"/>
      <c r="L7" s="489"/>
    </row>
    <row r="8" spans="2:28" ht="12" customHeight="1" x14ac:dyDescent="0.2">
      <c r="B8" s="101" t="s">
        <v>238</v>
      </c>
      <c r="C8" s="291"/>
      <c r="D8" s="409"/>
      <c r="E8" s="53"/>
      <c r="F8" s="72"/>
      <c r="G8" s="61" t="s">
        <v>696</v>
      </c>
      <c r="H8" s="291"/>
      <c r="I8" s="291"/>
      <c r="J8" s="291"/>
      <c r="K8" s="72"/>
    </row>
    <row r="9" spans="2:28" ht="13.5" customHeight="1" x14ac:dyDescent="0.2">
      <c r="B9" s="1746">
        <f>'K1 Kostnader'!C9</f>
        <v>0</v>
      </c>
      <c r="C9" s="1746"/>
      <c r="D9" s="1746"/>
      <c r="E9" s="1746"/>
      <c r="F9" s="288"/>
      <c r="G9" s="1657">
        <v>0</v>
      </c>
      <c r="H9" s="1657"/>
      <c r="I9" s="1657"/>
      <c r="J9" s="1657"/>
      <c r="K9" s="1657"/>
      <c r="L9" s="1657"/>
    </row>
    <row r="10" spans="2:28" ht="6" customHeight="1" x14ac:dyDescent="0.2">
      <c r="N10" s="1729"/>
      <c r="O10" s="1729"/>
      <c r="P10" s="8"/>
      <c r="Q10" s="8"/>
      <c r="R10" s="8"/>
      <c r="S10" s="8"/>
      <c r="T10" s="8"/>
      <c r="U10" s="8"/>
      <c r="V10" s="8"/>
      <c r="W10" s="8"/>
      <c r="X10" s="8"/>
    </row>
    <row r="11" spans="2:28" ht="13.5" customHeight="1" x14ac:dyDescent="0.2">
      <c r="B11" s="52"/>
      <c r="G11" s="1651"/>
      <c r="H11" s="1651"/>
      <c r="I11" s="1651"/>
      <c r="J11" s="1651"/>
      <c r="K11" s="1651"/>
      <c r="L11" s="1651"/>
      <c r="N11" s="1730">
        <f>B9</f>
        <v>0</v>
      </c>
      <c r="O11" s="1730"/>
      <c r="P11" s="1730"/>
      <c r="Q11" s="1730"/>
      <c r="R11" s="1730"/>
      <c r="S11" s="1730"/>
      <c r="T11" s="8"/>
      <c r="U11" s="8"/>
      <c r="V11" s="8"/>
      <c r="W11" s="8"/>
      <c r="X11" s="8"/>
    </row>
    <row r="12" spans="2:28" ht="6" customHeight="1" x14ac:dyDescent="0.2">
      <c r="B12" s="52"/>
      <c r="C12" s="6"/>
      <c r="D12" s="6"/>
      <c r="E12" s="6"/>
      <c r="N12" s="1645"/>
      <c r="O12" s="1645"/>
      <c r="P12" s="1645"/>
      <c r="Q12" s="1645"/>
      <c r="R12" s="1645"/>
      <c r="S12" s="1645"/>
      <c r="T12" s="8"/>
      <c r="U12" s="8"/>
      <c r="V12" s="8"/>
      <c r="W12" s="8"/>
      <c r="X12" s="8"/>
    </row>
    <row r="13" spans="2:28" ht="12.75" customHeight="1" x14ac:dyDescent="0.2">
      <c r="B13" s="1709" t="s">
        <v>323</v>
      </c>
      <c r="C13" s="1710"/>
      <c r="D13" s="1710"/>
      <c r="E13" s="1710"/>
      <c r="F13" s="1710"/>
      <c r="G13" s="1710"/>
      <c r="H13" s="1710"/>
      <c r="I13" s="1710"/>
      <c r="J13" s="1710"/>
      <c r="K13" s="1710"/>
      <c r="L13" s="1711"/>
      <c r="N13" s="8"/>
      <c r="O13" s="8"/>
      <c r="P13" s="8"/>
      <c r="Q13" s="8"/>
      <c r="R13" s="8"/>
      <c r="S13" s="8"/>
      <c r="T13" s="8"/>
      <c r="U13" s="8"/>
      <c r="V13" s="8"/>
      <c r="W13" s="8"/>
      <c r="X13" s="8"/>
    </row>
    <row r="14" spans="2:28" ht="9" customHeight="1" x14ac:dyDescent="0.2">
      <c r="B14" s="1712"/>
      <c r="C14" s="1713"/>
      <c r="D14" s="1713"/>
      <c r="E14" s="1713"/>
      <c r="F14" s="1713"/>
      <c r="G14" s="1713"/>
      <c r="H14" s="1713"/>
      <c r="I14" s="1713"/>
      <c r="J14" s="1713"/>
      <c r="K14" s="1713"/>
      <c r="L14" s="1714"/>
      <c r="N14" s="355"/>
      <c r="O14" s="355"/>
      <c r="P14" s="355"/>
      <c r="Q14" s="355"/>
      <c r="R14" s="355"/>
      <c r="S14" s="355"/>
      <c r="T14" s="355"/>
      <c r="U14" s="355"/>
      <c r="V14" s="355"/>
      <c r="W14" s="355"/>
      <c r="X14" s="355"/>
    </row>
    <row r="15" spans="2:28" ht="15" customHeight="1" x14ac:dyDescent="0.2">
      <c r="B15" s="1654" t="s">
        <v>761</v>
      </c>
      <c r="C15" s="1655"/>
      <c r="D15" s="1655"/>
      <c r="E15" s="964" t="s">
        <v>324</v>
      </c>
      <c r="F15" s="1743" t="s">
        <v>647</v>
      </c>
      <c r="G15" s="1744"/>
      <c r="H15" s="1744"/>
      <c r="I15" s="1744"/>
      <c r="J15" s="1745"/>
      <c r="K15" s="1686" t="s">
        <v>324</v>
      </c>
      <c r="L15" s="1687"/>
      <c r="N15" s="1025" t="s">
        <v>697</v>
      </c>
      <c r="O15" s="126"/>
      <c r="P15" s="126"/>
      <c r="Q15" s="126"/>
      <c r="R15" s="126"/>
      <c r="S15" s="126"/>
      <c r="T15" s="126"/>
      <c r="U15" s="126"/>
      <c r="V15" s="126"/>
      <c r="W15" s="126"/>
      <c r="X15" s="127"/>
    </row>
    <row r="16" spans="2:28" x14ac:dyDescent="0.2">
      <c r="B16" s="1715" t="s">
        <v>684</v>
      </c>
      <c r="C16" s="1716"/>
      <c r="D16" s="469" t="s">
        <v>325</v>
      </c>
      <c r="E16" s="784">
        <f>E17+E18+E19</f>
        <v>0</v>
      </c>
      <c r="F16" s="605" t="s">
        <v>528</v>
      </c>
      <c r="G16" s="62"/>
      <c r="H16" s="154"/>
      <c r="I16" s="156"/>
      <c r="J16" s="155"/>
      <c r="K16" s="1717">
        <f>SUM(K18:K20)</f>
        <v>0</v>
      </c>
      <c r="L16" s="1718"/>
      <c r="N16" s="1029"/>
      <c r="O16" s="412"/>
      <c r="P16" s="412"/>
      <c r="Q16" s="412"/>
      <c r="R16" s="412"/>
      <c r="S16" s="412"/>
      <c r="T16" s="412"/>
      <c r="U16" s="412"/>
      <c r="V16" s="412"/>
      <c r="W16" s="412"/>
      <c r="X16" s="1022"/>
    </row>
    <row r="17" spans="1:24" x14ac:dyDescent="0.2">
      <c r="B17" s="1664" t="s">
        <v>854</v>
      </c>
      <c r="C17" s="1665"/>
      <c r="D17" s="261">
        <v>0</v>
      </c>
      <c r="E17" s="785">
        <v>0</v>
      </c>
      <c r="F17" s="1688" t="s">
        <v>328</v>
      </c>
      <c r="G17" s="1689"/>
      <c r="H17" s="606" t="s">
        <v>329</v>
      </c>
      <c r="I17" s="1731" t="s">
        <v>330</v>
      </c>
      <c r="J17" s="1732"/>
      <c r="K17" s="1684" t="s">
        <v>331</v>
      </c>
      <c r="L17" s="1685"/>
      <c r="N17" s="1029"/>
      <c r="O17" s="412"/>
      <c r="P17" s="412"/>
      <c r="Q17" s="412"/>
      <c r="R17" s="1372"/>
      <c r="S17" s="1372" t="s">
        <v>760</v>
      </c>
      <c r="T17" s="1372"/>
      <c r="U17" s="412"/>
      <c r="V17" s="412"/>
      <c r="W17" s="412"/>
      <c r="X17" s="1022"/>
    </row>
    <row r="18" spans="1:24" x14ac:dyDescent="0.2">
      <c r="B18" s="1671" t="s">
        <v>855</v>
      </c>
      <c r="C18" s="1672"/>
      <c r="D18" s="261">
        <v>0</v>
      </c>
      <c r="E18" s="785">
        <v>0</v>
      </c>
      <c r="F18" s="1683" t="s">
        <v>515</v>
      </c>
      <c r="G18" s="1683"/>
      <c r="H18" s="789">
        <v>0</v>
      </c>
      <c r="I18" s="790">
        <v>0</v>
      </c>
      <c r="J18" s="1060">
        <v>0</v>
      </c>
      <c r="K18" s="1660">
        <v>0</v>
      </c>
      <c r="L18" s="1660"/>
      <c r="N18" s="1027"/>
      <c r="O18" s="1021"/>
      <c r="P18" s="1021"/>
      <c r="Q18" s="1021"/>
      <c r="R18" s="1021"/>
      <c r="S18" s="1264"/>
      <c r="T18" s="1264"/>
      <c r="U18" s="1264"/>
      <c r="V18" s="1264"/>
      <c r="W18" s="1264"/>
      <c r="X18" s="1265"/>
    </row>
    <row r="19" spans="1:24" x14ac:dyDescent="0.2">
      <c r="A19" s="162"/>
      <c r="B19" s="1671" t="s">
        <v>856</v>
      </c>
      <c r="C19" s="1672"/>
      <c r="D19" s="261">
        <v>0</v>
      </c>
      <c r="E19" s="785">
        <v>0</v>
      </c>
      <c r="F19" s="1683" t="s">
        <v>516</v>
      </c>
      <c r="G19" s="1683"/>
      <c r="H19" s="789">
        <v>0</v>
      </c>
      <c r="I19" s="790">
        <v>0</v>
      </c>
      <c r="J19" s="1060">
        <v>0</v>
      </c>
      <c r="K19" s="1676">
        <v>0</v>
      </c>
      <c r="L19" s="1677"/>
      <c r="N19" s="1027"/>
      <c r="O19" s="1021"/>
      <c r="P19" s="1021"/>
      <c r="Q19" s="1021"/>
      <c r="R19" s="1021"/>
      <c r="S19" s="1264"/>
      <c r="T19" s="1264"/>
      <c r="U19" s="1264"/>
      <c r="V19" s="1264"/>
      <c r="W19" s="1264"/>
      <c r="X19" s="1265"/>
    </row>
    <row r="20" spans="1:24" x14ac:dyDescent="0.2">
      <c r="B20" s="1666" t="s">
        <v>411</v>
      </c>
      <c r="C20" s="1668"/>
      <c r="D20" s="469" t="s">
        <v>325</v>
      </c>
      <c r="E20" s="784">
        <f>SUM(E21:E26)</f>
        <v>0</v>
      </c>
      <c r="F20" s="1683" t="s">
        <v>0</v>
      </c>
      <c r="G20" s="1683"/>
      <c r="H20" s="789">
        <v>0</v>
      </c>
      <c r="I20" s="790">
        <v>0</v>
      </c>
      <c r="J20" s="1060">
        <v>0</v>
      </c>
      <c r="K20" s="1676">
        <v>0</v>
      </c>
      <c r="L20" s="1677"/>
      <c r="N20" s="1027"/>
      <c r="O20" s="1299"/>
      <c r="P20" s="1021"/>
      <c r="Q20" s="1021"/>
      <c r="R20" s="1021"/>
      <c r="S20" s="1264"/>
      <c r="T20" s="1264"/>
      <c r="U20" s="1264"/>
      <c r="V20" s="1264"/>
      <c r="W20" s="1264"/>
      <c r="X20" s="1265"/>
    </row>
    <row r="21" spans="1:24" x14ac:dyDescent="0.2">
      <c r="A21" s="162"/>
      <c r="B21" s="1673">
        <v>0</v>
      </c>
      <c r="C21" s="1675"/>
      <c r="D21" s="261">
        <v>0</v>
      </c>
      <c r="E21" s="785">
        <v>0</v>
      </c>
      <c r="F21" s="1666" t="s">
        <v>529</v>
      </c>
      <c r="G21" s="1668"/>
      <c r="H21" s="789">
        <v>0</v>
      </c>
      <c r="I21" s="1676">
        <v>0</v>
      </c>
      <c r="J21" s="1677"/>
      <c r="K21" s="1676">
        <v>0</v>
      </c>
      <c r="L21" s="1677"/>
      <c r="N21" s="1027"/>
      <c r="O21" s="1021"/>
      <c r="P21" s="1021"/>
      <c r="Q21" s="1021"/>
      <c r="R21" s="1021"/>
      <c r="S21" s="1264"/>
      <c r="T21" s="1264"/>
      <c r="U21" s="1264"/>
      <c r="V21" s="1264"/>
      <c r="W21" s="1264"/>
      <c r="X21" s="1265"/>
    </row>
    <row r="22" spans="1:24" x14ac:dyDescent="0.2">
      <c r="A22" s="2"/>
      <c r="B22" s="1673">
        <v>0</v>
      </c>
      <c r="C22" s="1675"/>
      <c r="D22" s="261">
        <v>0</v>
      </c>
      <c r="E22" s="785">
        <v>0</v>
      </c>
      <c r="F22" s="1681" t="s">
        <v>530</v>
      </c>
      <c r="G22" s="1682"/>
      <c r="H22" s="789">
        <v>0</v>
      </c>
      <c r="I22" s="1676">
        <v>0</v>
      </c>
      <c r="J22" s="1677"/>
      <c r="K22" s="1676">
        <v>0</v>
      </c>
      <c r="L22" s="1677"/>
      <c r="N22" s="1027"/>
      <c r="O22" s="1021"/>
      <c r="P22" s="1021"/>
      <c r="Q22" s="1021"/>
      <c r="R22" s="1021"/>
      <c r="S22" s="1264"/>
      <c r="T22" s="1264"/>
      <c r="U22" s="1264"/>
      <c r="V22" s="1264"/>
      <c r="W22" s="1264"/>
      <c r="X22" s="1265"/>
    </row>
    <row r="23" spans="1:24" x14ac:dyDescent="0.2">
      <c r="A23" s="162"/>
      <c r="B23" s="1673">
        <v>0</v>
      </c>
      <c r="C23" s="1675"/>
      <c r="D23" s="261">
        <v>0</v>
      </c>
      <c r="E23" s="785">
        <v>0</v>
      </c>
      <c r="F23" s="1666" t="s">
        <v>531</v>
      </c>
      <c r="G23" s="1667"/>
      <c r="H23" s="1667"/>
      <c r="I23" s="1667"/>
      <c r="J23" s="1668"/>
      <c r="K23" s="1663">
        <f>SUM(K24:K26)</f>
        <v>0</v>
      </c>
      <c r="L23" s="1663"/>
      <c r="N23" s="1027"/>
      <c r="O23" s="1021"/>
      <c r="P23" s="1021"/>
      <c r="Q23" s="1021"/>
      <c r="R23" s="1021"/>
      <c r="S23" s="1264"/>
      <c r="T23" s="1264"/>
      <c r="U23" s="1264"/>
      <c r="V23" s="1264"/>
      <c r="W23" s="1264"/>
      <c r="X23" s="1265"/>
    </row>
    <row r="24" spans="1:24" x14ac:dyDescent="0.2">
      <c r="B24" s="965" t="s">
        <v>857</v>
      </c>
      <c r="C24" s="703"/>
      <c r="D24" s="280"/>
      <c r="E24" s="262">
        <v>0</v>
      </c>
      <c r="F24" s="1674" t="s">
        <v>867</v>
      </c>
      <c r="G24" s="1674"/>
      <c r="H24" s="1674"/>
      <c r="I24" s="1674"/>
      <c r="J24" s="1675"/>
      <c r="K24" s="1658">
        <f>IF('1Kauppa AT lainat ja avustukset'!E59&lt;0,0,'1Kauppa AT lainat ja avustukset'!E59)</f>
        <v>0</v>
      </c>
      <c r="L24" s="1659"/>
      <c r="N24" s="1027"/>
      <c r="O24" s="1021"/>
      <c r="P24" s="1021"/>
      <c r="Q24" s="1021"/>
      <c r="R24" s="1021"/>
      <c r="S24" s="1264"/>
      <c r="T24" s="1264"/>
      <c r="U24" s="1264"/>
      <c r="V24" s="1264"/>
      <c r="W24" s="1264"/>
      <c r="X24" s="1265"/>
    </row>
    <row r="25" spans="1:24" x14ac:dyDescent="0.2">
      <c r="A25" s="162"/>
      <c r="B25" s="1656" t="s">
        <v>858</v>
      </c>
      <c r="C25" s="1603"/>
      <c r="D25" s="1604"/>
      <c r="E25" s="785">
        <v>0</v>
      </c>
      <c r="F25" s="1695" t="s">
        <v>860</v>
      </c>
      <c r="G25" s="1696"/>
      <c r="H25" s="1696"/>
      <c r="I25" s="1696"/>
      <c r="J25" s="1697"/>
      <c r="K25" s="1660">
        <v>0</v>
      </c>
      <c r="L25" s="1660"/>
      <c r="N25" s="1027"/>
      <c r="O25" s="1021"/>
      <c r="P25" s="1021"/>
      <c r="Q25" s="1021"/>
      <c r="R25" s="1021"/>
      <c r="S25" s="1264"/>
      <c r="T25" s="1264"/>
      <c r="U25" s="1264"/>
      <c r="V25" s="1264"/>
      <c r="W25" s="1264"/>
      <c r="X25" s="1265"/>
    </row>
    <row r="26" spans="1:24" x14ac:dyDescent="0.2">
      <c r="B26" s="1671" t="s">
        <v>859</v>
      </c>
      <c r="C26" s="1672"/>
      <c r="D26" s="261">
        <v>0</v>
      </c>
      <c r="E26" s="956">
        <v>0</v>
      </c>
      <c r="F26" s="1698" t="s">
        <v>861</v>
      </c>
      <c r="G26" s="1699"/>
      <c r="H26" s="1699"/>
      <c r="I26" s="1699"/>
      <c r="J26" s="1700"/>
      <c r="K26" s="1660">
        <v>0</v>
      </c>
      <c r="L26" s="1660"/>
      <c r="N26" s="1027"/>
      <c r="O26" s="1021"/>
      <c r="P26" s="1785"/>
      <c r="Q26" s="1785"/>
      <c r="R26" s="1021"/>
      <c r="S26" s="1264"/>
      <c r="T26" s="1264"/>
      <c r="U26" s="1264"/>
      <c r="V26" s="1264"/>
      <c r="W26" s="1264"/>
      <c r="X26" s="1265"/>
    </row>
    <row r="27" spans="1:24" x14ac:dyDescent="0.2">
      <c r="A27" s="162"/>
      <c r="B27" s="1666" t="s">
        <v>513</v>
      </c>
      <c r="C27" s="1786"/>
      <c r="D27" s="1787"/>
      <c r="E27" s="958">
        <f>E28+E29</f>
        <v>0</v>
      </c>
      <c r="F27" s="1690" t="s">
        <v>532</v>
      </c>
      <c r="G27" s="1690"/>
      <c r="H27" s="1690"/>
      <c r="I27" s="1690"/>
      <c r="J27" s="1690"/>
      <c r="K27" s="1663">
        <f>IF((E19+E20+E27-E26-K21-E24)*0.203187&lt;0,0,(E19+E20+E27-E26-K21-E24)*0.203187)</f>
        <v>0</v>
      </c>
      <c r="L27" s="1663"/>
      <c r="N27" s="1027"/>
      <c r="O27" s="1021"/>
      <c r="P27" s="1021"/>
      <c r="Q27" s="1021"/>
      <c r="R27" s="1021"/>
      <c r="S27" s="1264"/>
      <c r="T27" s="1264"/>
      <c r="U27" s="1264"/>
      <c r="V27" s="1264"/>
      <c r="W27" s="1264"/>
      <c r="X27" s="1265"/>
    </row>
    <row r="28" spans="1:24" x14ac:dyDescent="0.2">
      <c r="A28" s="2"/>
      <c r="B28" s="1673"/>
      <c r="C28" s="1674"/>
      <c r="D28" s="1675"/>
      <c r="E28" s="956">
        <v>0</v>
      </c>
      <c r="F28" s="1690" t="s">
        <v>533</v>
      </c>
      <c r="G28" s="1690"/>
      <c r="H28" s="1690"/>
      <c r="I28" s="1690"/>
      <c r="J28" s="1690"/>
      <c r="K28" s="1663">
        <f>SUM(K29:K32)</f>
        <v>0</v>
      </c>
      <c r="L28" s="1663"/>
      <c r="N28" s="1027"/>
      <c r="O28" s="1021"/>
      <c r="P28" s="1021"/>
      <c r="Q28" s="1021"/>
      <c r="R28" s="1021"/>
      <c r="S28" s="1264"/>
      <c r="T28" s="1264"/>
      <c r="U28" s="1264"/>
      <c r="V28" s="1264"/>
      <c r="W28" s="1264"/>
      <c r="X28" s="1265"/>
    </row>
    <row r="29" spans="1:24" x14ac:dyDescent="0.2">
      <c r="B29" s="1673"/>
      <c r="C29" s="1674"/>
      <c r="D29" s="1675"/>
      <c r="E29" s="956">
        <v>0</v>
      </c>
      <c r="F29" s="1735" t="s">
        <v>862</v>
      </c>
      <c r="G29" s="1736"/>
      <c r="H29" s="1736"/>
      <c r="I29" s="1736"/>
      <c r="J29" s="1737"/>
      <c r="K29" s="1660">
        <v>0</v>
      </c>
      <c r="L29" s="1660"/>
      <c r="N29" s="1027"/>
      <c r="O29" s="1021"/>
      <c r="P29" s="1021"/>
      <c r="Q29" s="1021"/>
      <c r="R29" s="1021"/>
      <c r="S29" s="1264"/>
      <c r="T29" s="1264"/>
      <c r="U29" s="1264"/>
      <c r="V29" s="1264"/>
      <c r="W29" s="1264"/>
      <c r="X29" s="1265"/>
    </row>
    <row r="30" spans="1:24" x14ac:dyDescent="0.2">
      <c r="B30" s="1666" t="s">
        <v>864</v>
      </c>
      <c r="C30" s="1667"/>
      <c r="D30" s="1668"/>
      <c r="E30" s="786">
        <v>0</v>
      </c>
      <c r="F30" s="1698" t="s">
        <v>863</v>
      </c>
      <c r="G30" s="1699"/>
      <c r="H30" s="1699"/>
      <c r="I30" s="1699"/>
      <c r="J30" s="1700"/>
      <c r="K30" s="1660">
        <v>0</v>
      </c>
      <c r="L30" s="1660"/>
      <c r="N30" s="1027"/>
      <c r="O30" s="1021"/>
      <c r="P30" s="1021"/>
      <c r="Q30" s="1021"/>
      <c r="R30" s="1021"/>
      <c r="S30" s="1264"/>
      <c r="T30" s="1264"/>
      <c r="U30" s="1264"/>
      <c r="V30" s="1264"/>
      <c r="W30" s="1264"/>
      <c r="X30" s="1265"/>
    </row>
    <row r="31" spans="1:24" x14ac:dyDescent="0.2">
      <c r="B31" s="605" t="s">
        <v>763</v>
      </c>
      <c r="C31" s="702"/>
      <c r="D31" s="957"/>
      <c r="E31" s="786">
        <v>0</v>
      </c>
      <c r="F31" s="1698"/>
      <c r="G31" s="1699"/>
      <c r="H31" s="1699"/>
      <c r="I31" s="1699"/>
      <c r="J31" s="1700"/>
      <c r="K31" s="1660">
        <v>0</v>
      </c>
      <c r="L31" s="1660"/>
      <c r="N31" s="1027"/>
      <c r="O31" s="1021"/>
      <c r="P31" s="1021"/>
      <c r="Q31" s="1021"/>
      <c r="R31" s="1021"/>
      <c r="S31" s="1264"/>
      <c r="T31" s="1264"/>
      <c r="U31" s="1264"/>
      <c r="V31" s="1264"/>
      <c r="W31" s="1264"/>
      <c r="X31" s="1265"/>
    </row>
    <row r="32" spans="1:24" x14ac:dyDescent="0.2">
      <c r="B32" s="1666" t="s">
        <v>537</v>
      </c>
      <c r="C32" s="1667"/>
      <c r="D32" s="1668"/>
      <c r="E32" s="786">
        <v>0</v>
      </c>
      <c r="F32" s="1698"/>
      <c r="G32" s="1699"/>
      <c r="H32" s="1699"/>
      <c r="I32" s="1699"/>
      <c r="J32" s="1700"/>
      <c r="K32" s="1660">
        <v>0</v>
      </c>
      <c r="L32" s="1660"/>
      <c r="N32" s="1027"/>
      <c r="O32" s="1021"/>
      <c r="P32" s="1021"/>
      <c r="Q32" s="1021"/>
      <c r="R32" s="1021"/>
      <c r="S32" s="1264"/>
      <c r="T32" s="1264"/>
      <c r="U32" s="1264"/>
      <c r="V32" s="1264"/>
      <c r="W32" s="1264"/>
      <c r="X32" s="1265"/>
    </row>
    <row r="33" spans="1:24" x14ac:dyDescent="0.2">
      <c r="B33" s="8"/>
      <c r="C33" s="1669" t="s">
        <v>326</v>
      </c>
      <c r="D33" s="1670"/>
      <c r="E33" s="741">
        <f>E16+E20+E27+E31+E32+E30</f>
        <v>0</v>
      </c>
      <c r="F33" s="1740"/>
      <c r="G33" s="1741"/>
      <c r="H33" s="1701" t="s">
        <v>326</v>
      </c>
      <c r="I33" s="1701"/>
      <c r="J33" s="1702"/>
      <c r="K33" s="1707">
        <f>K16+K21+K23+K27+K28+K22</f>
        <v>0</v>
      </c>
      <c r="L33" s="1733"/>
      <c r="N33" s="1027"/>
      <c r="O33" s="1021"/>
      <c r="P33" s="1021"/>
      <c r="Q33" s="1021"/>
      <c r="R33" s="1021"/>
      <c r="S33" s="1264"/>
      <c r="T33" s="1264"/>
      <c r="U33" s="1264"/>
      <c r="V33" s="1264"/>
      <c r="W33" s="1264"/>
      <c r="X33" s="1265"/>
    </row>
    <row r="34" spans="1:24" ht="3.75" customHeight="1" x14ac:dyDescent="0.2">
      <c r="B34" s="8"/>
      <c r="C34" s="292"/>
      <c r="D34" s="292"/>
      <c r="E34" s="787"/>
      <c r="F34" s="292"/>
      <c r="G34" s="292"/>
      <c r="H34" s="292"/>
      <c r="I34" s="292"/>
      <c r="J34" s="63"/>
      <c r="K34" s="787"/>
      <c r="L34" s="400"/>
      <c r="N34" s="1040"/>
      <c r="O34" s="355"/>
      <c r="P34" s="355"/>
      <c r="Q34" s="355"/>
      <c r="R34" s="355"/>
      <c r="S34" s="346"/>
      <c r="T34" s="346"/>
      <c r="U34" s="346"/>
      <c r="V34" s="346"/>
      <c r="W34" s="346"/>
      <c r="X34" s="1298"/>
    </row>
    <row r="35" spans="1:24" ht="12.75" customHeight="1" x14ac:dyDescent="0.2">
      <c r="B35" s="1734" t="s">
        <v>518</v>
      </c>
      <c r="C35" s="1734"/>
      <c r="D35" s="1788"/>
      <c r="E35" s="788">
        <f>ROUND(E33-K33,0)</f>
        <v>0</v>
      </c>
      <c r="F35" s="1734" t="s">
        <v>774</v>
      </c>
      <c r="G35" s="1734"/>
      <c r="H35" s="1734"/>
      <c r="I35" s="1734"/>
      <c r="J35" s="1734"/>
      <c r="K35" s="1791">
        <f>K23+K27</f>
        <v>0</v>
      </c>
      <c r="L35" s="1791"/>
      <c r="N35" s="1040"/>
      <c r="O35" s="1300"/>
      <c r="P35" s="1021"/>
      <c r="Q35" s="1021"/>
      <c r="R35" s="1021"/>
      <c r="S35" s="1264"/>
      <c r="T35" s="1264"/>
      <c r="U35" s="1264"/>
      <c r="V35" s="1264"/>
      <c r="W35" s="1264"/>
      <c r="X35" s="1265"/>
    </row>
    <row r="36" spans="1:24" ht="15.75" customHeight="1" x14ac:dyDescent="0.2">
      <c r="B36" s="52"/>
      <c r="C36" s="354" t="str">
        <f>IF( E35&lt;&gt;0,"FÖRSÄKRA, att FINANSIERINGSBEHOV-FINANSIERING = 0!","")</f>
        <v/>
      </c>
      <c r="E36" s="6"/>
      <c r="G36" s="88"/>
      <c r="H36" s="88"/>
      <c r="I36" s="88"/>
      <c r="J36" s="88"/>
      <c r="K36" s="89"/>
      <c r="N36" s="1027"/>
      <c r="O36" s="1021"/>
      <c r="P36" s="1021"/>
      <c r="Q36" s="1021"/>
      <c r="R36" s="1021"/>
      <c r="S36" s="1264"/>
      <c r="T36" s="1264"/>
      <c r="U36" s="1264"/>
      <c r="V36" s="1264"/>
      <c r="W36" s="1264"/>
      <c r="X36" s="1265"/>
    </row>
    <row r="37" spans="1:24" ht="13.5" customHeight="1" x14ac:dyDescent="0.2">
      <c r="B37" s="966" t="s">
        <v>0</v>
      </c>
      <c r="C37" s="1789" t="s">
        <v>332</v>
      </c>
      <c r="D37" s="967"/>
      <c r="E37" s="967"/>
      <c r="F37" s="1679" t="s">
        <v>313</v>
      </c>
      <c r="G37" s="1680"/>
      <c r="H37" s="1679" t="s">
        <v>314</v>
      </c>
      <c r="I37" s="1764"/>
      <c r="J37" s="1680"/>
      <c r="K37" s="1764" t="s">
        <v>315</v>
      </c>
      <c r="L37" s="1680"/>
      <c r="N37" s="1027"/>
      <c r="O37" s="1021"/>
      <c r="P37" s="1021"/>
      <c r="Q37" s="1021"/>
      <c r="R37" s="1021"/>
      <c r="S37" s="1264"/>
      <c r="T37" s="1264"/>
      <c r="U37" s="1264"/>
      <c r="V37" s="1264"/>
      <c r="W37" s="1264"/>
      <c r="X37" s="1265"/>
    </row>
    <row r="38" spans="1:24" x14ac:dyDescent="0.2">
      <c r="B38" s="968" t="s">
        <v>0</v>
      </c>
      <c r="C38" s="1790"/>
      <c r="D38" s="969"/>
      <c r="E38" s="969"/>
      <c r="F38" s="1769">
        <f>'K1 Kostnader'!F12</f>
        <v>2026</v>
      </c>
      <c r="G38" s="1770"/>
      <c r="H38" s="1738">
        <f>'K1 Kostnader'!G12</f>
        <v>2027</v>
      </c>
      <c r="I38" s="1705"/>
      <c r="J38" s="1706"/>
      <c r="K38" s="1705">
        <f>'K1 Kostnader'!H12</f>
        <v>2028</v>
      </c>
      <c r="L38" s="1706"/>
      <c r="N38" s="1027"/>
      <c r="O38" s="1021"/>
      <c r="P38" s="1021"/>
      <c r="Q38" s="1021"/>
      <c r="R38" s="1021"/>
      <c r="S38" s="1264"/>
      <c r="T38" s="1264"/>
      <c r="U38" s="1264"/>
      <c r="V38" s="1264"/>
      <c r="W38" s="1264"/>
      <c r="X38" s="1265"/>
    </row>
    <row r="39" spans="1:24" ht="15" customHeight="1" x14ac:dyDescent="0.2">
      <c r="B39" s="971"/>
      <c r="C39" s="614" t="s">
        <v>333</v>
      </c>
      <c r="D39" s="615"/>
      <c r="E39" s="615"/>
      <c r="F39" s="1774">
        <f>'K1 Kostnader'!F13</f>
        <v>12</v>
      </c>
      <c r="G39" s="1775"/>
      <c r="H39" s="1803">
        <f>'K1 Kostnader'!G13</f>
        <v>12</v>
      </c>
      <c r="I39" s="1801"/>
      <c r="J39" s="1802"/>
      <c r="K39" s="1801">
        <f>'K1 Kostnader'!H13</f>
        <v>12</v>
      </c>
      <c r="L39" s="1802"/>
      <c r="N39" s="1027"/>
      <c r="O39" s="1021"/>
      <c r="P39" s="1021"/>
      <c r="Q39" s="1021"/>
      <c r="R39" s="1021"/>
      <c r="S39" s="1264"/>
      <c r="T39" s="1264"/>
      <c r="U39" s="1264"/>
      <c r="V39" s="1264"/>
      <c r="W39" s="1264"/>
      <c r="X39" s="1265"/>
    </row>
    <row r="40" spans="1:24" x14ac:dyDescent="0.2">
      <c r="B40" s="972"/>
      <c r="C40" s="949" t="s">
        <v>334</v>
      </c>
      <c r="D40" s="973"/>
      <c r="E40" s="973"/>
      <c r="F40" s="985">
        <f>Lönekostnader!C11+'K1 Kostnader'!F19</f>
        <v>1</v>
      </c>
      <c r="G40" s="986" t="s">
        <v>76</v>
      </c>
      <c r="H40" s="1703">
        <f>Lönekostnader!D11+'K1 Kostnader'!G19</f>
        <v>1</v>
      </c>
      <c r="I40" s="1704"/>
      <c r="J40" s="985" t="s">
        <v>76</v>
      </c>
      <c r="K40" s="993">
        <f>Lönekostnader!E11+'K1 Kostnader'!H19</f>
        <v>1</v>
      </c>
      <c r="L40" s="974" t="s">
        <v>76</v>
      </c>
      <c r="N40" s="1027"/>
      <c r="O40" s="1021"/>
      <c r="P40" s="1021"/>
      <c r="Q40" s="1021"/>
      <c r="R40" s="1021"/>
      <c r="S40" s="1264"/>
      <c r="T40" s="1264"/>
      <c r="U40" s="1264"/>
      <c r="V40" s="1264"/>
      <c r="W40" s="1264"/>
      <c r="X40" s="1265"/>
    </row>
    <row r="41" spans="1:24" x14ac:dyDescent="0.2">
      <c r="B41" s="975">
        <v>1</v>
      </c>
      <c r="C41" s="158" t="s">
        <v>335</v>
      </c>
      <c r="D41" s="970"/>
      <c r="E41" s="970"/>
      <c r="F41" s="987">
        <f>'K2 Försäljning'!C205</f>
        <v>0</v>
      </c>
      <c r="G41" s="976"/>
      <c r="H41" s="1776">
        <f>'K2 Försäljning'!D205</f>
        <v>0</v>
      </c>
      <c r="I41" s="1777"/>
      <c r="J41" s="976"/>
      <c r="K41" s="994">
        <f>'K2 Försäljning'!E205</f>
        <v>0</v>
      </c>
      <c r="L41" s="976"/>
      <c r="N41" s="1027"/>
      <c r="O41" s="1021"/>
      <c r="P41" s="1021"/>
      <c r="Q41" s="1021"/>
      <c r="R41" s="1021"/>
      <c r="S41" s="1264"/>
      <c r="T41" s="1264"/>
      <c r="U41" s="1264"/>
      <c r="V41" s="1264"/>
      <c r="W41" s="1264"/>
      <c r="X41" s="1265"/>
    </row>
    <row r="42" spans="1:24" x14ac:dyDescent="0.2">
      <c r="B42" s="839"/>
      <c r="C42" s="263" t="s">
        <v>336</v>
      </c>
      <c r="D42" s="264"/>
      <c r="E42" s="264"/>
      <c r="F42" s="959">
        <f>-(F41-F43)</f>
        <v>0</v>
      </c>
      <c r="G42" s="834"/>
      <c r="H42" s="1658">
        <f>-(H41-H43)</f>
        <v>0</v>
      </c>
      <c r="I42" s="1678"/>
      <c r="J42" s="834"/>
      <c r="K42" s="954">
        <f>-(K41-K43)</f>
        <v>0</v>
      </c>
      <c r="L42" s="834"/>
      <c r="N42" s="1027"/>
      <c r="O42" s="1021"/>
      <c r="P42" s="1021"/>
      <c r="Q42" s="1021"/>
      <c r="R42" s="1021"/>
      <c r="S42" s="1264"/>
      <c r="T42" s="1264"/>
      <c r="U42" s="1264"/>
      <c r="V42" s="1264"/>
      <c r="W42" s="1264"/>
      <c r="X42" s="1265"/>
    </row>
    <row r="43" spans="1:24" x14ac:dyDescent="0.2">
      <c r="B43" s="839">
        <v>2</v>
      </c>
      <c r="C43" s="265" t="s">
        <v>337</v>
      </c>
      <c r="D43" s="266"/>
      <c r="E43" s="266"/>
      <c r="F43" s="955">
        <f>'K2 Försäljning'!C206</f>
        <v>0</v>
      </c>
      <c r="G43" s="977">
        <v>100</v>
      </c>
      <c r="H43" s="1707">
        <f>'K2 Försäljning'!D206</f>
        <v>0</v>
      </c>
      <c r="I43" s="1708"/>
      <c r="J43" s="977">
        <v>100</v>
      </c>
      <c r="K43" s="951">
        <f>'K2 Försäljning'!E206</f>
        <v>0</v>
      </c>
      <c r="L43" s="977">
        <v>100</v>
      </c>
      <c r="N43" s="1027"/>
      <c r="O43" s="1021"/>
      <c r="P43" s="1021"/>
      <c r="Q43" s="1021"/>
      <c r="R43" s="1021"/>
      <c r="S43" s="1264"/>
      <c r="T43" s="1264"/>
      <c r="U43" s="1264"/>
      <c r="V43" s="1264"/>
      <c r="W43" s="1264"/>
      <c r="X43" s="1265"/>
    </row>
    <row r="44" spans="1:24" x14ac:dyDescent="0.2">
      <c r="B44" s="839">
        <v>3</v>
      </c>
      <c r="C44" s="263" t="s">
        <v>338</v>
      </c>
      <c r="D44" s="264"/>
      <c r="E44" s="264"/>
      <c r="F44" s="959">
        <f>-'K2 Försäljning'!C208</f>
        <v>0</v>
      </c>
      <c r="G44" s="978">
        <f>IF(F$43=0,0,F44/F$43)*-100</f>
        <v>0</v>
      </c>
      <c r="H44" s="1658">
        <f>-'K2 Försäljning'!D208</f>
        <v>0</v>
      </c>
      <c r="I44" s="1678"/>
      <c r="J44" s="978">
        <f>IF(H$43=0,0,H44/H$43)*-100</f>
        <v>0</v>
      </c>
      <c r="K44" s="954">
        <f>-'K2 Försäljning'!E208</f>
        <v>0</v>
      </c>
      <c r="L44" s="978">
        <f>IF(K$43=0,0,K44/K$43)*-100</f>
        <v>0</v>
      </c>
      <c r="N44" s="1027"/>
      <c r="O44" s="1021"/>
      <c r="P44" s="1021"/>
      <c r="Q44" s="1021"/>
      <c r="R44" s="1021"/>
      <c r="S44" s="1264"/>
      <c r="T44" s="1264"/>
      <c r="U44" s="1264"/>
      <c r="V44" s="1264"/>
      <c r="W44" s="1264"/>
      <c r="X44" s="1265"/>
    </row>
    <row r="45" spans="1:24" x14ac:dyDescent="0.2">
      <c r="B45" s="839">
        <v>4</v>
      </c>
      <c r="C45" s="263" t="s">
        <v>339</v>
      </c>
      <c r="D45" s="264"/>
      <c r="E45" s="264"/>
      <c r="F45" s="988">
        <f>-('K1 Kostnader'!F14+'K1 Kostnader'!F28+'K1 Kostnader'!F29+'K1 Kostnader'!F36+'2 AT Palkat, alv'!E20+'2 AT Palkat, alv'!E36)</f>
        <v>0</v>
      </c>
      <c r="G45" s="978">
        <f>IF(F$43=0,0,F45/F$43)*-100</f>
        <v>0</v>
      </c>
      <c r="H45" s="1693">
        <f>-('K1 Kostnader'!G14+'K1 Kostnader'!G28+'K1 Kostnader'!G29+'K1 Kostnader'!G36+'2 AT Palkat, alv'!R20+'2 AT Palkat, alv'!R36)</f>
        <v>0</v>
      </c>
      <c r="I45" s="1694"/>
      <c r="J45" s="978">
        <f>IF(H$43=0,0,H45/H$43)*-100</f>
        <v>0</v>
      </c>
      <c r="K45" s="995">
        <f>-('K1 Kostnader'!H14+'K1 Kostnader'!H28+'K1 Kostnader'!H29+'K1 Kostnader'!H36+'2 AT Palkat, alv'!T20+'2 AT Palkat, alv'!T36)</f>
        <v>0</v>
      </c>
      <c r="L45" s="978">
        <f>IF(K$43=0,0,K45/K$43)*-100</f>
        <v>0</v>
      </c>
      <c r="N45" s="1027"/>
      <c r="O45" s="1021"/>
      <c r="P45" s="1021"/>
      <c r="Q45" s="1021"/>
      <c r="R45" s="1021"/>
      <c r="S45" s="1264"/>
      <c r="T45" s="1264"/>
      <c r="U45" s="1264"/>
      <c r="V45" s="1264"/>
      <c r="W45" s="1264"/>
      <c r="X45" s="1265"/>
    </row>
    <row r="46" spans="1:24" s="8" customFormat="1" x14ac:dyDescent="0.2">
      <c r="A46"/>
      <c r="B46" s="839">
        <v>5</v>
      </c>
      <c r="C46" s="263" t="s">
        <v>340</v>
      </c>
      <c r="D46" s="264"/>
      <c r="E46" s="264"/>
      <c r="F46" s="794">
        <f>-('K1 Kostnader'!F48+'K1 Kostnader'!F59)</f>
        <v>0</v>
      </c>
      <c r="G46" s="978">
        <f>IF(F$43=0,0,F46/F$43)*-100</f>
        <v>0</v>
      </c>
      <c r="H46" s="1691">
        <f>-('K1 Kostnader'!G48++'K1 Kostnader'!G59)</f>
        <v>0</v>
      </c>
      <c r="I46" s="1692"/>
      <c r="J46" s="978">
        <f>IF(H$43=0,0,H46/H$43)*-100</f>
        <v>0</v>
      </c>
      <c r="K46" s="953">
        <f>-('K1 Kostnader'!H48++'K1 Kostnader'!H59)</f>
        <v>0</v>
      </c>
      <c r="L46" s="978">
        <f>IF(K$43=0,0,K46/K$43)*-100</f>
        <v>0</v>
      </c>
      <c r="N46" s="1027"/>
      <c r="O46" s="1021"/>
      <c r="P46" s="1021"/>
      <c r="Q46" s="1021"/>
      <c r="R46" s="1021"/>
      <c r="S46" s="1264"/>
      <c r="T46" s="1264"/>
      <c r="U46" s="1264"/>
      <c r="V46" s="1264"/>
      <c r="W46" s="1264"/>
      <c r="X46" s="1265"/>
    </row>
    <row r="47" spans="1:24" x14ac:dyDescent="0.2">
      <c r="B47" s="839">
        <v>6</v>
      </c>
      <c r="C47" s="263" t="s">
        <v>341</v>
      </c>
      <c r="D47" s="264"/>
      <c r="E47" s="264"/>
      <c r="F47" s="794">
        <f>-'K1 Kostnader'!F89</f>
        <v>0</v>
      </c>
      <c r="G47" s="978">
        <f>IF(F$43=0,0,F47/F$43)*-100</f>
        <v>0</v>
      </c>
      <c r="H47" s="1691">
        <f>-('K1 Kostnader'!G89)</f>
        <v>0</v>
      </c>
      <c r="I47" s="1692"/>
      <c r="J47" s="978">
        <f>IF(H$43=0,0,H47/H$43)*-100</f>
        <v>0</v>
      </c>
      <c r="K47" s="953">
        <f>-'K1 Kostnader'!H89</f>
        <v>0</v>
      </c>
      <c r="L47" s="978">
        <f>IF(K$43=0,0,K47/K$43)*-100</f>
        <v>0</v>
      </c>
      <c r="N47" s="1027"/>
      <c r="O47" s="1021"/>
      <c r="P47" s="1021"/>
      <c r="Q47" s="1021"/>
      <c r="R47" s="1021"/>
      <c r="S47" s="1264"/>
      <c r="T47" s="1264"/>
      <c r="U47" s="1264"/>
      <c r="V47" s="1264"/>
      <c r="W47" s="1264"/>
      <c r="X47" s="1265"/>
    </row>
    <row r="48" spans="1:24" x14ac:dyDescent="0.2">
      <c r="B48" s="839">
        <v>7</v>
      </c>
      <c r="C48" s="263" t="s">
        <v>342</v>
      </c>
      <c r="D48" s="264"/>
      <c r="E48" s="264"/>
      <c r="F48" s="794">
        <f>-('K1 Kostnader'!F41+'K1 Kostnader'!F47-'K1 Kostnader'!F48+'K1 Kostnader'!F61+'K1 Kostnader'!F69+'K1 Kostnader'!F74+'K1 Kostnader'!F79+'K1 Kostnader'!F83+'K1 Kostnader'!F88+'K1 Kostnader'!F95+'K1 Kostnader'!F99+'K1 Kostnader'!F104+'K1 Kostnader'!F109+'K1 Kostnader'!F114+'K1 Kostnader'!F117+'K1 Kostnader'!F118+'K1 Kostnader'!F119+'K1 Kostnader'!F120+'K1 Kostnader'!F121)</f>
        <v>0</v>
      </c>
      <c r="G48" s="978">
        <f>IF(F$43=0,0,F48/F$43)*-100</f>
        <v>0</v>
      </c>
      <c r="H48" s="1691">
        <f>-('K1 Kostnader'!G41+'K1 Kostnader'!G47-'K1 Kostnader'!G48+'K1 Kostnader'!G61+'K1 Kostnader'!G69+'K1 Kostnader'!G74+'K1 Kostnader'!G79+'K1 Kostnader'!G83+'K1 Kostnader'!G88+'K1 Kostnader'!G95+'K1 Kostnader'!G99+'K1 Kostnader'!G104+'K1 Kostnader'!G109+'K1 Kostnader'!G114+'K1 Kostnader'!G117+'K1 Kostnader'!G118+'K1 Kostnader'!G119+'K1 Kostnader'!G120+'K1 Kostnader'!G121)</f>
        <v>0</v>
      </c>
      <c r="I48" s="1692"/>
      <c r="J48" s="978">
        <f>IF(H$43=0,0,H48/H$43)*-100</f>
        <v>0</v>
      </c>
      <c r="K48" s="953">
        <f>-('K1 Kostnader'!H41+'K1 Kostnader'!H47-'K1 Kostnader'!H48+'K1 Kostnader'!H61+'K1 Kostnader'!H69+'K1 Kostnader'!H74+'K1 Kostnader'!H79+'K1 Kostnader'!H83+'K1 Kostnader'!H88+'K1 Kostnader'!H95+'K1 Kostnader'!H99+'K1 Kostnader'!H104+'K1 Kostnader'!H109+'K1 Kostnader'!H114+'K1 Kostnader'!H117+'K1 Kostnader'!H118+'K1 Kostnader'!H119+'K1 Kostnader'!H120+'K1 Kostnader'!H121)</f>
        <v>0</v>
      </c>
      <c r="L48" s="978">
        <f>IF(K$43=0,0,K48/K$43)*-100</f>
        <v>0</v>
      </c>
      <c r="N48" s="1027"/>
      <c r="O48" s="1021"/>
      <c r="P48" s="1021"/>
      <c r="Q48" s="1021"/>
      <c r="R48" s="1021"/>
      <c r="S48" s="1264"/>
      <c r="T48" s="1264"/>
      <c r="U48" s="1264"/>
      <c r="V48" s="1264"/>
      <c r="W48" s="1264"/>
      <c r="X48" s="1265"/>
    </row>
    <row r="49" spans="2:36" ht="12.75" customHeight="1" x14ac:dyDescent="0.2">
      <c r="B49" s="839">
        <v>8</v>
      </c>
      <c r="C49" s="265" t="s">
        <v>343</v>
      </c>
      <c r="D49" s="266"/>
      <c r="E49" s="266"/>
      <c r="F49" s="955">
        <f>F43+F44+F45+F46+F47+F48</f>
        <v>0</v>
      </c>
      <c r="G49" s="977">
        <f>IF(F$43=0,0,F49/F$43)*100</f>
        <v>0</v>
      </c>
      <c r="H49" s="1707">
        <f>H43+H44+H45+H46+H47+H48</f>
        <v>0</v>
      </c>
      <c r="I49" s="1708">
        <f>I43+I44+I45+I46+I47+I48</f>
        <v>0</v>
      </c>
      <c r="J49" s="977">
        <f>IF(H$43=0,0,H49/H$43)*100</f>
        <v>0</v>
      </c>
      <c r="K49" s="951">
        <f>K43+K44+K45+K46+K47+K48</f>
        <v>0</v>
      </c>
      <c r="L49" s="977">
        <f>IF(K$43=0,0,K49/K$43)*100</f>
        <v>0</v>
      </c>
      <c r="N49" s="1027"/>
      <c r="O49" s="1021"/>
      <c r="P49" s="1021"/>
      <c r="Q49" s="1021"/>
      <c r="R49" s="1021"/>
      <c r="S49" s="1264"/>
      <c r="T49" s="1264"/>
      <c r="U49" s="1264"/>
      <c r="V49" s="1264"/>
      <c r="W49" s="1264"/>
      <c r="X49" s="1265"/>
    </row>
    <row r="50" spans="2:36" x14ac:dyDescent="0.2">
      <c r="B50" s="839">
        <v>9</v>
      </c>
      <c r="C50" s="263" t="s">
        <v>344</v>
      </c>
      <c r="D50" s="264"/>
      <c r="E50" s="264"/>
      <c r="F50" s="959">
        <f>-IF($F39=6,'1Kauppa AT lainat ja avustukset'!B194,IF($F39=7,'1Kauppa AT lainat ja avustukset'!C195,IF($F39=8,'1Kauppa AT lainat ja avustukset'!D196,IF($F39=9,'1Kauppa AT lainat ja avustukset'!E197,IF($F39=10,'1Kauppa AT lainat ja avustukset'!F198,IF($F39=11,'1Kauppa AT lainat ja avustukset'!G199,IF($F39=12,'1Kauppa AT lainat ja avustukset'!H200,IF($F39=13,'1Kauppa AT lainat ja avustukset'!I201,IF($F39=14,'1Kauppa AT lainat ja avustukset'!J202,IF($F39=15,'1Kauppa AT lainat ja avustukset'!K203,IF($F39=16,'1Kauppa AT lainat ja avustukset'!L204,IF($F39=17,'1Kauppa AT lainat ja avustukset'!M205,'1Kauppa AT lainat ja avustukset'!N206))))))))))))</f>
        <v>0</v>
      </c>
      <c r="G50" s="978">
        <f>IF(F$43=0,0,F50/F$43)*-100</f>
        <v>0</v>
      </c>
      <c r="H50" s="1658">
        <f>-IF($F39=6,'1Kauppa AT lainat ja avustukset'!N194,IF($F39=7,'1Kauppa AT lainat ja avustukset'!O195,IF($F39=8,'1Kauppa AT lainat ja avustukset'!P196,IF($F39=9,'1Kauppa AT lainat ja avustukset'!Q197,IF($F39=10,'1Kauppa AT lainat ja avustukset'!R198,IF($F39=11,'1Kauppa AT lainat ja avustukset'!S199,IF($F39=12,'1Kauppa AT lainat ja avustukset'!T200,IF($F39=13,'1Kauppa AT lainat ja avustukset'!U201,IF($F39=14,'1Kauppa AT lainat ja avustukset'!V202,IF($F39=15,'1Kauppa AT lainat ja avustukset'!W203,IF($F39=16,'1Kauppa AT lainat ja avustukset'!X204,IF($F39=17,'1Kauppa AT lainat ja avustukset'!Y205,'1Kauppa AT lainat ja avustukset'!Z206))))))))))))</f>
        <v>0</v>
      </c>
      <c r="I50" s="1678">
        <f>-IF($F39=6,'1Kauppa AT lainat ja avustukset'!E194,IF($F39=7,'1Kauppa AT lainat ja avustukset'!F195,IF($F39=8,'1Kauppa AT lainat ja avustukset'!G196,IF($F39=9,'1Kauppa AT lainat ja avustukset'!H197,IF($F39=10,'1Kauppa AT lainat ja avustukset'!I198,IF($F39=11,'1Kauppa AT lainat ja avustukset'!J199,IF($F39=12,'1Kauppa AT lainat ja avustukset'!K200,IF($F39=13,'1Kauppa AT lainat ja avustukset'!L201,IF($F39=14,'1Kauppa AT lainat ja avustukset'!M202,IF($F39=15,'1Kauppa AT lainat ja avustukset'!N203,IF($F39=16,'1Kauppa AT lainat ja avustukset'!O204,IF($F39=17,'1Kauppa AT lainat ja avustukset'!P205,'1Kauppa AT lainat ja avustukset'!Q206))))))))))))</f>
        <v>0</v>
      </c>
      <c r="J50" s="978">
        <f>IF(H$43=0,0,H50/H$43)*-100</f>
        <v>0</v>
      </c>
      <c r="K50" s="954">
        <f>-IF($F39=6,'1Kauppa AT lainat ja avustukset'!Z194,IF($F39=7,'1Kauppa AT lainat ja avustukset'!AA195,IF($F39=8,'1Kauppa AT lainat ja avustukset'!AB196,IF($F39=9,'1Kauppa AT lainat ja avustukset'!AC197,IF($F39=10,'1Kauppa AT lainat ja avustukset'!AD198,IF($F39=11,'1Kauppa AT lainat ja avustukset'!AE199,IF($F39=12,'1Kauppa AT lainat ja avustukset'!AF200,IF($F39=13,'1Kauppa AT lainat ja avustukset'!AG201,IF($F39=14,'1Kauppa AT lainat ja avustukset'!AH202,IF($F39=15,'1Kauppa AT lainat ja avustukset'!AI203,IF($F39=16,'1Kauppa AT lainat ja avustukset'!AJ204,IF($F39=17,'1Kauppa AT lainat ja avustukset'!AK205,'1Kauppa AT lainat ja avustukset'!AL206))))))))))))</f>
        <v>0</v>
      </c>
      <c r="L50" s="978">
        <f>IF(K$43=0,0,K50/K$43)*-100</f>
        <v>0</v>
      </c>
      <c r="M50" s="22"/>
      <c r="N50" s="1027"/>
      <c r="O50" s="1021"/>
      <c r="P50" s="1021"/>
      <c r="Q50" s="1021"/>
      <c r="R50" s="1021"/>
      <c r="S50" s="1264"/>
      <c r="T50" s="1264"/>
      <c r="U50" s="1264"/>
      <c r="V50" s="1264"/>
      <c r="W50" s="1264"/>
      <c r="X50" s="1265"/>
    </row>
    <row r="51" spans="2:36" x14ac:dyDescent="0.2">
      <c r="B51" s="839">
        <v>10</v>
      </c>
      <c r="C51" s="263" t="s">
        <v>345</v>
      </c>
      <c r="D51" s="264"/>
      <c r="E51" s="264"/>
      <c r="F51" s="959">
        <f>-IF(F52*(F49+F50+F54+0.5*'K1 Kostnader'!F88)&lt;0,0,F52*(F49+F50+F54+0.5*'K1 Kostnader'!F88))</f>
        <v>0</v>
      </c>
      <c r="G51" s="978">
        <f>IF(F$43=0,0,F51/F$43)*-100</f>
        <v>0</v>
      </c>
      <c r="H51" s="1658">
        <f>-IF(H52*(H49+H50+H54+0.5*'K1 Kostnader'!G88)&lt;0,0,H52*(H49+H50+H54+0.5*'K1 Kostnader'!G88))</f>
        <v>0</v>
      </c>
      <c r="I51" s="1678"/>
      <c r="J51" s="978">
        <f>IF(H$43=0,0,H51/H$43)*-100</f>
        <v>0</v>
      </c>
      <c r="K51" s="954">
        <f>-IF(K52*(K49+K50+K54+0.5*'K1 Kostnader'!H88)&lt;0,0,K52*(K49+K50+K54+0.5*'K1 Kostnader'!H88))</f>
        <v>0</v>
      </c>
      <c r="L51" s="978">
        <f>IF(K$43=0,0,K51/K$43)*-100</f>
        <v>0</v>
      </c>
      <c r="M51" s="32"/>
      <c r="N51" s="1027"/>
      <c r="O51" s="1021"/>
      <c r="P51" s="1021"/>
      <c r="Q51" s="1021"/>
      <c r="R51" s="1021"/>
      <c r="S51" s="1264"/>
      <c r="T51" s="1264"/>
      <c r="U51" s="1264"/>
      <c r="V51" s="1264"/>
      <c r="W51" s="1264"/>
      <c r="X51" s="1265"/>
    </row>
    <row r="52" spans="2:36" x14ac:dyDescent="0.2">
      <c r="B52" s="839"/>
      <c r="C52" s="946" t="s">
        <v>346</v>
      </c>
      <c r="D52" s="947"/>
      <c r="E52" s="947"/>
      <c r="F52" s="989">
        <v>0.2</v>
      </c>
      <c r="G52" s="990"/>
      <c r="H52" s="1772">
        <f>F52</f>
        <v>0.2</v>
      </c>
      <c r="I52" s="1773"/>
      <c r="J52" s="990"/>
      <c r="K52" s="996">
        <f>H52</f>
        <v>0.2</v>
      </c>
      <c r="L52" s="979"/>
      <c r="M52" s="32"/>
      <c r="N52" s="1027"/>
      <c r="O52" s="1021"/>
      <c r="P52" s="1021"/>
      <c r="Q52" s="1021"/>
      <c r="R52" s="1021"/>
      <c r="S52" s="1264"/>
      <c r="T52" s="1264"/>
      <c r="U52" s="1264"/>
      <c r="V52" s="1264"/>
      <c r="W52" s="1264"/>
      <c r="X52" s="1265"/>
    </row>
    <row r="53" spans="2:36" x14ac:dyDescent="0.2">
      <c r="B53" s="839">
        <v>11</v>
      </c>
      <c r="C53" s="265" t="s">
        <v>347</v>
      </c>
      <c r="D53" s="266"/>
      <c r="E53" s="266"/>
      <c r="F53" s="955">
        <f>SUM(F49:F51)</f>
        <v>0</v>
      </c>
      <c r="G53" s="977">
        <f>IF(F$43=0,0,F53/F$43)*100</f>
        <v>0</v>
      </c>
      <c r="H53" s="1707">
        <f>SUM(H49:H51)</f>
        <v>0</v>
      </c>
      <c r="I53" s="1708"/>
      <c r="J53" s="977">
        <f>IF(H$43=0,0,H53/H$43)*100</f>
        <v>0</v>
      </c>
      <c r="K53" s="951">
        <f>SUM(K49:K51)</f>
        <v>0</v>
      </c>
      <c r="L53" s="977">
        <f>IF(K$43=0,0,K53/K$43)*100</f>
        <v>0</v>
      </c>
      <c r="M53" s="1037"/>
      <c r="N53" s="1027"/>
      <c r="O53" s="1021"/>
      <c r="P53" s="1021"/>
      <c r="Q53" s="1021"/>
      <c r="R53" s="1021"/>
      <c r="S53" s="1264"/>
      <c r="T53" s="1264"/>
      <c r="U53" s="1264"/>
      <c r="V53" s="1264"/>
      <c r="W53" s="1264"/>
      <c r="X53" s="1265"/>
    </row>
    <row r="54" spans="2:36" x14ac:dyDescent="0.2">
      <c r="B54" s="839">
        <v>12</v>
      </c>
      <c r="C54" s="263" t="s">
        <v>348</v>
      </c>
      <c r="D54" s="267"/>
      <c r="E54" s="267"/>
      <c r="F54" s="959">
        <f>IF($E33=0,0,-'1Kauppa AT lainat ja avustukset'!F2)</f>
        <v>0</v>
      </c>
      <c r="G54" s="978">
        <f>IF(F$43=0,0,F54/F$43)*-100</f>
        <v>0</v>
      </c>
      <c r="H54" s="1658">
        <f>IF($E33=0,0,-'1Kauppa AT lainat ja avustukset'!G2)</f>
        <v>0</v>
      </c>
      <c r="I54" s="1678">
        <f>IF($E33=0,0,-'1Kauppa AT lainat ja avustukset'!I2)</f>
        <v>0</v>
      </c>
      <c r="J54" s="978">
        <f>IF(H$43=0,0,H54/H$43)*-100</f>
        <v>0</v>
      </c>
      <c r="K54" s="959">
        <f>IF($E33=0,0,-'1Kauppa AT lainat ja avustukset'!H2)</f>
        <v>0</v>
      </c>
      <c r="L54" s="978">
        <f>IF(K$43=0,0,K54/K$43)*-100</f>
        <v>0</v>
      </c>
      <c r="M54" s="1038"/>
      <c r="N54" s="1027"/>
      <c r="O54" s="1021"/>
      <c r="P54" s="1021"/>
      <c r="Q54" s="1021"/>
      <c r="R54" s="1021"/>
      <c r="S54" s="1264"/>
      <c r="T54" s="1264"/>
      <c r="U54" s="1264"/>
      <c r="V54" s="1264"/>
      <c r="W54" s="1264"/>
      <c r="X54" s="1265"/>
    </row>
    <row r="55" spans="2:36" x14ac:dyDescent="0.2">
      <c r="B55" s="839"/>
      <c r="C55" s="263" t="s">
        <v>349</v>
      </c>
      <c r="D55" s="267"/>
      <c r="E55" s="267"/>
      <c r="F55" s="991">
        <v>7.0000000000000007E-2</v>
      </c>
      <c r="G55" s="980"/>
      <c r="H55" s="1661">
        <v>7.0000000000000007E-2</v>
      </c>
      <c r="I55" s="1662"/>
      <c r="J55" s="980"/>
      <c r="K55" s="952">
        <v>7.0000000000000007E-2</v>
      </c>
      <c r="L55" s="980"/>
      <c r="M55" s="1037"/>
      <c r="N55" s="1027"/>
      <c r="O55" s="1021"/>
      <c r="P55" s="1021"/>
      <c r="Q55" s="1021"/>
      <c r="R55" s="1021"/>
      <c r="S55" s="1264"/>
      <c r="T55" s="1264"/>
      <c r="U55" s="1264"/>
      <c r="V55" s="1264"/>
      <c r="W55" s="1264"/>
      <c r="X55" s="1265"/>
    </row>
    <row r="56" spans="2:36" x14ac:dyDescent="0.2">
      <c r="B56" s="839"/>
      <c r="C56" s="263" t="s">
        <v>350</v>
      </c>
      <c r="D56" s="267"/>
      <c r="E56" s="267"/>
      <c r="F56" s="991">
        <v>0.2</v>
      </c>
      <c r="G56" s="980"/>
      <c r="H56" s="1661">
        <v>0.2</v>
      </c>
      <c r="I56" s="1662"/>
      <c r="J56" s="980"/>
      <c r="K56" s="952">
        <v>0.2</v>
      </c>
      <c r="L56" s="980"/>
      <c r="M56" s="34"/>
      <c r="N56" s="1027"/>
      <c r="O56" s="1021"/>
      <c r="P56" s="1021"/>
      <c r="Q56" s="1021"/>
      <c r="R56" s="1021"/>
      <c r="S56" s="1264"/>
      <c r="T56" s="1264"/>
      <c r="U56" s="1264"/>
      <c r="V56" s="1264"/>
      <c r="W56" s="1264"/>
      <c r="X56" s="1265"/>
    </row>
    <row r="57" spans="2:36" x14ac:dyDescent="0.2">
      <c r="B57" s="839"/>
      <c r="C57" s="263" t="s">
        <v>685</v>
      </c>
      <c r="D57" s="267"/>
      <c r="E57" s="267"/>
      <c r="F57" s="991">
        <v>0.2</v>
      </c>
      <c r="G57" s="980"/>
      <c r="H57" s="1661">
        <v>0.2</v>
      </c>
      <c r="I57" s="1662"/>
      <c r="J57" s="980"/>
      <c r="K57" s="952">
        <v>0.2</v>
      </c>
      <c r="L57" s="980"/>
      <c r="M57" s="34"/>
      <c r="N57" s="1027"/>
      <c r="O57" s="1021"/>
      <c r="P57" s="1021"/>
      <c r="Q57" s="1021"/>
      <c r="R57" s="1021"/>
      <c r="S57" s="1264"/>
      <c r="T57" s="1264"/>
      <c r="U57" s="1264"/>
      <c r="V57" s="1264"/>
      <c r="W57" s="1264"/>
      <c r="X57" s="1265"/>
    </row>
    <row r="58" spans="2:36" x14ac:dyDescent="0.2">
      <c r="B58" s="839"/>
      <c r="C58" s="263" t="s">
        <v>350</v>
      </c>
      <c r="D58" s="267"/>
      <c r="E58" s="267"/>
      <c r="F58" s="991">
        <v>0.2</v>
      </c>
      <c r="G58" s="980"/>
      <c r="H58" s="1661">
        <v>0.2</v>
      </c>
      <c r="I58" s="1662"/>
      <c r="J58" s="980"/>
      <c r="K58" s="952">
        <v>0.2</v>
      </c>
      <c r="L58" s="980"/>
      <c r="M58" s="34"/>
      <c r="N58" s="1027"/>
      <c r="O58" s="1021"/>
      <c r="P58" s="1021"/>
      <c r="Q58" s="1021"/>
      <c r="R58" s="1021"/>
      <c r="S58" s="1264"/>
      <c r="T58" s="1264"/>
      <c r="U58" s="1264"/>
      <c r="V58" s="1264"/>
      <c r="W58" s="1264"/>
      <c r="X58" s="1265"/>
    </row>
    <row r="59" spans="2:36" x14ac:dyDescent="0.2">
      <c r="B59" s="839">
        <v>13</v>
      </c>
      <c r="C59" s="265" t="s">
        <v>351</v>
      </c>
      <c r="D59" s="266"/>
      <c r="E59" s="266"/>
      <c r="F59" s="955">
        <f>F53+F54</f>
        <v>0</v>
      </c>
      <c r="G59" s="977">
        <f>IF(F$43=0,0,F59/F$43)*100</f>
        <v>0</v>
      </c>
      <c r="H59" s="1707">
        <f>H53+H54</f>
        <v>0</v>
      </c>
      <c r="I59" s="1708"/>
      <c r="J59" s="977">
        <f>IF(H$43=0,0,H59/H$43)*100</f>
        <v>0</v>
      </c>
      <c r="K59" s="951">
        <f>K53+K54</f>
        <v>0</v>
      </c>
      <c r="L59" s="977">
        <f>IF(K$43=0,0,K59/K$43)*100</f>
        <v>0</v>
      </c>
      <c r="M59" s="34"/>
      <c r="N59" s="1027"/>
      <c r="O59" s="1021"/>
      <c r="P59" s="1021"/>
      <c r="Q59" s="1021"/>
      <c r="R59" s="1021"/>
      <c r="S59" s="1264"/>
      <c r="T59" s="1264"/>
      <c r="U59" s="1264"/>
      <c r="V59" s="1264"/>
      <c r="W59" s="1264"/>
      <c r="X59" s="1265"/>
      <c r="AJ59" s="4"/>
    </row>
    <row r="60" spans="2:36" x14ac:dyDescent="0.2">
      <c r="B60" s="981">
        <v>14</v>
      </c>
      <c r="C60" s="982" t="s">
        <v>352</v>
      </c>
      <c r="D60" s="983"/>
      <c r="E60" s="983"/>
      <c r="F60" s="992">
        <f>F59</f>
        <v>0</v>
      </c>
      <c r="G60" s="984">
        <f>IF(F$43=0,0,F60/F$43)*100</f>
        <v>0</v>
      </c>
      <c r="H60" s="1795">
        <f t="shared" ref="H60:I60" si="0">H59</f>
        <v>0</v>
      </c>
      <c r="I60" s="1796">
        <f t="shared" si="0"/>
        <v>0</v>
      </c>
      <c r="J60" s="984">
        <f>IF(H$43=0,0,H60/H$43)*100</f>
        <v>0</v>
      </c>
      <c r="K60" s="997">
        <f>K59</f>
        <v>0</v>
      </c>
      <c r="L60" s="984">
        <f>IF(K$43=0,0,K60/K$43)*100</f>
        <v>0</v>
      </c>
      <c r="M60" s="34"/>
      <c r="N60" s="1028"/>
      <c r="O60" s="1024"/>
      <c r="P60" s="1024"/>
      <c r="Q60" s="1024"/>
      <c r="R60" s="1024"/>
      <c r="S60" s="1266"/>
      <c r="T60" s="1266"/>
      <c r="U60" s="1266"/>
      <c r="V60" s="1266"/>
      <c r="W60" s="1266"/>
      <c r="X60" s="1267"/>
    </row>
    <row r="61" spans="2:36" ht="6" customHeight="1" x14ac:dyDescent="0.2">
      <c r="B61" s="60"/>
      <c r="C61" s="61"/>
      <c r="D61" s="61"/>
      <c r="E61" s="61"/>
      <c r="F61" s="792"/>
      <c r="G61" s="706"/>
      <c r="H61" s="791"/>
      <c r="I61" s="791"/>
      <c r="J61" s="791"/>
      <c r="K61" s="791"/>
      <c r="L61" s="791"/>
      <c r="M61" s="34"/>
      <c r="N61" s="78"/>
      <c r="O61" s="78"/>
      <c r="P61" s="19"/>
    </row>
    <row r="62" spans="2:36" ht="25.5" customHeight="1" x14ac:dyDescent="0.2">
      <c r="B62" s="617">
        <v>15</v>
      </c>
      <c r="C62" s="1783" t="s">
        <v>868</v>
      </c>
      <c r="D62" s="1784"/>
      <c r="E62" s="1784"/>
      <c r="F62" s="1717">
        <f>IF($F39=6,'1Kauppa AT lainat ja avustukset'!B181,IF($F39=7,'1Kauppa AT lainat ja avustukset'!C182,IF($F39=8,'1Kauppa AT lainat ja avustukset'!D183,IF($F39=9,'1Kauppa AT lainat ja avustukset'!E184,IF($F39=10,'1Kauppa AT lainat ja avustukset'!F185,IF($F39=11,'1Kauppa AT lainat ja avustukset'!G186,IF($F39=12,'1Kauppa AT lainat ja avustukset'!H187,IF($F39=13,'1Kauppa AT lainat ja avustukset'!I188,IF($F39=14,'1Kauppa AT lainat ja avustukset'!J189,IF($F39=15,'1Kauppa AT lainat ja avustukset'!K190,IF($F39=16,'1Kauppa AT lainat ja avustukset'!L191,IF($F39=17,'1Kauppa AT lainat ja avustukset'!M192,'1Kauppa AT lainat ja avustukset'!N193))))))))))))</f>
        <v>0</v>
      </c>
      <c r="G62" s="1718"/>
      <c r="H62" s="1717">
        <f>IF($F39=6,'1Kauppa AT lainat ja avustukset'!N181,IF($F39=7,'1Kauppa AT lainat ja avustukset'!O182,IF($F39=8,'1Kauppa AT lainat ja avustukset'!P183,IF($F39=9,'1Kauppa AT lainat ja avustukset'!Q184,IF($F39=10,'1Kauppa AT lainat ja avustukset'!R185,IF($F39=11,'1Kauppa AT lainat ja avustukset'!S186,IF($F39=12,'1Kauppa AT lainat ja avustukset'!T187,IF($F39=13,'1Kauppa AT lainat ja avustukset'!U188,IF($F39=14,'1Kauppa AT lainat ja avustukset'!V189,IF($F39=15,'1Kauppa AT lainat ja avustukset'!W190,IF($F39=16,'1Kauppa AT lainat ja avustukset'!X191,IF($F39=17,'1Kauppa AT lainat ja avustukset'!Y192,'1Kauppa AT lainat ja avustukset'!Z193))))))))))))</f>
        <v>0</v>
      </c>
      <c r="I62" s="1726"/>
      <c r="J62" s="1718"/>
      <c r="K62" s="1726">
        <f>IF($F39=6,'1Kauppa AT lainat ja avustukset'!Z181,IF($H39=7,'1Kauppa AT lainat ja avustukset'!AA182,IF($H39=8,'1Kauppa AT lainat ja avustukset'!AB183,IF($H39=9,'1Kauppa AT lainat ja avustukset'!AC184,IF($H39=10,'1Kauppa AT lainat ja avustukset'!AD185,IF($H39=11,'1Kauppa AT lainat ja avustukset'!AE186,IF($H39=12,'1Kauppa AT lainat ja avustukset'!AF187,IF($H39=13,'1Kauppa AT lainat ja avustukset'!AG188,IF($H39=14,'1Kauppa AT lainat ja avustukset'!AH189,IF($H39=15,'1Kauppa AT lainat ja avustukset'!AI190,IF($H39=16,'1Kauppa AT lainat ja avustukset'!AJ191,IF($H39=17,'1Kauppa AT lainat ja avustukset'!AK192,'1Kauppa AT lainat ja avustukset'!AL193))))))))))))</f>
        <v>0</v>
      </c>
      <c r="L62" s="1718"/>
      <c r="M62" s="706"/>
      <c r="N62" s="78"/>
      <c r="O62" s="78"/>
      <c r="P62" s="19"/>
    </row>
    <row r="63" spans="2:36" ht="9" customHeight="1" x14ac:dyDescent="0.2">
      <c r="B63" s="60"/>
      <c r="C63" s="61"/>
      <c r="D63" s="61"/>
      <c r="E63" s="61"/>
      <c r="F63" s="37"/>
      <c r="G63" s="37"/>
      <c r="H63" s="37"/>
      <c r="I63" s="37"/>
      <c r="J63" s="37"/>
      <c r="K63" s="37"/>
      <c r="L63" s="363"/>
      <c r="M63" s="34"/>
      <c r="N63" s="78"/>
      <c r="O63" s="78"/>
      <c r="P63" s="19"/>
    </row>
    <row r="64" spans="2:36" x14ac:dyDescent="0.2">
      <c r="B64" s="998" t="s">
        <v>373</v>
      </c>
      <c r="C64" s="999"/>
      <c r="D64" s="999"/>
      <c r="E64" s="999"/>
      <c r="F64" s="1000"/>
      <c r="G64" s="1000"/>
      <c r="H64" s="1001"/>
      <c r="I64" s="1001"/>
      <c r="J64" s="1002"/>
      <c r="K64" s="1002"/>
      <c r="L64" s="1003"/>
      <c r="M64" s="34"/>
      <c r="N64" s="78"/>
      <c r="O64" s="78"/>
      <c r="P64" s="19"/>
    </row>
    <row r="65" spans="2:14" ht="12" customHeight="1" x14ac:dyDescent="0.2">
      <c r="B65" s="1004">
        <v>16</v>
      </c>
      <c r="C65" s="325" t="s">
        <v>353</v>
      </c>
      <c r="D65" s="326"/>
      <c r="E65" s="708">
        <f>'K1 Kostnader'!F$47-'K1 Kostnader'!F$48</f>
        <v>0</v>
      </c>
      <c r="F65" s="1307" t="s">
        <v>648</v>
      </c>
      <c r="G65" s="1308"/>
      <c r="H65" s="1308"/>
      <c r="I65" s="1308"/>
      <c r="J65" s="1309"/>
      <c r="K65" s="1721">
        <f>'K1 Kostnader'!F$79+'K1 Kostnader'!F$83</f>
        <v>0</v>
      </c>
      <c r="L65" s="1722"/>
    </row>
    <row r="66" spans="2:14" ht="12" customHeight="1" x14ac:dyDescent="0.2">
      <c r="B66" s="1005">
        <v>17</v>
      </c>
      <c r="C66" s="264" t="s">
        <v>354</v>
      </c>
      <c r="D66" s="268"/>
      <c r="E66" s="950">
        <f>'K1 Kostnader'!F$41</f>
        <v>0</v>
      </c>
      <c r="F66" s="1310" t="s">
        <v>649</v>
      </c>
      <c r="G66" s="1308"/>
      <c r="H66" s="1308"/>
      <c r="I66" s="1308"/>
      <c r="J66" s="1309"/>
      <c r="K66" s="1721">
        <f>'K1 Kostnader'!F$99+'K1 Kostnader'!F$114+'K1 Kostnader'!F$117</f>
        <v>0</v>
      </c>
      <c r="L66" s="1722"/>
    </row>
    <row r="67" spans="2:14" ht="12" customHeight="1" x14ac:dyDescent="0.2">
      <c r="B67" s="1005">
        <v>18</v>
      </c>
      <c r="C67" s="264" t="s">
        <v>355</v>
      </c>
      <c r="D67" s="268"/>
      <c r="E67" s="950">
        <f>'K1 Kostnader'!F$61</f>
        <v>0</v>
      </c>
      <c r="F67" s="1310" t="s">
        <v>650</v>
      </c>
      <c r="G67" s="1308"/>
      <c r="H67" s="1308"/>
      <c r="I67" s="1308"/>
      <c r="J67" s="1309"/>
      <c r="K67" s="1721">
        <f>'K1 Kostnader'!F$104</f>
        <v>0</v>
      </c>
      <c r="L67" s="1722"/>
    </row>
    <row r="68" spans="2:14" ht="12" customHeight="1" x14ac:dyDescent="0.2">
      <c r="B68" s="1005">
        <v>19</v>
      </c>
      <c r="C68" s="264" t="s">
        <v>356</v>
      </c>
      <c r="D68" s="268"/>
      <c r="E68" s="950">
        <f>'K1 Kostnader'!F$69</f>
        <v>0</v>
      </c>
      <c r="F68" s="1780" t="s">
        <v>651</v>
      </c>
      <c r="G68" s="1781"/>
      <c r="H68" s="1781"/>
      <c r="I68" s="1781"/>
      <c r="J68" s="1782"/>
      <c r="K68" s="1721">
        <f>'K1 Kostnader'!F$109</f>
        <v>0</v>
      </c>
      <c r="L68" s="1722"/>
      <c r="N68" s="50"/>
    </row>
    <row r="69" spans="2:14" ht="12" customHeight="1" x14ac:dyDescent="0.2">
      <c r="B69" s="1005">
        <v>20</v>
      </c>
      <c r="C69" s="1778" t="s">
        <v>357</v>
      </c>
      <c r="D69" s="1779"/>
      <c r="E69" s="950">
        <f>'K1 Kostnader'!F$74</f>
        <v>0</v>
      </c>
      <c r="F69" s="1798" t="s">
        <v>652</v>
      </c>
      <c r="G69" s="1799"/>
      <c r="H69" s="1799"/>
      <c r="I69" s="1799"/>
      <c r="J69" s="1800"/>
      <c r="K69" s="1721">
        <f>'K1 Kostnader'!F$88+'K1 Kostnader'!F$95+'K1 Kostnader'!F$118+'K1 Kostnader'!F$119+'K1 Kostnader'!F120+'K1 Kostnader'!F121</f>
        <v>0</v>
      </c>
      <c r="L69" s="1722"/>
    </row>
    <row r="70" spans="2:14" ht="12" customHeight="1" x14ac:dyDescent="0.2">
      <c r="B70" s="60"/>
      <c r="C70" s="8"/>
      <c r="D70" s="161"/>
      <c r="E70" s="319"/>
      <c r="F70" s="317"/>
      <c r="G70" s="161"/>
      <c r="H70" s="161"/>
      <c r="I70" s="161"/>
      <c r="J70" s="320"/>
      <c r="K70" s="321"/>
      <c r="L70" s="321"/>
    </row>
    <row r="71" spans="2:14" x14ac:dyDescent="0.2">
      <c r="B71" s="60"/>
      <c r="C71" s="61"/>
      <c r="D71" s="61"/>
      <c r="E71" s="37"/>
      <c r="F71" s="60"/>
      <c r="G71" s="60"/>
      <c r="H71" s="60"/>
      <c r="I71" s="60"/>
      <c r="J71" s="37"/>
      <c r="K71" s="37"/>
      <c r="M71" s="50"/>
    </row>
    <row r="72" spans="2:14" x14ac:dyDescent="0.2">
      <c r="B72" s="60"/>
      <c r="C72" s="61"/>
      <c r="D72" s="61"/>
      <c r="E72" s="37"/>
      <c r="F72" s="60"/>
      <c r="G72" s="60"/>
      <c r="H72" s="60"/>
      <c r="I72" s="60"/>
      <c r="J72" s="37"/>
      <c r="K72" s="37"/>
      <c r="M72" s="50"/>
    </row>
    <row r="73" spans="2:14" ht="12.75" customHeight="1" x14ac:dyDescent="0.2">
      <c r="B73" s="1753" t="str">
        <f>B8</f>
        <v>Företagets namn</v>
      </c>
      <c r="C73" s="1753"/>
      <c r="F73" s="1753">
        <f>F8</f>
        <v>0</v>
      </c>
      <c r="G73" s="1753"/>
      <c r="H73" s="291"/>
      <c r="I73" s="291"/>
      <c r="J73" s="291"/>
      <c r="K73" s="1753">
        <f>K8</f>
        <v>0</v>
      </c>
      <c r="L73" s="1753"/>
      <c r="M73" s="50"/>
    </row>
    <row r="74" spans="2:14" x14ac:dyDescent="0.2">
      <c r="B74" s="1768">
        <f>B9</f>
        <v>0</v>
      </c>
      <c r="C74" s="1768"/>
      <c r="D74" s="1768"/>
      <c r="E74" s="1768"/>
      <c r="F74" s="1797">
        <f>F9</f>
        <v>0</v>
      </c>
      <c r="G74" s="1797"/>
      <c r="H74" s="1797"/>
      <c r="I74" s="1797"/>
      <c r="J74" s="1797"/>
      <c r="K74" s="1794">
        <f>K9</f>
        <v>0</v>
      </c>
      <c r="L74" s="1794"/>
      <c r="M74" s="50"/>
    </row>
    <row r="75" spans="2:14" ht="6" customHeight="1" x14ac:dyDescent="0.2">
      <c r="B75" s="287"/>
      <c r="C75" s="287"/>
      <c r="D75" s="287"/>
      <c r="E75" s="287"/>
      <c r="F75" s="288"/>
      <c r="G75" s="288"/>
      <c r="H75" s="288"/>
      <c r="I75" s="288"/>
      <c r="J75" s="288"/>
      <c r="K75" s="289"/>
      <c r="L75" s="289"/>
      <c r="M75" s="50"/>
    </row>
    <row r="76" spans="2:14" ht="15.75" customHeight="1" x14ac:dyDescent="0.2">
      <c r="B76" s="287"/>
      <c r="C76" s="492" t="s">
        <v>701</v>
      </c>
      <c r="D76" s="287"/>
      <c r="E76" s="287"/>
      <c r="F76" s="287"/>
      <c r="G76" s="287"/>
      <c r="H76" s="287"/>
      <c r="I76" s="287"/>
      <c r="J76" s="287"/>
      <c r="K76" s="289"/>
      <c r="L76" s="289"/>
      <c r="M76" s="50"/>
    </row>
    <row r="77" spans="2:14" ht="13.5" customHeight="1" x14ac:dyDescent="0.2">
      <c r="B77" s="287"/>
      <c r="C77" s="287"/>
      <c r="D77" s="287"/>
      <c r="E77" s="922">
        <f>E86</f>
        <v>2026</v>
      </c>
      <c r="F77" s="922">
        <f>F86</f>
        <v>2027</v>
      </c>
      <c r="G77" s="1792">
        <f>G86</f>
        <v>2028</v>
      </c>
      <c r="H77" s="1793"/>
      <c r="I77" s="288"/>
      <c r="J77" s="288"/>
      <c r="K77" s="289"/>
      <c r="L77" s="289"/>
      <c r="M77" s="50"/>
    </row>
    <row r="78" spans="2:14" ht="13.5" customHeight="1" x14ac:dyDescent="0.2">
      <c r="B78" s="287"/>
      <c r="C78" s="1765" t="s">
        <v>358</v>
      </c>
      <c r="D78" s="1766"/>
      <c r="E78" s="739">
        <f>'K1 Kostnader'!F127</f>
        <v>0</v>
      </c>
      <c r="F78" s="739">
        <f>'K1 Kostnader'!G127</f>
        <v>0</v>
      </c>
      <c r="G78" s="1724">
        <f>'K1 Kostnader'!H127</f>
        <v>0</v>
      </c>
      <c r="H78" s="1725"/>
      <c r="I78" s="397"/>
      <c r="J78" s="288"/>
      <c r="K78" s="289"/>
      <c r="L78" s="289"/>
      <c r="M78" s="50"/>
    </row>
    <row r="79" spans="2:14" ht="13.5" customHeight="1" x14ac:dyDescent="0.2">
      <c r="B79" s="287"/>
      <c r="C79" s="1766" t="s">
        <v>359</v>
      </c>
      <c r="D79" s="1767"/>
      <c r="E79" s="739">
        <f>'K1 Kostnader'!F128</f>
        <v>0</v>
      </c>
      <c r="F79" s="739">
        <f>'K1 Kostnader'!G128</f>
        <v>0</v>
      </c>
      <c r="G79" s="1724">
        <f>'K1 Kostnader'!H128</f>
        <v>0</v>
      </c>
      <c r="H79" s="1725"/>
      <c r="I79" s="397"/>
      <c r="J79" s="288"/>
      <c r="K79" s="289"/>
      <c r="L79" s="289"/>
      <c r="M79" s="50"/>
    </row>
    <row r="80" spans="2:14" ht="13.5" customHeight="1" x14ac:dyDescent="0.2">
      <c r="B80" s="287"/>
      <c r="C80" s="398" t="s">
        <v>360</v>
      </c>
      <c r="D80" s="399"/>
      <c r="E80" s="470">
        <f>'K1 Kostnader'!F129</f>
        <v>0</v>
      </c>
      <c r="F80" s="470">
        <f>'K1 Kostnader'!G129</f>
        <v>0</v>
      </c>
      <c r="G80" s="1727">
        <f>'K1 Kostnader'!H129</f>
        <v>0</v>
      </c>
      <c r="H80" s="1728"/>
      <c r="I80" s="397"/>
      <c r="J80" s="288"/>
      <c r="K80" s="289"/>
      <c r="L80" s="289"/>
      <c r="M80" s="50"/>
    </row>
    <row r="81" spans="1:13" ht="13.5" customHeight="1" x14ac:dyDescent="0.2">
      <c r="B81" s="287"/>
      <c r="C81" s="1766" t="s">
        <v>361</v>
      </c>
      <c r="D81" s="1767"/>
      <c r="E81" s="739">
        <f>'K1 Kostnader'!F131</f>
        <v>0</v>
      </c>
      <c r="F81" s="739">
        <f>'K1 Kostnader'!G131</f>
        <v>0</v>
      </c>
      <c r="G81" s="1724">
        <f>'K1 Kostnader'!H131</f>
        <v>0</v>
      </c>
      <c r="H81" s="1725"/>
      <c r="I81" s="397"/>
      <c r="J81" s="288"/>
      <c r="K81" s="289"/>
      <c r="L81" s="289"/>
      <c r="M81" s="50"/>
    </row>
    <row r="82" spans="1:13" ht="12.75" customHeight="1" x14ac:dyDescent="0.2">
      <c r="B82" s="287"/>
      <c r="C82" s="1765" t="s">
        <v>362</v>
      </c>
      <c r="D82" s="1766"/>
      <c r="E82" s="740">
        <f>F43/F40</f>
        <v>0</v>
      </c>
      <c r="F82" s="739">
        <f>H43/H40</f>
        <v>0</v>
      </c>
      <c r="G82" s="1771">
        <f>K43/K40</f>
        <v>0</v>
      </c>
      <c r="H82" s="1771"/>
      <c r="I82" s="397"/>
      <c r="J82" s="288"/>
      <c r="K82" s="289"/>
      <c r="L82" s="289"/>
      <c r="M82" s="50"/>
    </row>
    <row r="83" spans="1:13" ht="12.75" customHeight="1" x14ac:dyDescent="0.2">
      <c r="B83" s="287"/>
      <c r="C83" s="1765" t="s">
        <v>363</v>
      </c>
      <c r="D83" s="1766"/>
      <c r="E83" s="740">
        <f>-F45/F40</f>
        <v>0</v>
      </c>
      <c r="F83" s="739">
        <f>-H45/H40</f>
        <v>0</v>
      </c>
      <c r="G83" s="1771">
        <f>-K45/K40</f>
        <v>0</v>
      </c>
      <c r="H83" s="1771"/>
      <c r="I83" s="397"/>
      <c r="J83" s="288"/>
      <c r="K83" s="289"/>
      <c r="L83" s="289"/>
      <c r="M83" s="50"/>
    </row>
    <row r="84" spans="1:13" ht="6" customHeight="1" x14ac:dyDescent="0.2">
      <c r="B84" s="287"/>
      <c r="C84" s="396"/>
      <c r="D84" s="396"/>
      <c r="E84" s="287"/>
      <c r="F84" s="288"/>
      <c r="G84" s="288"/>
      <c r="H84" s="288"/>
      <c r="I84" s="288"/>
      <c r="J84" s="288"/>
      <c r="K84" s="289"/>
      <c r="L84" s="289"/>
      <c r="M84" s="50"/>
    </row>
    <row r="85" spans="1:13" s="494" customFormat="1" ht="15.75" customHeight="1" x14ac:dyDescent="0.2">
      <c r="B85" s="495"/>
      <c r="C85" s="496" t="s">
        <v>764</v>
      </c>
      <c r="D85" s="495"/>
      <c r="E85" s="497"/>
      <c r="F85" s="498"/>
      <c r="G85" s="495"/>
      <c r="H85" s="495"/>
      <c r="I85" s="495"/>
      <c r="J85" s="499"/>
      <c r="K85" s="500"/>
      <c r="L85" s="500"/>
    </row>
    <row r="86" spans="1:13" ht="12" customHeight="1" x14ac:dyDescent="0.2">
      <c r="B86" s="60"/>
      <c r="C86" s="71" t="s">
        <v>364</v>
      </c>
      <c r="D86" s="161"/>
      <c r="E86" s="923">
        <f>F38</f>
        <v>2026</v>
      </c>
      <c r="F86" s="923">
        <f>H38</f>
        <v>2027</v>
      </c>
      <c r="G86" s="1723">
        <f>K38</f>
        <v>2028</v>
      </c>
      <c r="H86" s="1723"/>
      <c r="I86" s="161"/>
      <c r="J86" s="320"/>
      <c r="K86" s="321"/>
      <c r="L86" s="321"/>
    </row>
    <row r="87" spans="1:13" ht="12" customHeight="1" x14ac:dyDescent="0.2">
      <c r="A87" s="162"/>
      <c r="B87" s="322"/>
      <c r="C87" s="324" t="s">
        <v>365</v>
      </c>
      <c r="D87" s="323"/>
      <c r="E87" s="793">
        <v>1</v>
      </c>
      <c r="F87" s="793">
        <v>1</v>
      </c>
      <c r="G87" s="1720">
        <v>1</v>
      </c>
      <c r="H87" s="1720"/>
      <c r="I87" s="323"/>
      <c r="J87" s="320"/>
      <c r="K87" s="321"/>
      <c r="L87" s="321"/>
    </row>
    <row r="88" spans="1:13" ht="12" customHeight="1" x14ac:dyDescent="0.2">
      <c r="A88" s="2"/>
      <c r="B88" s="322"/>
      <c r="C88" s="324" t="s">
        <v>366</v>
      </c>
      <c r="D88" s="323"/>
      <c r="E88" s="793">
        <v>1</v>
      </c>
      <c r="F88" s="793">
        <v>1</v>
      </c>
      <c r="G88" s="1720">
        <v>1</v>
      </c>
      <c r="H88" s="1720"/>
      <c r="I88" s="323"/>
      <c r="J88" s="320"/>
      <c r="K88" s="321"/>
      <c r="L88" s="321"/>
    </row>
    <row r="89" spans="1:13" ht="12" customHeight="1" x14ac:dyDescent="0.2">
      <c r="A89" s="162"/>
      <c r="B89" s="322"/>
      <c r="C89" s="324" t="s">
        <v>367</v>
      </c>
      <c r="D89" s="323"/>
      <c r="E89" s="794">
        <f>E$87*F$43+E$88*(F$44+F$45+F$46+F$47+F$48)+F$50+F51</f>
        <v>0</v>
      </c>
      <c r="F89" s="794">
        <f>F87*H$43+F88*(H$44+H$45+H$46+H$47+H$48)+H$50+H51</f>
        <v>0</v>
      </c>
      <c r="G89" s="1721">
        <f>G$87*K$43+G$88*(K$44+K$45+K$46+K$47+K$48)+K$50+K51</f>
        <v>0</v>
      </c>
      <c r="H89" s="1722"/>
      <c r="I89" s="323"/>
      <c r="J89" s="320"/>
      <c r="K89" s="321"/>
      <c r="L89" s="321"/>
    </row>
    <row r="90" spans="1:13" ht="16.899999999999999" customHeight="1" x14ac:dyDescent="0.2">
      <c r="B90" s="60"/>
      <c r="C90" s="71" t="s">
        <v>368</v>
      </c>
      <c r="D90" s="161"/>
      <c r="E90" s="795"/>
      <c r="F90" s="796"/>
      <c r="G90" s="161"/>
      <c r="H90" s="161"/>
      <c r="I90" s="161"/>
      <c r="J90" s="320"/>
      <c r="K90" s="321"/>
      <c r="L90" s="321"/>
    </row>
    <row r="91" spans="1:13" ht="12" customHeight="1" x14ac:dyDescent="0.2">
      <c r="A91" s="162"/>
      <c r="B91" s="322"/>
      <c r="C91" s="324" t="s">
        <v>365</v>
      </c>
      <c r="D91" s="323"/>
      <c r="E91" s="793">
        <v>1</v>
      </c>
      <c r="F91" s="793">
        <v>1</v>
      </c>
      <c r="G91" s="1720">
        <v>1</v>
      </c>
      <c r="H91" s="1720"/>
      <c r="I91" s="323"/>
      <c r="J91" s="320"/>
      <c r="K91" s="321"/>
      <c r="L91" s="321"/>
    </row>
    <row r="92" spans="1:13" ht="12" customHeight="1" x14ac:dyDescent="0.2">
      <c r="B92" s="322"/>
      <c r="C92" s="324" t="s">
        <v>366</v>
      </c>
      <c r="D92" s="323"/>
      <c r="E92" s="793">
        <v>1</v>
      </c>
      <c r="F92" s="793">
        <v>1</v>
      </c>
      <c r="G92" s="1720">
        <v>1</v>
      </c>
      <c r="H92" s="1720"/>
      <c r="I92" s="323"/>
      <c r="J92" s="320"/>
      <c r="K92" s="321"/>
      <c r="L92" s="321"/>
    </row>
    <row r="93" spans="1:13" ht="12" customHeight="1" x14ac:dyDescent="0.2">
      <c r="A93" s="162"/>
      <c r="B93" s="322"/>
      <c r="C93" s="324" t="s">
        <v>367</v>
      </c>
      <c r="D93" s="323"/>
      <c r="E93" s="794">
        <f>E91*F$43+E$92*(F$44+F$45+F$46+F$47+F$48)+F$50+F51</f>
        <v>0</v>
      </c>
      <c r="F93" s="794">
        <f>F91*H$43+F92*(H$44+H$45+H$46+H$47+H$48)+H$50+H51</f>
        <v>0</v>
      </c>
      <c r="G93" s="1721">
        <f>G$91*K$43+G$92*(K$44+K$45+K$46+K$47+K$48)+K$50+K51</f>
        <v>0</v>
      </c>
      <c r="H93" s="1722"/>
      <c r="I93" s="323"/>
      <c r="J93" s="320"/>
      <c r="K93" s="321"/>
      <c r="L93" s="321"/>
    </row>
    <row r="94" spans="1:13" ht="6" customHeight="1" x14ac:dyDescent="0.2">
      <c r="B94" s="60"/>
      <c r="C94" s="61"/>
      <c r="D94" s="61"/>
      <c r="E94" s="37"/>
      <c r="F94" s="60"/>
      <c r="G94" s="60"/>
      <c r="H94" s="60"/>
      <c r="I94" s="60"/>
      <c r="J94" s="37"/>
      <c r="K94" s="37"/>
      <c r="M94" s="50"/>
    </row>
    <row r="95" spans="1:13" ht="15.75" customHeight="1" x14ac:dyDescent="0.2">
      <c r="B95" s="60"/>
      <c r="C95" s="493" t="s">
        <v>369</v>
      </c>
      <c r="D95" s="61"/>
      <c r="E95" s="37"/>
      <c r="F95" s="483"/>
      <c r="G95" s="484"/>
      <c r="H95" s="607"/>
      <c r="I95" s="608"/>
      <c r="J95" s="608"/>
      <c r="K95" s="608"/>
      <c r="L95" s="608"/>
      <c r="M95" s="50"/>
    </row>
    <row r="96" spans="1:13" ht="32.25" customHeight="1" x14ac:dyDescent="0.2">
      <c r="B96" s="1753" t="s">
        <v>371</v>
      </c>
      <c r="C96" s="1753"/>
      <c r="D96" s="61"/>
      <c r="E96" s="37"/>
      <c r="F96" s="1759" t="s">
        <v>370</v>
      </c>
      <c r="G96" s="1759"/>
      <c r="H96" s="1754"/>
      <c r="I96" s="1754"/>
      <c r="J96" s="1754"/>
      <c r="K96" s="1754"/>
      <c r="L96" s="1754"/>
      <c r="M96" s="50"/>
    </row>
    <row r="97" spans="2:13" ht="12.75" customHeight="1" x14ac:dyDescent="0.2">
      <c r="B97" s="1747" t="s">
        <v>579</v>
      </c>
      <c r="C97" s="1748"/>
      <c r="D97" s="1748"/>
      <c r="E97" s="1749"/>
      <c r="F97" s="1755">
        <v>0</v>
      </c>
      <c r="G97" s="1756"/>
      <c r="H97" s="1760">
        <f>IF(F97=0,0,LOOKUP(F97,'Ekonomiska parametrar'!B7:B71,'Ekonomiska parametrar'!C7:C71))</f>
        <v>0</v>
      </c>
      <c r="I97" s="1761"/>
      <c r="J97" s="1761"/>
      <c r="K97" s="1761"/>
      <c r="L97" s="1761"/>
      <c r="M97" s="609"/>
    </row>
    <row r="98" spans="2:13" x14ac:dyDescent="0.2">
      <c r="B98" s="1750"/>
      <c r="C98" s="1751"/>
      <c r="D98" s="1751"/>
      <c r="E98" s="1752"/>
      <c r="F98" s="1757"/>
      <c r="G98" s="1758"/>
      <c r="H98" s="1762"/>
      <c r="I98" s="1763"/>
      <c r="J98" s="1763"/>
      <c r="K98" s="1763"/>
      <c r="L98" s="1763"/>
      <c r="M98" s="609"/>
    </row>
    <row r="99" spans="2:13" ht="13.15" customHeight="1" x14ac:dyDescent="0.2">
      <c r="C99" s="1"/>
      <c r="D99" s="1"/>
      <c r="E99" s="1"/>
      <c r="F99" s="1"/>
      <c r="G99" s="1"/>
      <c r="H99" s="1"/>
      <c r="I99" s="1"/>
      <c r="J99" s="1"/>
      <c r="K99" s="1"/>
      <c r="L99" s="1"/>
    </row>
    <row r="100" spans="2:13" x14ac:dyDescent="0.2">
      <c r="C100" s="1"/>
      <c r="D100" s="1"/>
      <c r="E100" s="1"/>
      <c r="F100" s="1"/>
      <c r="G100" s="1"/>
      <c r="H100" s="1"/>
      <c r="I100" s="1"/>
      <c r="J100" s="1"/>
      <c r="K100" s="1"/>
      <c r="L100" s="1"/>
    </row>
    <row r="101" spans="2:13" x14ac:dyDescent="0.2">
      <c r="C101" s="1"/>
      <c r="D101" s="1"/>
      <c r="E101" s="1"/>
      <c r="F101" s="1"/>
      <c r="G101" s="1"/>
      <c r="H101" s="1"/>
      <c r="I101" s="1"/>
      <c r="J101" s="1"/>
      <c r="K101" s="1"/>
      <c r="L101" s="1"/>
    </row>
    <row r="102" spans="2:13" x14ac:dyDescent="0.2">
      <c r="C102" s="8"/>
      <c r="D102" s="8"/>
      <c r="E102" s="8"/>
      <c r="F102" s="63"/>
      <c r="G102" s="8"/>
      <c r="H102" s="8"/>
      <c r="I102" s="8"/>
      <c r="J102" s="8"/>
      <c r="K102" s="8"/>
    </row>
    <row r="133" spans="3:6" ht="21" customHeight="1" x14ac:dyDescent="0.25">
      <c r="C133" s="704" t="str">
        <f>IF(E35&lt;&gt;0,"KONTROLLERA, ATT CELL E35=0 (Finansieringsbehov - Finansiering, differens=0)","")</f>
        <v/>
      </c>
    </row>
    <row r="134" spans="3:6" x14ac:dyDescent="0.2">
      <c r="C134" s="353" t="s">
        <v>372</v>
      </c>
    </row>
    <row r="135" spans="3:6" x14ac:dyDescent="0.2">
      <c r="C135" s="102" t="s">
        <v>307</v>
      </c>
    </row>
    <row r="136" spans="3:6" x14ac:dyDescent="0.2">
      <c r="C136" s="102" t="s">
        <v>308</v>
      </c>
    </row>
    <row r="138" spans="3:6" x14ac:dyDescent="0.2">
      <c r="D138" s="352"/>
      <c r="E138" s="352"/>
      <c r="F138" s="352"/>
    </row>
    <row r="165" spans="2:11" x14ac:dyDescent="0.2">
      <c r="B165" s="60"/>
      <c r="C165" s="60"/>
      <c r="D165" s="60"/>
      <c r="E165" s="60"/>
      <c r="F165" s="69"/>
      <c r="G165" s="64"/>
      <c r="H165" s="64"/>
      <c r="I165" s="64"/>
      <c r="J165" s="64"/>
      <c r="K165" s="64"/>
    </row>
    <row r="166" spans="2:11" x14ac:dyDescent="0.2">
      <c r="B166" s="60"/>
      <c r="C166" s="60"/>
      <c r="D166" s="60"/>
      <c r="E166" s="60"/>
      <c r="F166" s="70"/>
      <c r="G166" s="70"/>
      <c r="H166" s="70"/>
      <c r="I166" s="70"/>
      <c r="J166" s="70"/>
      <c r="K166" s="70"/>
    </row>
    <row r="167" spans="2:11" x14ac:dyDescent="0.2">
      <c r="B167" s="60"/>
      <c r="C167" s="60"/>
      <c r="D167" s="60"/>
      <c r="E167" s="60"/>
      <c r="F167" s="69"/>
      <c r="G167" s="69"/>
      <c r="H167" s="69"/>
      <c r="I167" s="69"/>
      <c r="J167" s="69"/>
      <c r="K167" s="69"/>
    </row>
    <row r="168" spans="2:11" x14ac:dyDescent="0.2">
      <c r="B168" s="60"/>
      <c r="C168" s="60"/>
      <c r="D168" s="60"/>
      <c r="E168" s="60"/>
      <c r="F168" s="69"/>
      <c r="G168" s="69"/>
      <c r="H168" s="69"/>
      <c r="I168" s="69"/>
      <c r="J168" s="69"/>
      <c r="K168" s="69"/>
    </row>
    <row r="169" spans="2:11" x14ac:dyDescent="0.2">
      <c r="B169" s="60"/>
      <c r="C169" s="60"/>
      <c r="D169" s="60"/>
      <c r="E169" s="60"/>
      <c r="F169" s="69"/>
      <c r="G169" s="64"/>
      <c r="H169" s="64"/>
      <c r="I169" s="64"/>
      <c r="J169" s="64"/>
      <c r="K169" s="64"/>
    </row>
    <row r="170" spans="2:11" x14ac:dyDescent="0.2">
      <c r="B170" s="60"/>
      <c r="C170" s="60"/>
      <c r="D170" s="60"/>
      <c r="E170" s="60"/>
      <c r="F170" s="70"/>
      <c r="G170" s="70"/>
      <c r="H170" s="70"/>
      <c r="I170" s="70"/>
      <c r="J170" s="70"/>
      <c r="K170" s="70"/>
    </row>
    <row r="171" spans="2:11" x14ac:dyDescent="0.2">
      <c r="B171" s="60"/>
      <c r="C171" s="60"/>
      <c r="D171" s="60"/>
      <c r="E171" s="60"/>
      <c r="F171" s="69"/>
      <c r="G171" s="69"/>
      <c r="H171" s="69"/>
      <c r="I171" s="69"/>
      <c r="J171" s="69"/>
      <c r="K171" s="69"/>
    </row>
    <row r="172" spans="2:11" x14ac:dyDescent="0.2">
      <c r="B172" s="60"/>
      <c r="C172" s="60"/>
      <c r="D172" s="60"/>
      <c r="E172" s="60"/>
      <c r="F172" s="69"/>
      <c r="G172" s="69"/>
      <c r="H172" s="69"/>
      <c r="I172" s="69"/>
      <c r="J172" s="69"/>
      <c r="K172" s="69"/>
    </row>
  </sheetData>
  <sheetProtection algorithmName="SHA-512" hashValue="3plbGneUa6f+WJ80sWKOh+R+swov7ORGA58hRm9M9zZCgnyRfEQlXRnpthjHeLD3GX72thJ3vJfHr7lTFH5PYw==" saltValue="s3GhGX/2mJV/ine3j2VsJA==" spinCount="100000" sheet="1" objects="1" scenarios="1"/>
  <mergeCells count="147">
    <mergeCell ref="C82:D82"/>
    <mergeCell ref="G82:H82"/>
    <mergeCell ref="B35:D35"/>
    <mergeCell ref="C37:C38"/>
    <mergeCell ref="K35:L35"/>
    <mergeCell ref="G77:H77"/>
    <mergeCell ref="F62:G62"/>
    <mergeCell ref="K74:L74"/>
    <mergeCell ref="H53:I53"/>
    <mergeCell ref="H60:I60"/>
    <mergeCell ref="H59:I59"/>
    <mergeCell ref="F74:J74"/>
    <mergeCell ref="K66:L66"/>
    <mergeCell ref="K69:L69"/>
    <mergeCell ref="H55:I55"/>
    <mergeCell ref="K65:L65"/>
    <mergeCell ref="F69:J69"/>
    <mergeCell ref="H44:I44"/>
    <mergeCell ref="K39:L39"/>
    <mergeCell ref="H39:J39"/>
    <mergeCell ref="F73:G73"/>
    <mergeCell ref="K73:L73"/>
    <mergeCell ref="B29:D29"/>
    <mergeCell ref="F39:G39"/>
    <mergeCell ref="H41:I41"/>
    <mergeCell ref="H49:I49"/>
    <mergeCell ref="C69:D69"/>
    <mergeCell ref="F68:J68"/>
    <mergeCell ref="K67:L67"/>
    <mergeCell ref="C62:E62"/>
    <mergeCell ref="P26:Q26"/>
    <mergeCell ref="B27:D27"/>
    <mergeCell ref="B97:E98"/>
    <mergeCell ref="B96:C96"/>
    <mergeCell ref="G93:H93"/>
    <mergeCell ref="G92:H92"/>
    <mergeCell ref="H96:L96"/>
    <mergeCell ref="F97:G98"/>
    <mergeCell ref="F96:G96"/>
    <mergeCell ref="H97:L98"/>
    <mergeCell ref="F19:G19"/>
    <mergeCell ref="F20:G20"/>
    <mergeCell ref="K27:L27"/>
    <mergeCell ref="K37:L37"/>
    <mergeCell ref="H37:J37"/>
    <mergeCell ref="C78:D78"/>
    <mergeCell ref="C79:D79"/>
    <mergeCell ref="B73:C73"/>
    <mergeCell ref="B74:E74"/>
    <mergeCell ref="F38:G38"/>
    <mergeCell ref="C83:D83"/>
    <mergeCell ref="G83:H83"/>
    <mergeCell ref="K68:L68"/>
    <mergeCell ref="G78:H78"/>
    <mergeCell ref="H52:I52"/>
    <mergeCell ref="C81:D81"/>
    <mergeCell ref="N2:O2"/>
    <mergeCell ref="K33:L33"/>
    <mergeCell ref="G81:H81"/>
    <mergeCell ref="F35:J35"/>
    <mergeCell ref="F29:J29"/>
    <mergeCell ref="H46:I46"/>
    <mergeCell ref="H38:J38"/>
    <mergeCell ref="B2:L2"/>
    <mergeCell ref="B21:C21"/>
    <mergeCell ref="B22:C22"/>
    <mergeCell ref="B4:L4"/>
    <mergeCell ref="F33:G33"/>
    <mergeCell ref="K6:L6"/>
    <mergeCell ref="F15:J15"/>
    <mergeCell ref="B9:E9"/>
    <mergeCell ref="B18:C18"/>
    <mergeCell ref="B19:C19"/>
    <mergeCell ref="F32:J32"/>
    <mergeCell ref="K22:L22"/>
    <mergeCell ref="B23:C23"/>
    <mergeCell ref="I21:J21"/>
    <mergeCell ref="K21:L21"/>
    <mergeCell ref="K23:L23"/>
    <mergeCell ref="G11:L11"/>
    <mergeCell ref="B13:L14"/>
    <mergeCell ref="B16:C16"/>
    <mergeCell ref="K16:L16"/>
    <mergeCell ref="Q2:S2"/>
    <mergeCell ref="G87:H87"/>
    <mergeCell ref="G88:H88"/>
    <mergeCell ref="G89:H89"/>
    <mergeCell ref="G91:H91"/>
    <mergeCell ref="H57:I57"/>
    <mergeCell ref="K30:L30"/>
    <mergeCell ref="F31:J31"/>
    <mergeCell ref="K32:L32"/>
    <mergeCell ref="K31:L31"/>
    <mergeCell ref="G86:H86"/>
    <mergeCell ref="G79:H79"/>
    <mergeCell ref="H54:I54"/>
    <mergeCell ref="K62:L62"/>
    <mergeCell ref="H62:J62"/>
    <mergeCell ref="G80:H80"/>
    <mergeCell ref="K29:L29"/>
    <mergeCell ref="F23:J23"/>
    <mergeCell ref="N10:O10"/>
    <mergeCell ref="N11:S12"/>
    <mergeCell ref="I17:J17"/>
    <mergeCell ref="F18:G18"/>
    <mergeCell ref="K17:L17"/>
    <mergeCell ref="K18:L18"/>
    <mergeCell ref="K15:L15"/>
    <mergeCell ref="F17:G17"/>
    <mergeCell ref="F27:J27"/>
    <mergeCell ref="F28:J28"/>
    <mergeCell ref="H48:I48"/>
    <mergeCell ref="H45:I45"/>
    <mergeCell ref="K19:L19"/>
    <mergeCell ref="F25:J25"/>
    <mergeCell ref="F30:J30"/>
    <mergeCell ref="H33:J33"/>
    <mergeCell ref="H47:I47"/>
    <mergeCell ref="F26:J26"/>
    <mergeCell ref="H40:I40"/>
    <mergeCell ref="K38:L38"/>
    <mergeCell ref="H43:I43"/>
    <mergeCell ref="H42:I42"/>
    <mergeCell ref="B15:D15"/>
    <mergeCell ref="B25:D25"/>
    <mergeCell ref="G9:L9"/>
    <mergeCell ref="K24:L24"/>
    <mergeCell ref="K25:L25"/>
    <mergeCell ref="H56:I56"/>
    <mergeCell ref="H58:I58"/>
    <mergeCell ref="K28:L28"/>
    <mergeCell ref="B17:C17"/>
    <mergeCell ref="B32:D32"/>
    <mergeCell ref="C33:D33"/>
    <mergeCell ref="B26:C26"/>
    <mergeCell ref="B28:D28"/>
    <mergeCell ref="B20:C20"/>
    <mergeCell ref="F24:J24"/>
    <mergeCell ref="K20:L20"/>
    <mergeCell ref="B30:D30"/>
    <mergeCell ref="H51:I51"/>
    <mergeCell ref="F37:G37"/>
    <mergeCell ref="F22:G22"/>
    <mergeCell ref="F21:G21"/>
    <mergeCell ref="K26:L26"/>
    <mergeCell ref="I22:J22"/>
    <mergeCell ref="H50:I50"/>
  </mergeCells>
  <conditionalFormatting sqref="E89">
    <cfRule type="cellIs" dxfId="39" priority="6" operator="lessThan">
      <formula>$F$62</formula>
    </cfRule>
    <cfRule type="cellIs" dxfId="38" priority="12" operator="greaterThan">
      <formula>$F$62</formula>
    </cfRule>
  </conditionalFormatting>
  <conditionalFormatting sqref="E93">
    <cfRule type="cellIs" dxfId="37" priority="3" operator="lessThan">
      <formula>$F$62</formula>
    </cfRule>
    <cfRule type="cellIs" dxfId="36" priority="9" operator="greaterThan">
      <formula>$F$62</formula>
    </cfRule>
  </conditionalFormatting>
  <conditionalFormatting sqref="E80:H80">
    <cfRule type="cellIs" dxfId="35" priority="13" operator="lessThan">
      <formula>0</formula>
    </cfRule>
    <cfRule type="cellIs" dxfId="34" priority="14" operator="greaterThan">
      <formula>0</formula>
    </cfRule>
  </conditionalFormatting>
  <conditionalFormatting sqref="F53">
    <cfRule type="cellIs" dxfId="33" priority="18" operator="greaterThan">
      <formula>$F$62</formula>
    </cfRule>
    <cfRule type="cellIs" dxfId="32" priority="21" operator="lessThan">
      <formula>$F$62</formula>
    </cfRule>
  </conditionalFormatting>
  <conditionalFormatting sqref="F89">
    <cfRule type="cellIs" dxfId="31" priority="5" operator="lessThan">
      <formula>$H$62</formula>
    </cfRule>
    <cfRule type="cellIs" dxfId="30" priority="11" operator="greaterThan">
      <formula>$H$62</formula>
    </cfRule>
  </conditionalFormatting>
  <conditionalFormatting sqref="F93">
    <cfRule type="cellIs" dxfId="29" priority="2" operator="lessThan">
      <formula>$H$62</formula>
    </cfRule>
    <cfRule type="cellIs" dxfId="28" priority="8" operator="greaterThan">
      <formula>$H$62</formula>
    </cfRule>
  </conditionalFormatting>
  <conditionalFormatting sqref="G89">
    <cfRule type="cellIs" dxfId="27" priority="4" operator="lessThan">
      <formula>$K$62</formula>
    </cfRule>
    <cfRule type="cellIs" dxfId="26" priority="10" operator="greaterThan">
      <formula>$K$62</formula>
    </cfRule>
  </conditionalFormatting>
  <conditionalFormatting sqref="G93">
    <cfRule type="cellIs" dxfId="25" priority="1" operator="lessThan">
      <formula>$K$62</formula>
    </cfRule>
    <cfRule type="cellIs" dxfId="24" priority="7" operator="greaterThan">
      <formula>$K$62</formula>
    </cfRule>
  </conditionalFormatting>
  <conditionalFormatting sqref="H53">
    <cfRule type="cellIs" dxfId="23" priority="17" operator="greaterThan">
      <formula>$H$62</formula>
    </cfRule>
    <cfRule type="cellIs" dxfId="22" priority="20" operator="lessThan">
      <formula>$H$62</formula>
    </cfRule>
  </conditionalFormatting>
  <conditionalFormatting sqref="K53">
    <cfRule type="cellIs" dxfId="21" priority="16" operator="greaterThan">
      <formula>$K$62</formula>
    </cfRule>
    <cfRule type="cellIs" dxfId="20" priority="19" operator="lessThan">
      <formula>$K$62</formula>
    </cfRule>
  </conditionalFormatting>
  <printOptions horizontalCentered="1"/>
  <pageMargins left="0.23622047244094491" right="0.23622047244094491" top="0.74803149606299213" bottom="0.74803149606299213" header="0.31496062992125984" footer="0.31496062992125984"/>
  <pageSetup paperSize="9" scale="87" orientation="portrait" verticalDpi="4" r:id="rId1"/>
  <headerFooter>
    <oddFooter xml:space="preserve">&amp;C&amp;8FT5 Nyföretagets ekonomiplan </oddFooter>
  </headerFooter>
  <rowBreaks count="1" manualBreakCount="1">
    <brk id="70" min="1" max="22" man="1"/>
  </rowBreaks>
  <colBreaks count="1" manualBreakCount="1">
    <brk id="12" min="3" max="128" man="1"/>
  </colBreaks>
  <ignoredErrors>
    <ignoredError sqref="K16" formulaRange="1"/>
    <ignoredError sqref="G49 J49 L49 G51 G60" formula="1"/>
  </ignoredError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ul6">
    <tabColor theme="5"/>
  </sheetPr>
  <dimension ref="B2:L89"/>
  <sheetViews>
    <sheetView showGridLines="0" showZeros="0" zoomScale="115" zoomScaleNormal="115" workbookViewId="0">
      <selection activeCell="B23" sqref="B23"/>
    </sheetView>
  </sheetViews>
  <sheetFormatPr defaultRowHeight="12.75" x14ac:dyDescent="0.2"/>
  <cols>
    <col min="1" max="1" width="5.7109375" customWidth="1"/>
    <col min="2" max="2" width="35.28515625" customWidth="1"/>
    <col min="3" max="5" width="9.28515625" customWidth="1"/>
    <col min="6" max="6" width="10.28515625" customWidth="1"/>
    <col min="7" max="8" width="7.7109375" customWidth="1"/>
    <col min="9" max="9" width="14.7109375" customWidth="1"/>
  </cols>
  <sheetData>
    <row r="2" spans="2:12" ht="6" customHeight="1" x14ac:dyDescent="0.2"/>
    <row r="3" spans="2:12" ht="4.5" customHeight="1" x14ac:dyDescent="0.2"/>
    <row r="4" spans="2:12" ht="15" customHeight="1" x14ac:dyDescent="0.2">
      <c r="B4" s="71"/>
    </row>
    <row r="5" spans="2:12" ht="15" customHeight="1" x14ac:dyDescent="0.3">
      <c r="B5" s="1804" t="s">
        <v>628</v>
      </c>
      <c r="C5" s="1804"/>
      <c r="D5" s="1804"/>
      <c r="E5" s="1804"/>
      <c r="F5" s="1804"/>
      <c r="G5" s="1804"/>
      <c r="H5" s="1804"/>
      <c r="I5" s="1804"/>
      <c r="J5" s="475"/>
      <c r="K5" s="475"/>
      <c r="L5" s="475"/>
    </row>
    <row r="6" spans="2:12" ht="12" customHeight="1" x14ac:dyDescent="0.2">
      <c r="B6" s="101" t="s">
        <v>0</v>
      </c>
      <c r="H6" s="112"/>
    </row>
    <row r="7" spans="2:12" ht="6" customHeight="1" x14ac:dyDescent="0.2">
      <c r="B7" s="2"/>
      <c r="C7" s="13"/>
      <c r="D7" s="14"/>
      <c r="E7" s="14"/>
      <c r="F7" s="1"/>
      <c r="G7" s="1"/>
    </row>
    <row r="8" spans="2:12" x14ac:dyDescent="0.2">
      <c r="B8" s="287"/>
      <c r="C8" s="899" t="s">
        <v>313</v>
      </c>
      <c r="D8" s="899" t="s">
        <v>314</v>
      </c>
      <c r="E8" s="899" t="s">
        <v>315</v>
      </c>
      <c r="F8" s="1"/>
      <c r="G8" s="1"/>
    </row>
    <row r="9" spans="2:12" x14ac:dyDescent="0.2">
      <c r="B9" s="287"/>
      <c r="C9" s="920">
        <f>IF('K3 Resultat'!B9&gt;0,'K3 Resultat'!F38,'FS3 Resultat'!F38)</f>
        <v>2027</v>
      </c>
      <c r="D9" s="920">
        <f>C9+1</f>
        <v>2028</v>
      </c>
      <c r="E9" s="920">
        <f>D9+1</f>
        <v>2029</v>
      </c>
      <c r="F9" s="1"/>
      <c r="G9" s="1"/>
    </row>
    <row r="10" spans="2:12" ht="12.75" customHeight="1" x14ac:dyDescent="0.2">
      <c r="B10" s="900" t="str">
        <f>'K1 Kostnader'!D13</f>
        <v>Räkenskapsperiodens längd (månader)</v>
      </c>
      <c r="C10" s="313">
        <f>IF('K1 Kostnader'!$C9&gt;0,'K1 Kostnader'!F13,'FS1 Kostnader '!F13)</f>
        <v>12</v>
      </c>
      <c r="D10" s="313">
        <f>IF('K1 Kostnader'!$C9&gt;0,'K1 Kostnader'!G13,'FS1 Kostnader '!G13)</f>
        <v>12</v>
      </c>
      <c r="E10" s="313">
        <f>IF('K1 Kostnader'!$C9&gt;0,'K1 Kostnader'!H13,'FS1 Kostnader '!H13)</f>
        <v>12</v>
      </c>
      <c r="F10" s="1"/>
      <c r="G10" s="1"/>
    </row>
    <row r="11" spans="2:12" ht="12" customHeight="1" x14ac:dyDescent="0.2">
      <c r="B11" s="901" t="s">
        <v>334</v>
      </c>
      <c r="C11" s="921">
        <f>C14*IF(C19&gt;12,1,C19/12)+C24*IF(C29&gt;12,1,C29/12)+C34*IF(C39&gt;12,1,C39/12)+C44*IF(C49&gt;12,1,C49/12)+C54*IF(C59&gt;12,1,C59/12)+C64*IF(C69&gt;12,1,C69/12)+(C74*C76*C79/2064)</f>
        <v>0</v>
      </c>
      <c r="D11" s="921">
        <f>D14*IF(D19&gt;12,1,D19/12)+D24*IF(D29&gt;12,1,D29/12)+D34*IF(D39&gt;12,1,D39/12)+D44*IF(D49&gt;12,1,D49/12)+D54*IF(D59&gt;12,1,D59/12)+D64*IF(D69&gt;12,1,D69/12)+(D74*D76*D79/2064)</f>
        <v>0</v>
      </c>
      <c r="E11" s="921">
        <f>E14*IF(E19&gt;12,1,E19/12)+E24*IF(E29&gt;12,1,E29/12)+E34*IF(E39&gt;12,1,E39/12)+E44*IF(E49&gt;12,1,E49/12)+E54*IF(E59&gt;12,1,E59/12)+E64*IF(E69&gt;12,1,E69/12)+(E74*E76*E79/2064)</f>
        <v>0</v>
      </c>
      <c r="F11" s="1806" t="str">
        <f>IF(C10=12,"","OBSERVERA FÖRSTA RÄKENSKAPSPERIODENS LÄNGD!")</f>
        <v/>
      </c>
      <c r="G11" s="1806"/>
      <c r="H11" s="1806"/>
      <c r="I11" s="1806"/>
    </row>
    <row r="12" spans="2:12" ht="4.1500000000000004" customHeight="1" x14ac:dyDescent="0.2">
      <c r="B12" s="487"/>
      <c r="C12" s="902"/>
      <c r="D12" s="902"/>
      <c r="E12" s="902"/>
      <c r="F12" s="1806"/>
      <c r="G12" s="1806"/>
      <c r="H12" s="1806"/>
      <c r="I12" s="1806"/>
    </row>
    <row r="13" spans="2:12" ht="12" customHeight="1" x14ac:dyDescent="0.2">
      <c r="B13" s="897" t="s">
        <v>778</v>
      </c>
      <c r="C13" s="903"/>
      <c r="D13" s="903"/>
      <c r="E13" s="903"/>
      <c r="F13" s="1806"/>
      <c r="G13" s="1806"/>
      <c r="H13" s="1806"/>
      <c r="I13" s="1806"/>
    </row>
    <row r="14" spans="2:12" ht="12" customHeight="1" x14ac:dyDescent="0.2">
      <c r="B14" s="904" t="s">
        <v>378</v>
      </c>
      <c r="C14" s="914">
        <v>0</v>
      </c>
      <c r="D14" s="914">
        <f>C14</f>
        <v>0</v>
      </c>
      <c r="E14" s="914">
        <f>D14</f>
        <v>0</v>
      </c>
      <c r="F14" s="898"/>
      <c r="G14" s="905">
        <f>D9</f>
        <v>2028</v>
      </c>
      <c r="H14" s="905">
        <f>E9</f>
        <v>2029</v>
      </c>
      <c r="I14" s="162"/>
    </row>
    <row r="15" spans="2:12" ht="12" customHeight="1" x14ac:dyDescent="0.2">
      <c r="B15" s="362" t="s">
        <v>379</v>
      </c>
      <c r="C15" s="915">
        <v>0</v>
      </c>
      <c r="D15" s="916">
        <f t="shared" ref="D15:E18" si="0">C15*(1+G15)</f>
        <v>0</v>
      </c>
      <c r="E15" s="916">
        <f t="shared" si="0"/>
        <v>0</v>
      </c>
      <c r="F15" s="339" t="s">
        <v>389</v>
      </c>
      <c r="G15" s="709">
        <v>0.02</v>
      </c>
      <c r="H15" s="709">
        <f>G15</f>
        <v>0.02</v>
      </c>
      <c r="I15" s="910"/>
    </row>
    <row r="16" spans="2:12" ht="12" customHeight="1" x14ac:dyDescent="0.2">
      <c r="B16" s="362" t="s">
        <v>380</v>
      </c>
      <c r="C16" s="917">
        <v>0</v>
      </c>
      <c r="D16" s="918">
        <f t="shared" si="0"/>
        <v>0</v>
      </c>
      <c r="E16" s="918">
        <f t="shared" si="0"/>
        <v>0</v>
      </c>
      <c r="F16" s="898"/>
      <c r="G16" s="906"/>
      <c r="H16" s="906"/>
      <c r="I16" s="910"/>
    </row>
    <row r="17" spans="2:9" ht="12" customHeight="1" x14ac:dyDescent="0.2">
      <c r="B17" s="362" t="s">
        <v>381</v>
      </c>
      <c r="C17" s="709">
        <v>0</v>
      </c>
      <c r="D17" s="709">
        <f>C17</f>
        <v>0</v>
      </c>
      <c r="E17" s="709">
        <f>D17</f>
        <v>0</v>
      </c>
      <c r="F17" s="898"/>
      <c r="G17" s="906"/>
      <c r="H17" s="906"/>
      <c r="I17" s="910"/>
    </row>
    <row r="18" spans="2:9" ht="12" customHeight="1" x14ac:dyDescent="0.2">
      <c r="B18" s="362" t="s">
        <v>382</v>
      </c>
      <c r="C18" s="914">
        <v>0</v>
      </c>
      <c r="D18" s="919">
        <f t="shared" si="0"/>
        <v>0</v>
      </c>
      <c r="E18" s="919">
        <f>D18*(1+H18)</f>
        <v>0</v>
      </c>
      <c r="F18" s="339" t="s">
        <v>389</v>
      </c>
      <c r="G18" s="709">
        <v>0.02</v>
      </c>
      <c r="H18" s="709">
        <f>G18</f>
        <v>0.02</v>
      </c>
      <c r="I18" s="910"/>
    </row>
    <row r="19" spans="2:9" ht="12" customHeight="1" x14ac:dyDescent="0.2">
      <c r="B19" s="362" t="s">
        <v>383</v>
      </c>
      <c r="C19" s="917">
        <f>C10</f>
        <v>12</v>
      </c>
      <c r="D19" s="917">
        <v>12.5</v>
      </c>
      <c r="E19" s="917">
        <f>D19</f>
        <v>12.5</v>
      </c>
      <c r="F19" s="898"/>
      <c r="G19" s="907"/>
      <c r="H19" s="907"/>
      <c r="I19" s="911"/>
    </row>
    <row r="20" spans="2:9" ht="12" customHeight="1" x14ac:dyDescent="0.2">
      <c r="B20" s="362" t="s">
        <v>384</v>
      </c>
      <c r="C20" s="774">
        <f>C14*C19*(C15*C16+C15*C16*C17+C18)</f>
        <v>0</v>
      </c>
      <c r="D20" s="774">
        <f>D14*D19*(D15*D16+D15*D16*D17+D18)</f>
        <v>0</v>
      </c>
      <c r="E20" s="774">
        <f>E14*E19*(E15*E16+E15*E16*E17+E18)</f>
        <v>0</v>
      </c>
      <c r="F20" s="381"/>
      <c r="G20" s="907"/>
      <c r="H20" s="907"/>
      <c r="I20" s="911"/>
    </row>
    <row r="21" spans="2:9" ht="12" customHeight="1" x14ac:dyDescent="0.2">
      <c r="B21" s="362" t="s">
        <v>385</v>
      </c>
      <c r="C21" s="774">
        <f>C14*(C15*C16+C15*C16*C17)*C19</f>
        <v>0</v>
      </c>
      <c r="D21" s="774">
        <f>D14*(D15*D16+D15*D16*D17)*D19</f>
        <v>0</v>
      </c>
      <c r="E21" s="774">
        <f>E14*(E15*E16+E15*E16*E17)*E19</f>
        <v>0</v>
      </c>
      <c r="F21" s="898"/>
      <c r="G21" s="907"/>
      <c r="H21" s="907"/>
      <c r="I21" s="911"/>
    </row>
    <row r="22" spans="2:9" ht="3" customHeight="1" x14ac:dyDescent="0.2">
      <c r="B22" s="362"/>
      <c r="C22" s="777"/>
      <c r="D22" s="777"/>
      <c r="E22" s="777"/>
      <c r="F22" s="362"/>
      <c r="G22" s="361"/>
      <c r="H22" s="361"/>
      <c r="I22" s="911"/>
    </row>
    <row r="23" spans="2:9" ht="12" customHeight="1" x14ac:dyDescent="0.2">
      <c r="B23" s="897"/>
      <c r="C23" s="797"/>
      <c r="D23" s="797"/>
      <c r="E23" s="797"/>
      <c r="F23" s="898"/>
      <c r="G23" s="907"/>
      <c r="H23" s="907"/>
      <c r="I23" s="911"/>
    </row>
    <row r="24" spans="2:9" ht="12" customHeight="1" x14ac:dyDescent="0.2">
      <c r="B24" s="904" t="s">
        <v>378</v>
      </c>
      <c r="C24" s="914">
        <v>0</v>
      </c>
      <c r="D24" s="914">
        <f>C24</f>
        <v>0</v>
      </c>
      <c r="E24" s="914">
        <f>D24</f>
        <v>0</v>
      </c>
      <c r="F24" s="898"/>
      <c r="G24" s="905">
        <f>G$14</f>
        <v>2028</v>
      </c>
      <c r="H24" s="905">
        <f>H$14</f>
        <v>2029</v>
      </c>
      <c r="I24" s="910"/>
    </row>
    <row r="25" spans="2:9" ht="12" customHeight="1" x14ac:dyDescent="0.2">
      <c r="B25" s="362" t="s">
        <v>379</v>
      </c>
      <c r="C25" s="915">
        <v>0</v>
      </c>
      <c r="D25" s="916">
        <f t="shared" ref="D25:E28" si="1">C25*(1+G25)</f>
        <v>0</v>
      </c>
      <c r="E25" s="916">
        <f t="shared" si="1"/>
        <v>0</v>
      </c>
      <c r="F25" s="339" t="s">
        <v>389</v>
      </c>
      <c r="G25" s="709">
        <v>0.02</v>
      </c>
      <c r="H25" s="709">
        <v>0.02</v>
      </c>
      <c r="I25" s="910"/>
    </row>
    <row r="26" spans="2:9" ht="12" customHeight="1" x14ac:dyDescent="0.2">
      <c r="B26" s="362" t="s">
        <v>380</v>
      </c>
      <c r="C26" s="917">
        <v>0</v>
      </c>
      <c r="D26" s="918">
        <f t="shared" si="1"/>
        <v>0</v>
      </c>
      <c r="E26" s="918">
        <f t="shared" si="1"/>
        <v>0</v>
      </c>
      <c r="F26" s="898"/>
      <c r="G26" s="906"/>
      <c r="H26" s="906"/>
      <c r="I26" s="910"/>
    </row>
    <row r="27" spans="2:9" ht="12" customHeight="1" x14ac:dyDescent="0.2">
      <c r="B27" s="362" t="s">
        <v>381</v>
      </c>
      <c r="C27" s="709">
        <v>0</v>
      </c>
      <c r="D27" s="709">
        <f>C27</f>
        <v>0</v>
      </c>
      <c r="E27" s="709">
        <f>D27</f>
        <v>0</v>
      </c>
      <c r="F27" s="898"/>
      <c r="G27" s="906"/>
      <c r="H27" s="906"/>
      <c r="I27" s="910"/>
    </row>
    <row r="28" spans="2:9" ht="12" customHeight="1" x14ac:dyDescent="0.2">
      <c r="B28" s="362" t="s">
        <v>382</v>
      </c>
      <c r="C28" s="914">
        <v>0</v>
      </c>
      <c r="D28" s="919">
        <f t="shared" si="1"/>
        <v>0</v>
      </c>
      <c r="E28" s="919">
        <f t="shared" si="1"/>
        <v>0</v>
      </c>
      <c r="F28" s="339" t="s">
        <v>389</v>
      </c>
      <c r="G28" s="709">
        <v>0.02</v>
      </c>
      <c r="H28" s="709">
        <v>0.02</v>
      </c>
      <c r="I28" s="910"/>
    </row>
    <row r="29" spans="2:9" ht="12" customHeight="1" x14ac:dyDescent="0.2">
      <c r="B29" s="362" t="s">
        <v>383</v>
      </c>
      <c r="C29" s="917">
        <f>C10</f>
        <v>12</v>
      </c>
      <c r="D29" s="917">
        <v>12.5</v>
      </c>
      <c r="E29" s="917">
        <f>D29</f>
        <v>12.5</v>
      </c>
      <c r="F29" s="898"/>
      <c r="G29" s="907"/>
      <c r="H29" s="907"/>
      <c r="I29" s="911"/>
    </row>
    <row r="30" spans="2:9" ht="12" customHeight="1" x14ac:dyDescent="0.2">
      <c r="B30" s="362" t="s">
        <v>384</v>
      </c>
      <c r="C30" s="774">
        <f>C24*C29*(C25*C26+C25*C26*C27+C28)</f>
        <v>0</v>
      </c>
      <c r="D30" s="774">
        <f>D24*D29*(D25*D26+D25*D26*D27+D28)</f>
        <v>0</v>
      </c>
      <c r="E30" s="774">
        <f>E24*E29*(E25*E26+E25*E26*E27+E28)</f>
        <v>0</v>
      </c>
      <c r="F30" s="898"/>
      <c r="G30" s="907"/>
      <c r="H30" s="907"/>
      <c r="I30" s="911"/>
    </row>
    <row r="31" spans="2:9" ht="12" customHeight="1" x14ac:dyDescent="0.2">
      <c r="B31" s="362" t="s">
        <v>385</v>
      </c>
      <c r="C31" s="774">
        <f>C24*(C25*C26+C25*C26*C27)*C29</f>
        <v>0</v>
      </c>
      <c r="D31" s="774">
        <f>D24*(D25*D26+D25*D26*D27)*D29</f>
        <v>0</v>
      </c>
      <c r="E31" s="774">
        <f>E24*(E25*E26+E25*E26*E27)*E29</f>
        <v>0</v>
      </c>
      <c r="F31" s="898"/>
      <c r="G31" s="907"/>
      <c r="H31" s="907"/>
      <c r="I31" s="911"/>
    </row>
    <row r="32" spans="2:9" ht="3" customHeight="1" x14ac:dyDescent="0.2">
      <c r="B32" s="362"/>
      <c r="C32" s="777"/>
      <c r="D32" s="777"/>
      <c r="E32" s="777"/>
      <c r="F32" s="362"/>
      <c r="G32" s="361"/>
      <c r="H32" s="361"/>
      <c r="I32" s="911"/>
    </row>
    <row r="33" spans="2:9" ht="12" customHeight="1" x14ac:dyDescent="0.2">
      <c r="B33" s="897"/>
      <c r="C33" s="797"/>
      <c r="D33" s="797"/>
      <c r="E33" s="797"/>
      <c r="F33" s="898"/>
      <c r="G33" s="907"/>
      <c r="H33" s="907"/>
      <c r="I33" s="911"/>
    </row>
    <row r="34" spans="2:9" ht="12" customHeight="1" x14ac:dyDescent="0.2">
      <c r="B34" s="904" t="s">
        <v>378</v>
      </c>
      <c r="C34" s="914">
        <v>0</v>
      </c>
      <c r="D34" s="914">
        <f>C34</f>
        <v>0</v>
      </c>
      <c r="E34" s="914">
        <f>D34</f>
        <v>0</v>
      </c>
      <c r="F34" s="898"/>
      <c r="G34" s="905">
        <f>G$14</f>
        <v>2028</v>
      </c>
      <c r="H34" s="905">
        <f>H$14</f>
        <v>2029</v>
      </c>
      <c r="I34" s="910"/>
    </row>
    <row r="35" spans="2:9" ht="12" customHeight="1" x14ac:dyDescent="0.2">
      <c r="B35" s="362" t="s">
        <v>379</v>
      </c>
      <c r="C35" s="915">
        <v>0</v>
      </c>
      <c r="D35" s="916">
        <f t="shared" ref="D35:E38" si="2">C35*(1+G35)</f>
        <v>0</v>
      </c>
      <c r="E35" s="916">
        <f t="shared" si="2"/>
        <v>0</v>
      </c>
      <c r="F35" s="339" t="s">
        <v>389</v>
      </c>
      <c r="G35" s="709">
        <v>0.02</v>
      </c>
      <c r="H35" s="709">
        <v>0.02</v>
      </c>
      <c r="I35" s="910"/>
    </row>
    <row r="36" spans="2:9" ht="12" customHeight="1" x14ac:dyDescent="0.2">
      <c r="B36" s="362" t="s">
        <v>380</v>
      </c>
      <c r="C36" s="917">
        <v>0</v>
      </c>
      <c r="D36" s="918">
        <f t="shared" si="2"/>
        <v>0</v>
      </c>
      <c r="E36" s="918">
        <f t="shared" si="2"/>
        <v>0</v>
      </c>
      <c r="F36" s="898"/>
      <c r="G36" s="906"/>
      <c r="H36" s="906"/>
      <c r="I36" s="910"/>
    </row>
    <row r="37" spans="2:9" ht="12" customHeight="1" x14ac:dyDescent="0.2">
      <c r="B37" s="362" t="s">
        <v>381</v>
      </c>
      <c r="C37" s="709">
        <v>0</v>
      </c>
      <c r="D37" s="709">
        <f>C37</f>
        <v>0</v>
      </c>
      <c r="E37" s="709">
        <f>D37</f>
        <v>0</v>
      </c>
      <c r="F37" s="898"/>
      <c r="G37" s="906"/>
      <c r="H37" s="906"/>
      <c r="I37" s="910"/>
    </row>
    <row r="38" spans="2:9" ht="12" customHeight="1" x14ac:dyDescent="0.2">
      <c r="B38" s="362" t="s">
        <v>382</v>
      </c>
      <c r="C38" s="914">
        <v>0</v>
      </c>
      <c r="D38" s="919">
        <f t="shared" si="2"/>
        <v>0</v>
      </c>
      <c r="E38" s="919">
        <f t="shared" si="2"/>
        <v>0</v>
      </c>
      <c r="F38" s="339" t="s">
        <v>389</v>
      </c>
      <c r="G38" s="709">
        <v>0.02</v>
      </c>
      <c r="H38" s="709">
        <v>0.02</v>
      </c>
      <c r="I38" s="910"/>
    </row>
    <row r="39" spans="2:9" ht="12" customHeight="1" x14ac:dyDescent="0.2">
      <c r="B39" s="362" t="s">
        <v>383</v>
      </c>
      <c r="C39" s="917">
        <f>C10</f>
        <v>12</v>
      </c>
      <c r="D39" s="917">
        <v>12.5</v>
      </c>
      <c r="E39" s="917">
        <f>D39</f>
        <v>12.5</v>
      </c>
      <c r="F39" s="898"/>
      <c r="G39" s="907"/>
      <c r="H39" s="907"/>
      <c r="I39" s="911"/>
    </row>
    <row r="40" spans="2:9" ht="12" customHeight="1" x14ac:dyDescent="0.2">
      <c r="B40" s="362" t="s">
        <v>384</v>
      </c>
      <c r="C40" s="774">
        <f>C34*C39*(C35*C36+C35*C36*C37+C38)</f>
        <v>0</v>
      </c>
      <c r="D40" s="774">
        <f>D34*D39*(D35*D36+D35*D36*D37+D38)</f>
        <v>0</v>
      </c>
      <c r="E40" s="774">
        <f>E34*E39*(E35*E36+E35*E36*E37+E38)</f>
        <v>0</v>
      </c>
      <c r="F40" s="898"/>
      <c r="G40" s="907"/>
      <c r="H40" s="907"/>
      <c r="I40" s="911"/>
    </row>
    <row r="41" spans="2:9" ht="12" customHeight="1" x14ac:dyDescent="0.2">
      <c r="B41" s="362" t="s">
        <v>385</v>
      </c>
      <c r="C41" s="774">
        <f>C34*(C35*C36+C35*C36*C37)*C39</f>
        <v>0</v>
      </c>
      <c r="D41" s="774">
        <f>D34*(D35*D36+D35*D36*D37)*D39</f>
        <v>0</v>
      </c>
      <c r="E41" s="774">
        <f>E34*(E35*E36+E35*E36*E37)*E39</f>
        <v>0</v>
      </c>
      <c r="F41" s="898"/>
      <c r="G41" s="907"/>
      <c r="H41" s="907"/>
      <c r="I41" s="911"/>
    </row>
    <row r="42" spans="2:9" ht="3" customHeight="1" x14ac:dyDescent="0.2">
      <c r="B42" s="362"/>
      <c r="C42" s="777"/>
      <c r="D42" s="777"/>
      <c r="E42" s="777"/>
      <c r="F42" s="362"/>
      <c r="G42" s="361"/>
      <c r="H42" s="361"/>
      <c r="I42" s="911"/>
    </row>
    <row r="43" spans="2:9" ht="12" customHeight="1" x14ac:dyDescent="0.2">
      <c r="B43" s="897"/>
      <c r="C43" s="797"/>
      <c r="D43" s="797"/>
      <c r="E43" s="797"/>
      <c r="F43" s="898"/>
      <c r="G43" s="907"/>
      <c r="H43" s="907"/>
      <c r="I43" s="911"/>
    </row>
    <row r="44" spans="2:9" ht="12" customHeight="1" x14ac:dyDescent="0.2">
      <c r="B44" s="904" t="s">
        <v>378</v>
      </c>
      <c r="C44" s="914">
        <v>0</v>
      </c>
      <c r="D44" s="914">
        <f>C44</f>
        <v>0</v>
      </c>
      <c r="E44" s="914">
        <f>D44</f>
        <v>0</v>
      </c>
      <c r="F44" s="898"/>
      <c r="G44" s="905">
        <f>G$14</f>
        <v>2028</v>
      </c>
      <c r="H44" s="905">
        <f>H$14</f>
        <v>2029</v>
      </c>
      <c r="I44" s="910"/>
    </row>
    <row r="45" spans="2:9" ht="12" customHeight="1" x14ac:dyDescent="0.2">
      <c r="B45" s="362" t="s">
        <v>379</v>
      </c>
      <c r="C45" s="915">
        <v>0</v>
      </c>
      <c r="D45" s="916">
        <f t="shared" ref="D45:E48" si="3">C45*(1+G45)</f>
        <v>0</v>
      </c>
      <c r="E45" s="916">
        <f t="shared" si="3"/>
        <v>0</v>
      </c>
      <c r="F45" s="339" t="s">
        <v>389</v>
      </c>
      <c r="G45" s="709">
        <v>0.02</v>
      </c>
      <c r="H45" s="709">
        <v>0.02</v>
      </c>
      <c r="I45" s="910"/>
    </row>
    <row r="46" spans="2:9" ht="12" customHeight="1" x14ac:dyDescent="0.2">
      <c r="B46" s="362" t="s">
        <v>380</v>
      </c>
      <c r="C46" s="917">
        <v>0</v>
      </c>
      <c r="D46" s="918">
        <f t="shared" si="3"/>
        <v>0</v>
      </c>
      <c r="E46" s="918">
        <f t="shared" si="3"/>
        <v>0</v>
      </c>
      <c r="F46" s="898"/>
      <c r="G46" s="906"/>
      <c r="H46" s="906"/>
      <c r="I46" s="910"/>
    </row>
    <row r="47" spans="2:9" ht="12" customHeight="1" x14ac:dyDescent="0.2">
      <c r="B47" s="362" t="s">
        <v>381</v>
      </c>
      <c r="C47" s="709">
        <v>0</v>
      </c>
      <c r="D47" s="709">
        <f>C47</f>
        <v>0</v>
      </c>
      <c r="E47" s="709">
        <f>D47</f>
        <v>0</v>
      </c>
      <c r="F47" s="898"/>
      <c r="G47" s="906"/>
      <c r="H47" s="906"/>
      <c r="I47" s="910"/>
    </row>
    <row r="48" spans="2:9" ht="12" customHeight="1" x14ac:dyDescent="0.2">
      <c r="B48" s="362" t="s">
        <v>382</v>
      </c>
      <c r="C48" s="914">
        <v>0</v>
      </c>
      <c r="D48" s="919">
        <f t="shared" si="3"/>
        <v>0</v>
      </c>
      <c r="E48" s="919">
        <f t="shared" si="3"/>
        <v>0</v>
      </c>
      <c r="F48" s="339" t="s">
        <v>389</v>
      </c>
      <c r="G48" s="709">
        <v>0.02</v>
      </c>
      <c r="H48" s="709">
        <v>0.02</v>
      </c>
      <c r="I48" s="910"/>
    </row>
    <row r="49" spans="2:9" ht="12" customHeight="1" x14ac:dyDescent="0.2">
      <c r="B49" s="362" t="s">
        <v>383</v>
      </c>
      <c r="C49" s="917">
        <f>C10</f>
        <v>12</v>
      </c>
      <c r="D49" s="917">
        <v>12.5</v>
      </c>
      <c r="E49" s="917">
        <f>D49</f>
        <v>12.5</v>
      </c>
      <c r="F49" s="898"/>
      <c r="G49" s="907"/>
      <c r="H49" s="907"/>
      <c r="I49" s="911"/>
    </row>
    <row r="50" spans="2:9" ht="12" customHeight="1" x14ac:dyDescent="0.2">
      <c r="B50" s="362" t="s">
        <v>384</v>
      </c>
      <c r="C50" s="774">
        <f>C44*C49*(C45*C46+C45*C46*C47+C48)</f>
        <v>0</v>
      </c>
      <c r="D50" s="774">
        <f>D44*D49*(D45*D46+D45*D46*D47+D48)</f>
        <v>0</v>
      </c>
      <c r="E50" s="774">
        <f>E44*E49*(E45*E46+E45*E46*E47+E48)</f>
        <v>0</v>
      </c>
      <c r="F50" s="898"/>
      <c r="G50" s="907"/>
      <c r="H50" s="907"/>
      <c r="I50" s="911"/>
    </row>
    <row r="51" spans="2:9" ht="12" customHeight="1" x14ac:dyDescent="0.2">
      <c r="B51" s="362" t="s">
        <v>385</v>
      </c>
      <c r="C51" s="774">
        <f>C44*(C45*C46+C45*C46*C47)*C49</f>
        <v>0</v>
      </c>
      <c r="D51" s="774">
        <f>D44*(D45*D46+D45*D46*D47)*D49</f>
        <v>0</v>
      </c>
      <c r="E51" s="774">
        <f>E44*(E45*E46+E45*E46*E47)*E49</f>
        <v>0</v>
      </c>
      <c r="F51" s="898"/>
      <c r="G51" s="907"/>
      <c r="H51" s="907"/>
      <c r="I51" s="911"/>
    </row>
    <row r="52" spans="2:9" ht="25.35" customHeight="1" x14ac:dyDescent="0.2">
      <c r="B52" s="1805" t="s">
        <v>390</v>
      </c>
      <c r="C52" s="1805"/>
      <c r="D52" s="908"/>
      <c r="E52" s="908"/>
      <c r="F52" s="898"/>
      <c r="G52" s="907"/>
      <c r="H52" s="907"/>
      <c r="I52" s="911"/>
    </row>
    <row r="53" spans="2:9" ht="12" customHeight="1" x14ac:dyDescent="0.2">
      <c r="B53" s="897"/>
      <c r="C53" s="909"/>
      <c r="D53" s="909"/>
      <c r="E53" s="909"/>
      <c r="F53" s="362"/>
      <c r="G53" s="907">
        <v>0</v>
      </c>
      <c r="H53" s="907"/>
      <c r="I53" s="911"/>
    </row>
    <row r="54" spans="2:9" ht="12" customHeight="1" x14ac:dyDescent="0.2">
      <c r="B54" s="904" t="s">
        <v>378</v>
      </c>
      <c r="C54" s="914">
        <v>0</v>
      </c>
      <c r="D54" s="914">
        <f>C54</f>
        <v>0</v>
      </c>
      <c r="E54" s="914">
        <f>D54</f>
        <v>0</v>
      </c>
      <c r="F54" s="898"/>
      <c r="G54" s="905">
        <f>G$14</f>
        <v>2028</v>
      </c>
      <c r="H54" s="905">
        <f>H$14</f>
        <v>2029</v>
      </c>
      <c r="I54" s="910"/>
    </row>
    <row r="55" spans="2:9" ht="12" customHeight="1" x14ac:dyDescent="0.2">
      <c r="B55" s="362" t="s">
        <v>379</v>
      </c>
      <c r="C55" s="915">
        <v>0</v>
      </c>
      <c r="D55" s="915">
        <f>C55*(1+G55)</f>
        <v>0</v>
      </c>
      <c r="E55" s="915">
        <f>D55*(1+H55)</f>
        <v>0</v>
      </c>
      <c r="F55" s="339" t="s">
        <v>389</v>
      </c>
      <c r="G55" s="709">
        <v>0.02</v>
      </c>
      <c r="H55" s="709">
        <v>0.02</v>
      </c>
      <c r="I55" s="910"/>
    </row>
    <row r="56" spans="2:9" ht="12" customHeight="1" x14ac:dyDescent="0.2">
      <c r="B56" s="362" t="s">
        <v>380</v>
      </c>
      <c r="C56" s="917">
        <v>0</v>
      </c>
      <c r="D56" s="917">
        <f>C56</f>
        <v>0</v>
      </c>
      <c r="E56" s="917">
        <f>D56</f>
        <v>0</v>
      </c>
      <c r="F56" s="898"/>
      <c r="G56" s="906"/>
      <c r="H56" s="906"/>
      <c r="I56" s="910"/>
    </row>
    <row r="57" spans="2:9" ht="12" customHeight="1" x14ac:dyDescent="0.2">
      <c r="B57" s="362" t="s">
        <v>381</v>
      </c>
      <c r="C57" s="709">
        <v>0</v>
      </c>
      <c r="D57" s="917">
        <f>C57</f>
        <v>0</v>
      </c>
      <c r="E57" s="917">
        <f>D57</f>
        <v>0</v>
      </c>
      <c r="F57" s="898"/>
      <c r="G57" s="906"/>
      <c r="H57" s="906"/>
      <c r="I57" s="910"/>
    </row>
    <row r="58" spans="2:9" ht="12" customHeight="1" x14ac:dyDescent="0.2">
      <c r="B58" s="362" t="s">
        <v>382</v>
      </c>
      <c r="C58" s="914">
        <v>0</v>
      </c>
      <c r="D58" s="914">
        <f>C58*(1+G58)</f>
        <v>0</v>
      </c>
      <c r="E58" s="914">
        <f>D58*(1+H58)</f>
        <v>0</v>
      </c>
      <c r="F58" s="339" t="s">
        <v>389</v>
      </c>
      <c r="G58" s="709">
        <v>0.02</v>
      </c>
      <c r="H58" s="709">
        <v>0.02</v>
      </c>
      <c r="I58" s="910"/>
    </row>
    <row r="59" spans="2:9" ht="12" customHeight="1" x14ac:dyDescent="0.2">
      <c r="B59" s="362" t="s">
        <v>383</v>
      </c>
      <c r="C59" s="917">
        <f>C10</f>
        <v>12</v>
      </c>
      <c r="D59" s="917">
        <v>12.5</v>
      </c>
      <c r="E59" s="917">
        <f>D59</f>
        <v>12.5</v>
      </c>
      <c r="F59" s="898"/>
      <c r="G59" s="907"/>
      <c r="H59" s="907"/>
      <c r="I59" s="911"/>
    </row>
    <row r="60" spans="2:9" ht="12" customHeight="1" x14ac:dyDescent="0.2">
      <c r="B60" s="362" t="s">
        <v>384</v>
      </c>
      <c r="C60" s="774">
        <f>C54*C59*(C55*C56+C55*C56*C57+C58)</f>
        <v>0</v>
      </c>
      <c r="D60" s="774">
        <f>D54*D59*(D55*D56+D55*D56*D57+D58)</f>
        <v>0</v>
      </c>
      <c r="E60" s="774">
        <f>E54*E59*(E55*E56+E55*E56*E57+E58)</f>
        <v>0</v>
      </c>
      <c r="F60" s="898"/>
      <c r="G60" s="907"/>
      <c r="H60" s="907"/>
      <c r="I60" s="911"/>
    </row>
    <row r="61" spans="2:9" ht="12" customHeight="1" x14ac:dyDescent="0.2">
      <c r="B61" s="362" t="s">
        <v>385</v>
      </c>
      <c r="C61" s="774">
        <f>C54*(C55*C56+C55*C56*C57)*C59</f>
        <v>0</v>
      </c>
      <c r="D61" s="774">
        <f>D54*(D55*D56+D55*D56*D57)*D59</f>
        <v>0</v>
      </c>
      <c r="E61" s="774">
        <f>E54*(E55*E56+E55*E56*E57)*E59</f>
        <v>0</v>
      </c>
      <c r="F61" s="898"/>
      <c r="G61" s="907"/>
      <c r="H61" s="907"/>
      <c r="I61" s="911"/>
    </row>
    <row r="62" spans="2:9" ht="3" customHeight="1" x14ac:dyDescent="0.2">
      <c r="B62" s="362"/>
      <c r="C62" s="777"/>
      <c r="D62" s="777"/>
      <c r="E62" s="777"/>
      <c r="F62" s="898"/>
      <c r="G62" s="361"/>
      <c r="H62" s="361"/>
      <c r="I62" s="911"/>
    </row>
    <row r="63" spans="2:9" ht="12" customHeight="1" x14ac:dyDescent="0.2">
      <c r="B63" s="897"/>
      <c r="C63" s="777"/>
      <c r="D63" s="777"/>
      <c r="E63" s="777"/>
      <c r="F63" s="362"/>
      <c r="G63" s="907"/>
      <c r="H63" s="907"/>
      <c r="I63" s="911"/>
    </row>
    <row r="64" spans="2:9" ht="12" customHeight="1" x14ac:dyDescent="0.2">
      <c r="B64" s="904" t="s">
        <v>378</v>
      </c>
      <c r="C64" s="914"/>
      <c r="D64" s="914">
        <f>C64</f>
        <v>0</v>
      </c>
      <c r="E64" s="914">
        <f>D64</f>
        <v>0</v>
      </c>
      <c r="F64" s="898"/>
      <c r="G64" s="905">
        <f>G$14</f>
        <v>2028</v>
      </c>
      <c r="H64" s="905">
        <f>H$14</f>
        <v>2029</v>
      </c>
      <c r="I64" s="910"/>
    </row>
    <row r="65" spans="2:9" ht="12" customHeight="1" x14ac:dyDescent="0.2">
      <c r="B65" s="362" t="s">
        <v>379</v>
      </c>
      <c r="C65" s="915"/>
      <c r="D65" s="915">
        <f>C65*(1+G65)</f>
        <v>0</v>
      </c>
      <c r="E65" s="915">
        <f>D65*(1+H65)</f>
        <v>0</v>
      </c>
      <c r="F65" s="339" t="s">
        <v>389</v>
      </c>
      <c r="G65" s="709">
        <v>0.02</v>
      </c>
      <c r="H65" s="709">
        <v>0.02</v>
      </c>
      <c r="I65" s="910"/>
    </row>
    <row r="66" spans="2:9" ht="12" customHeight="1" x14ac:dyDescent="0.2">
      <c r="B66" s="362" t="s">
        <v>380</v>
      </c>
      <c r="C66" s="917"/>
      <c r="D66" s="917">
        <f>C66</f>
        <v>0</v>
      </c>
      <c r="E66" s="917">
        <f>D66</f>
        <v>0</v>
      </c>
      <c r="F66" s="898"/>
      <c r="G66" s="906"/>
      <c r="H66" s="906"/>
      <c r="I66" s="910"/>
    </row>
    <row r="67" spans="2:9" ht="12" customHeight="1" x14ac:dyDescent="0.2">
      <c r="B67" s="362" t="s">
        <v>381</v>
      </c>
      <c r="C67" s="709"/>
      <c r="D67" s="709">
        <f>C67</f>
        <v>0</v>
      </c>
      <c r="E67" s="709">
        <f>D67</f>
        <v>0</v>
      </c>
      <c r="F67" s="898"/>
      <c r="G67" s="906"/>
      <c r="H67" s="906"/>
      <c r="I67" s="910"/>
    </row>
    <row r="68" spans="2:9" ht="12" customHeight="1" x14ac:dyDescent="0.2">
      <c r="B68" s="362" t="s">
        <v>382</v>
      </c>
      <c r="C68" s="914"/>
      <c r="D68" s="914">
        <f>C68*(1+G68)</f>
        <v>0</v>
      </c>
      <c r="E68" s="914">
        <f>D68*(1+H68)</f>
        <v>0</v>
      </c>
      <c r="F68" s="339" t="s">
        <v>389</v>
      </c>
      <c r="G68" s="709">
        <v>0.02</v>
      </c>
      <c r="H68" s="709">
        <v>0.02</v>
      </c>
      <c r="I68" s="910"/>
    </row>
    <row r="69" spans="2:9" ht="12" customHeight="1" x14ac:dyDescent="0.2">
      <c r="B69" s="362" t="s">
        <v>383</v>
      </c>
      <c r="C69" s="917">
        <f>C10</f>
        <v>12</v>
      </c>
      <c r="D69" s="917">
        <v>12.5</v>
      </c>
      <c r="E69" s="917">
        <f>D69</f>
        <v>12.5</v>
      </c>
      <c r="F69" s="912"/>
      <c r="G69" s="898"/>
      <c r="H69" s="898"/>
      <c r="I69" s="910"/>
    </row>
    <row r="70" spans="2:9" ht="12" customHeight="1" x14ac:dyDescent="0.2">
      <c r="B70" s="362" t="s">
        <v>384</v>
      </c>
      <c r="C70" s="774">
        <f>C64*C69*(C65*C66+C65*C66*C67+C68)</f>
        <v>0</v>
      </c>
      <c r="D70" s="774">
        <f>D64*D69*(D65*D66+D65*D66*D67+D68)</f>
        <v>0</v>
      </c>
      <c r="E70" s="774">
        <f>E64*E69*(E65*E66+E65*E66*E67+E68)</f>
        <v>0</v>
      </c>
      <c r="F70" s="898"/>
      <c r="G70" s="898"/>
      <c r="H70" s="898"/>
      <c r="I70" s="910"/>
    </row>
    <row r="71" spans="2:9" ht="12" customHeight="1" x14ac:dyDescent="0.2">
      <c r="B71" s="362" t="s">
        <v>385</v>
      </c>
      <c r="C71" s="774">
        <f>C64*(C65*C66+C65*C66*C67)*C69</f>
        <v>0</v>
      </c>
      <c r="D71" s="774">
        <f>D64*(D65*D66+D65*D66*D67)*D69</f>
        <v>0</v>
      </c>
      <c r="E71" s="774">
        <f>E64*(E65*E66+E65*E66*E67)*E69</f>
        <v>0</v>
      </c>
      <c r="F71" s="898"/>
      <c r="G71" s="898"/>
      <c r="H71" s="898"/>
      <c r="I71" s="910"/>
    </row>
    <row r="72" spans="2:9" ht="3" customHeight="1" x14ac:dyDescent="0.2">
      <c r="B72" s="362"/>
      <c r="C72" s="777"/>
      <c r="D72" s="777"/>
      <c r="E72" s="777"/>
      <c r="F72" s="898"/>
      <c r="G72" s="362"/>
      <c r="H72" s="362"/>
      <c r="I72" s="910"/>
    </row>
    <row r="73" spans="2:9" ht="12" customHeight="1" x14ac:dyDescent="0.2">
      <c r="B73" s="897"/>
      <c r="C73" s="777"/>
      <c r="D73" s="777"/>
      <c r="E73" s="777"/>
      <c r="F73" s="362"/>
      <c r="G73" s="898"/>
      <c r="H73" s="898"/>
      <c r="I73" s="910"/>
    </row>
    <row r="74" spans="2:9" ht="12" customHeight="1" x14ac:dyDescent="0.2">
      <c r="B74" s="904" t="s">
        <v>378</v>
      </c>
      <c r="C74" s="914"/>
      <c r="D74" s="914">
        <f>C74</f>
        <v>0</v>
      </c>
      <c r="E74" s="914">
        <f>D74</f>
        <v>0</v>
      </c>
      <c r="F74" s="898"/>
      <c r="G74" s="905">
        <f>G$14</f>
        <v>2028</v>
      </c>
      <c r="H74" s="905">
        <f>H$14</f>
        <v>2029</v>
      </c>
      <c r="I74" s="910"/>
    </row>
    <row r="75" spans="2:9" ht="12" customHeight="1" x14ac:dyDescent="0.2">
      <c r="B75" s="362" t="s">
        <v>379</v>
      </c>
      <c r="C75" s="915"/>
      <c r="D75" s="915">
        <f>C75*(1+G75)</f>
        <v>0</v>
      </c>
      <c r="E75" s="915">
        <f>D75*(1+H75)</f>
        <v>0</v>
      </c>
      <c r="F75" s="339" t="s">
        <v>389</v>
      </c>
      <c r="G75" s="709">
        <v>0.02</v>
      </c>
      <c r="H75" s="709">
        <v>0.02</v>
      </c>
      <c r="I75" s="910"/>
    </row>
    <row r="76" spans="2:9" ht="12" customHeight="1" x14ac:dyDescent="0.2">
      <c r="B76" s="362" t="s">
        <v>380</v>
      </c>
      <c r="C76" s="917"/>
      <c r="D76" s="917">
        <f>C76</f>
        <v>0</v>
      </c>
      <c r="E76" s="917">
        <f>D76</f>
        <v>0</v>
      </c>
      <c r="F76" s="898"/>
      <c r="G76" s="906"/>
      <c r="H76" s="906"/>
      <c r="I76" s="910"/>
    </row>
    <row r="77" spans="2:9" ht="12" customHeight="1" x14ac:dyDescent="0.2">
      <c r="B77" s="362" t="s">
        <v>381</v>
      </c>
      <c r="C77" s="709"/>
      <c r="D77" s="709">
        <f>C77</f>
        <v>0</v>
      </c>
      <c r="E77" s="709">
        <f>D77</f>
        <v>0</v>
      </c>
      <c r="F77" s="898"/>
      <c r="G77" s="906"/>
      <c r="H77" s="906"/>
      <c r="I77" s="910"/>
    </row>
    <row r="78" spans="2:9" ht="12" customHeight="1" x14ac:dyDescent="0.2">
      <c r="B78" s="362" t="s">
        <v>382</v>
      </c>
      <c r="C78" s="914"/>
      <c r="D78" s="914">
        <f>C78*(1+G78)</f>
        <v>0</v>
      </c>
      <c r="E78" s="914">
        <f>D78*(1+H78)</f>
        <v>0</v>
      </c>
      <c r="F78" s="339" t="s">
        <v>389</v>
      </c>
      <c r="G78" s="709">
        <v>0.02</v>
      </c>
      <c r="H78" s="709">
        <v>0.02</v>
      </c>
      <c r="I78" s="910"/>
    </row>
    <row r="79" spans="2:9" ht="12" customHeight="1" x14ac:dyDescent="0.2">
      <c r="B79" s="362" t="s">
        <v>383</v>
      </c>
      <c r="C79" s="917">
        <f>C10</f>
        <v>12</v>
      </c>
      <c r="D79" s="917">
        <f>C79</f>
        <v>12</v>
      </c>
      <c r="E79" s="917">
        <f>D79</f>
        <v>12</v>
      </c>
      <c r="F79" s="912"/>
      <c r="G79" s="907"/>
      <c r="H79" s="907"/>
      <c r="I79" s="911"/>
    </row>
    <row r="80" spans="2:9" ht="12" customHeight="1" x14ac:dyDescent="0.2">
      <c r="B80" s="362" t="s">
        <v>384</v>
      </c>
      <c r="C80" s="774">
        <f>C74*C79*(C75*C76+C75*C76*C77+C78)</f>
        <v>0</v>
      </c>
      <c r="D80" s="774">
        <f>D74*D79*(D75*D76+D75*D76*D77+D78)</f>
        <v>0</v>
      </c>
      <c r="E80" s="774">
        <f>E74*E79*(E75*E76+E75*E76*E77+E78)</f>
        <v>0</v>
      </c>
      <c r="F80" s="898"/>
      <c r="G80" s="907"/>
      <c r="H80" s="907"/>
      <c r="I80" s="911"/>
    </row>
    <row r="81" spans="2:9" ht="12" customHeight="1" x14ac:dyDescent="0.2">
      <c r="B81" s="362" t="s">
        <v>385</v>
      </c>
      <c r="C81" s="774">
        <f>C74*(C75*C76+C75*C76*C77)*C79</f>
        <v>0</v>
      </c>
      <c r="D81" s="774">
        <f>D74*(D75*D76+D75*D76*D77)*D79</f>
        <v>0</v>
      </c>
      <c r="E81" s="774">
        <f>E74*(E75*E76+E75*E76*E77)*E79</f>
        <v>0</v>
      </c>
      <c r="F81" s="898"/>
      <c r="G81" s="907"/>
      <c r="H81" s="907"/>
      <c r="I81" s="911"/>
    </row>
    <row r="82" spans="2:9" ht="3" customHeight="1" x14ac:dyDescent="0.2">
      <c r="B82" s="913"/>
      <c r="C82" s="903"/>
      <c r="D82" s="903"/>
      <c r="E82" s="903"/>
      <c r="F82" s="898"/>
      <c r="G82" s="361"/>
      <c r="H82" s="361"/>
      <c r="I82" s="911"/>
    </row>
    <row r="83" spans="2:9" ht="12.75" customHeight="1" x14ac:dyDescent="0.2">
      <c r="B83" s="345" t="s">
        <v>386</v>
      </c>
      <c r="C83" s="895">
        <f>C81+C71+C61+C51+C41+C31+C21</f>
        <v>0</v>
      </c>
      <c r="D83" s="895">
        <f>D81+D71+D61+D51+D41+D31+D21</f>
        <v>0</v>
      </c>
      <c r="E83" s="895">
        <f>E81+E71+E61+E51+E41+E31+E21</f>
        <v>0</v>
      </c>
      <c r="F83" s="362"/>
      <c r="G83" s="911"/>
      <c r="H83" s="911"/>
      <c r="I83" s="911"/>
    </row>
    <row r="84" spans="2:9" ht="12.75" customHeight="1" x14ac:dyDescent="0.2">
      <c r="B84" s="345" t="s">
        <v>387</v>
      </c>
      <c r="C84" s="895">
        <f>C18*IF(C19=12.5,12,C19)*C14+C24*C28*IF(C29=12.5,12,C29)+C34*C38*IF(C39=12.5,12,C39)+C44*C48*IF(C49=12.5,12,C49)+C54*C58*IF(C59=12.5,12,C59)+C64*C68*IF(C69=12.5,12,C69)+C74*C78*IF(C79=12.5,12,C79)</f>
        <v>0</v>
      </c>
      <c r="D84" s="895">
        <f>D18*IF(D19=12.5,12,D19)*D14+D24*D28*IF(D29=12.5,12,D29)+D34*D38*IF(D39=12.5,12,D39)+D44*D48*IF(D49=12.5,12,D49)+D54*D58*IF(D59=12.5,12,D59)+D64*D68*IF(D69=12.5,12,D69)+D74*D78*IF(D79=12.5,12,D79)</f>
        <v>0</v>
      </c>
      <c r="E84" s="895">
        <f>E18*IF(E19=12.5,12,E19)*E14+E24*E28*IF(E29=12.5,12,E29)+E34*E38*IF(E39=12.5,12,E39)+E44*E48*IF(E49=12.5,12,E49)+E54*E58*IF(E59=12.5,12,E59)+E64*E68*IF(E69=12.5,12,E69)+E74*E78*IF(E79=12.5,12,E79)</f>
        <v>0</v>
      </c>
      <c r="F84" s="898"/>
      <c r="G84" s="911"/>
      <c r="H84" s="911"/>
      <c r="I84" s="911"/>
    </row>
    <row r="85" spans="2:9" ht="12.75" customHeight="1" x14ac:dyDescent="0.2">
      <c r="B85" s="345" t="s">
        <v>388</v>
      </c>
      <c r="C85" s="895">
        <f>SUM(C83:C84)</f>
        <v>0</v>
      </c>
      <c r="D85" s="895">
        <f>SUM(D83:D84)</f>
        <v>0</v>
      </c>
      <c r="E85" s="895">
        <f>SUM(E83:E84)</f>
        <v>0</v>
      </c>
      <c r="F85" s="898"/>
      <c r="G85" s="911"/>
      <c r="H85" s="911"/>
      <c r="I85" s="911"/>
    </row>
    <row r="87" spans="2:9" x14ac:dyDescent="0.2">
      <c r="B87" s="353" t="s">
        <v>372</v>
      </c>
    </row>
    <row r="88" spans="2:9" x14ac:dyDescent="0.2">
      <c r="B88" s="102" t="s">
        <v>307</v>
      </c>
    </row>
    <row r="89" spans="2:9" x14ac:dyDescent="0.2">
      <c r="B89" s="102" t="s">
        <v>308</v>
      </c>
    </row>
  </sheetData>
  <sheetProtection algorithmName="SHA-512" hashValue="4Cg/fT5T5ZY/X12Q+kBb3d4giUUgeopkiRmCDgWnVFBgcBqFxFB6btevN62hHSdxkMEbBNeLioahO+sPKATIjA==" saltValue="lu2KEUHbalGOSI7tJgxwyw==" spinCount="100000" sheet="1" objects="1" scenarios="1"/>
  <mergeCells count="3">
    <mergeCell ref="B5:I5"/>
    <mergeCell ref="B52:C52"/>
    <mergeCell ref="F11:I13"/>
  </mergeCells>
  <printOptions horizontalCentered="1"/>
  <pageMargins left="0.25" right="0.25" top="0.75" bottom="0.75" header="0.3" footer="0.3"/>
  <pageSetup paperSize="9" scale="85" fitToWidth="0" orientation="portrait" horizontalDpi="1200" verticalDpi="1200"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ul8">
    <tabColor theme="8" tint="0.39997558519241921"/>
  </sheetPr>
  <dimension ref="A2:AH107"/>
  <sheetViews>
    <sheetView showGridLines="0" showZeros="0" zoomScaleNormal="100" workbookViewId="0">
      <selection activeCell="AC10" sqref="AC10"/>
    </sheetView>
  </sheetViews>
  <sheetFormatPr defaultRowHeight="12.75" x14ac:dyDescent="0.2"/>
  <cols>
    <col min="1" max="1" width="7.140625" customWidth="1"/>
    <col min="2" max="2" width="3.28515625" customWidth="1"/>
    <col min="3" max="3" width="4.140625" customWidth="1"/>
    <col min="4" max="4" width="27.5703125" customWidth="1"/>
    <col min="5" max="5" width="4.28515625" customWidth="1"/>
    <col min="6" max="6" width="6" customWidth="1"/>
    <col min="7" max="19" width="11.28515625" customWidth="1"/>
    <col min="20" max="20" width="8.140625" customWidth="1"/>
    <col min="21" max="21" width="3.28515625" hidden="1" customWidth="1"/>
    <col min="22" max="22" width="10.28515625" style="400" hidden="1" customWidth="1"/>
    <col min="23" max="23" width="10.85546875" style="346" hidden="1" customWidth="1"/>
    <col min="24" max="24" width="64.85546875" hidden="1" customWidth="1"/>
    <col min="25" max="25" width="9.140625" customWidth="1"/>
  </cols>
  <sheetData>
    <row r="2" spans="1:27" ht="17.25" customHeight="1" x14ac:dyDescent="0.3">
      <c r="B2" s="1810" t="s">
        <v>239</v>
      </c>
      <c r="C2" s="1811"/>
      <c r="D2" s="1810"/>
      <c r="E2" s="259"/>
      <c r="F2" s="259"/>
      <c r="G2" s="1818"/>
      <c r="H2" s="1818"/>
      <c r="I2" s="1818"/>
      <c r="J2" s="1818"/>
      <c r="K2" s="1818"/>
      <c r="L2" s="1818"/>
      <c r="M2" s="1818"/>
      <c r="N2" s="1818"/>
      <c r="O2" s="501"/>
      <c r="P2" s="501"/>
      <c r="Q2" s="501"/>
      <c r="R2" s="475"/>
      <c r="S2" s="475"/>
      <c r="W2" s="836"/>
      <c r="X2" s="271"/>
    </row>
    <row r="3" spans="1:27" ht="10.15" customHeight="1" x14ac:dyDescent="0.2">
      <c r="B3" s="8"/>
      <c r="C3" s="71"/>
      <c r="D3" s="101" t="s">
        <v>238</v>
      </c>
      <c r="E3" s="8"/>
      <c r="F3" s="8"/>
      <c r="G3" s="8"/>
      <c r="H3" s="8"/>
      <c r="I3" s="8"/>
      <c r="J3" s="8"/>
      <c r="K3" s="8"/>
      <c r="L3" s="8"/>
      <c r="M3" s="8"/>
      <c r="N3" s="8"/>
      <c r="O3" s="8"/>
      <c r="P3" s="8"/>
      <c r="Q3" s="8"/>
      <c r="R3" s="8"/>
      <c r="S3" s="8"/>
      <c r="T3" s="8"/>
      <c r="U3" s="8"/>
      <c r="V3" s="346"/>
      <c r="X3" s="8"/>
      <c r="Y3" s="8"/>
      <c r="Z3" s="8"/>
      <c r="AA3" s="8"/>
    </row>
    <row r="4" spans="1:27" ht="20.25" x14ac:dyDescent="0.3">
      <c r="A4" s="164"/>
      <c r="B4" s="164"/>
      <c r="C4" s="164"/>
      <c r="D4" s="1816" cm="1">
        <f t="array" ref="D4">IF('K1 Kostnader'!C9&gt;0,'K1 Kostnader'!C9:D9,'FS1 Kostnader '!C9)</f>
        <v>0</v>
      </c>
      <c r="E4" s="1816"/>
      <c r="F4" s="1816"/>
      <c r="G4" s="284"/>
      <c r="H4" s="1815" t="s">
        <v>376</v>
      </c>
      <c r="I4" s="1815"/>
      <c r="J4" s="1815"/>
      <c r="K4" s="1815"/>
      <c r="L4" s="1815"/>
      <c r="M4" s="1815"/>
      <c r="N4" s="1814" t="s">
        <v>124</v>
      </c>
      <c r="O4" s="1814"/>
      <c r="P4" s="1814"/>
      <c r="Q4" s="1814"/>
      <c r="R4" s="164"/>
      <c r="S4" s="164"/>
      <c r="T4" s="232"/>
    </row>
    <row r="5" spans="1:27" ht="15" thickBot="1" x14ac:dyDescent="0.25">
      <c r="A5" s="165"/>
      <c r="B5" s="165"/>
      <c r="C5" s="165"/>
      <c r="D5" s="1825" t="s">
        <v>321</v>
      </c>
      <c r="E5" s="1825"/>
      <c r="F5" s="1825"/>
      <c r="G5" s="165"/>
      <c r="H5" s="165"/>
      <c r="I5" s="165"/>
      <c r="J5" s="165"/>
      <c r="K5" s="165"/>
      <c r="L5" s="165"/>
      <c r="M5" s="165"/>
      <c r="N5" s="165"/>
      <c r="O5" s="165"/>
      <c r="P5" s="165"/>
      <c r="Q5" s="165"/>
      <c r="R5" s="165"/>
      <c r="S5" s="166"/>
      <c r="T5" s="240"/>
      <c r="V5" s="1823" t="s">
        <v>507</v>
      </c>
      <c r="W5" s="1824"/>
      <c r="X5" s="1819" t="s">
        <v>455</v>
      </c>
    </row>
    <row r="6" spans="1:27" ht="21" customHeight="1" thickBot="1" x14ac:dyDescent="0.25">
      <c r="A6" s="29"/>
      <c r="B6" s="1065"/>
      <c r="C6" s="1817" t="s">
        <v>414</v>
      </c>
      <c r="D6" s="1817"/>
      <c r="E6" s="1817"/>
      <c r="F6" s="1305"/>
      <c r="G6" s="695" t="s">
        <v>418</v>
      </c>
      <c r="H6" s="696" t="s">
        <v>419</v>
      </c>
      <c r="I6" s="696" t="s">
        <v>420</v>
      </c>
      <c r="J6" s="696" t="s">
        <v>421</v>
      </c>
      <c r="K6" s="696" t="s">
        <v>422</v>
      </c>
      <c r="L6" s="696" t="s">
        <v>423</v>
      </c>
      <c r="M6" s="696" t="s">
        <v>424</v>
      </c>
      <c r="N6" s="696" t="s">
        <v>425</v>
      </c>
      <c r="O6" s="696" t="s">
        <v>426</v>
      </c>
      <c r="P6" s="696" t="s">
        <v>427</v>
      </c>
      <c r="Q6" s="696" t="s">
        <v>428</v>
      </c>
      <c r="R6" s="696" t="s">
        <v>429</v>
      </c>
      <c r="S6" s="1071" t="s">
        <v>430</v>
      </c>
      <c r="T6" s="241"/>
      <c r="V6" s="585" t="s">
        <v>453</v>
      </c>
      <c r="W6" s="616" t="s">
        <v>454</v>
      </c>
      <c r="X6" s="1820"/>
      <c r="Y6" s="2"/>
    </row>
    <row r="7" spans="1:27" ht="12" customHeight="1" x14ac:dyDescent="0.2">
      <c r="A7" s="29"/>
      <c r="B7" s="1559">
        <v>1</v>
      </c>
      <c r="C7" s="1827" t="s">
        <v>698</v>
      </c>
      <c r="D7" s="1828"/>
      <c r="E7" s="1828"/>
      <c r="F7" s="1829"/>
      <c r="G7" s="1301">
        <f>W7</f>
        <v>0</v>
      </c>
      <c r="H7" s="800">
        <f t="shared" ref="H7:R7" si="0">G58</f>
        <v>0</v>
      </c>
      <c r="I7" s="800">
        <f t="shared" si="0"/>
        <v>0</v>
      </c>
      <c r="J7" s="800">
        <f t="shared" si="0"/>
        <v>0</v>
      </c>
      <c r="K7" s="800">
        <f t="shared" si="0"/>
        <v>0</v>
      </c>
      <c r="L7" s="800">
        <f t="shared" si="0"/>
        <v>0</v>
      </c>
      <c r="M7" s="800">
        <f t="shared" si="0"/>
        <v>0</v>
      </c>
      <c r="N7" s="800">
        <f t="shared" si="0"/>
        <v>0</v>
      </c>
      <c r="O7" s="800">
        <f t="shared" si="0"/>
        <v>0</v>
      </c>
      <c r="P7" s="800">
        <f t="shared" si="0"/>
        <v>0</v>
      </c>
      <c r="Q7" s="800">
        <f t="shared" si="0"/>
        <v>0</v>
      </c>
      <c r="R7" s="800">
        <f t="shared" si="0"/>
        <v>0</v>
      </c>
      <c r="S7" s="799"/>
      <c r="T7" s="242"/>
      <c r="W7" s="1073">
        <f>IF('K3 Resultat'!B9&gt;0,'K3 Resultat'!K28,'FS3 Resultat'!K28)</f>
        <v>0</v>
      </c>
      <c r="X7" s="1074" t="s">
        <v>506</v>
      </c>
      <c r="Y7" s="2"/>
    </row>
    <row r="8" spans="1:27" ht="12" customHeight="1" x14ac:dyDescent="0.2">
      <c r="A8" s="29"/>
      <c r="B8" s="1560">
        <v>2</v>
      </c>
      <c r="C8" s="1671" t="s">
        <v>475</v>
      </c>
      <c r="D8" s="1620"/>
      <c r="E8" s="1672"/>
      <c r="F8" s="680">
        <v>0.5</v>
      </c>
      <c r="G8" s="801">
        <f>$V8*G9</f>
        <v>0</v>
      </c>
      <c r="H8" s="801">
        <f t="shared" ref="H8:R8" si="1">$V8*H9</f>
        <v>0</v>
      </c>
      <c r="I8" s="801">
        <f t="shared" si="1"/>
        <v>0</v>
      </c>
      <c r="J8" s="801">
        <f t="shared" si="1"/>
        <v>0</v>
      </c>
      <c r="K8" s="801">
        <f t="shared" si="1"/>
        <v>0</v>
      </c>
      <c r="L8" s="801">
        <f t="shared" si="1"/>
        <v>0</v>
      </c>
      <c r="M8" s="801">
        <f t="shared" si="1"/>
        <v>0</v>
      </c>
      <c r="N8" s="801">
        <f t="shared" si="1"/>
        <v>0</v>
      </c>
      <c r="O8" s="801">
        <f t="shared" si="1"/>
        <v>0</v>
      </c>
      <c r="P8" s="801">
        <f t="shared" si="1"/>
        <v>0</v>
      </c>
      <c r="Q8" s="801">
        <f t="shared" si="1"/>
        <v>0</v>
      </c>
      <c r="R8" s="801">
        <f t="shared" si="1"/>
        <v>0</v>
      </c>
      <c r="S8" s="802">
        <f t="shared" ref="S8:S15" si="2">SUM(G8:R8)</f>
        <v>0</v>
      </c>
      <c r="T8" s="47"/>
      <c r="U8" s="1072">
        <f t="shared" ref="U8:U14" si="3">B8</f>
        <v>2</v>
      </c>
      <c r="V8" s="834">
        <f>F8*V11</f>
        <v>0</v>
      </c>
      <c r="W8" s="837"/>
      <c r="X8" s="281" t="s">
        <v>456</v>
      </c>
    </row>
    <row r="9" spans="1:27" ht="12" customHeight="1" x14ac:dyDescent="0.2">
      <c r="A9" s="29"/>
      <c r="B9" s="1560"/>
      <c r="C9" s="276"/>
      <c r="D9" s="1644" t="s">
        <v>431</v>
      </c>
      <c r="E9" s="1644"/>
      <c r="F9" s="1665"/>
      <c r="G9" s="803">
        <v>0.04</v>
      </c>
      <c r="H9" s="803">
        <v>0.06</v>
      </c>
      <c r="I9" s="803">
        <v>0.06</v>
      </c>
      <c r="J9" s="803">
        <v>7.0000000000000007E-2</v>
      </c>
      <c r="K9" s="803">
        <v>0.08</v>
      </c>
      <c r="L9" s="803">
        <v>0.09</v>
      </c>
      <c r="M9" s="803">
        <v>0.1</v>
      </c>
      <c r="N9" s="803">
        <v>0.1</v>
      </c>
      <c r="O9" s="803">
        <v>0.1</v>
      </c>
      <c r="P9" s="803">
        <v>0.1</v>
      </c>
      <c r="Q9" s="803">
        <v>0.1</v>
      </c>
      <c r="R9" s="803">
        <v>0.1</v>
      </c>
      <c r="S9" s="804">
        <f t="shared" si="2"/>
        <v>0.99999999999999989</v>
      </c>
      <c r="T9" s="354" t="str">
        <f>IF(F8=0," ",IF(S9=100%," ","FEL!"))</f>
        <v xml:space="preserve"> </v>
      </c>
      <c r="U9" s="1072">
        <f t="shared" si="3"/>
        <v>0</v>
      </c>
      <c r="V9" s="838"/>
      <c r="W9" s="834"/>
      <c r="X9" s="281"/>
    </row>
    <row r="10" spans="1:27" ht="12" customHeight="1" x14ac:dyDescent="0.2">
      <c r="A10" s="29"/>
      <c r="B10" s="1560">
        <v>3</v>
      </c>
      <c r="C10" s="1671" t="s">
        <v>432</v>
      </c>
      <c r="D10" s="1620"/>
      <c r="E10" s="1620"/>
      <c r="F10" s="1672"/>
      <c r="G10" s="801">
        <f>$V10*G11</f>
        <v>0</v>
      </c>
      <c r="H10" s="801">
        <f t="shared" ref="H10:R10" si="4">$V10*H11</f>
        <v>0</v>
      </c>
      <c r="I10" s="801">
        <f t="shared" si="4"/>
        <v>0</v>
      </c>
      <c r="J10" s="801">
        <f t="shared" si="4"/>
        <v>0</v>
      </c>
      <c r="K10" s="801">
        <f t="shared" si="4"/>
        <v>0</v>
      </c>
      <c r="L10" s="801">
        <f t="shared" si="4"/>
        <v>0</v>
      </c>
      <c r="M10" s="801">
        <f t="shared" si="4"/>
        <v>0</v>
      </c>
      <c r="N10" s="801">
        <f t="shared" si="4"/>
        <v>0</v>
      </c>
      <c r="O10" s="801">
        <f t="shared" si="4"/>
        <v>0</v>
      </c>
      <c r="P10" s="801">
        <f t="shared" si="4"/>
        <v>0</v>
      </c>
      <c r="Q10" s="801">
        <f t="shared" si="4"/>
        <v>0</v>
      </c>
      <c r="R10" s="801">
        <f t="shared" si="4"/>
        <v>0</v>
      </c>
      <c r="S10" s="834">
        <f t="shared" si="2"/>
        <v>0</v>
      </c>
      <c r="T10" s="327"/>
      <c r="U10" s="1072">
        <f t="shared" si="3"/>
        <v>3</v>
      </c>
      <c r="V10" s="834">
        <f>V11-V8</f>
        <v>0</v>
      </c>
      <c r="W10" s="837"/>
      <c r="X10" s="281" t="s">
        <v>456</v>
      </c>
    </row>
    <row r="11" spans="1:27" ht="12" customHeight="1" x14ac:dyDescent="0.2">
      <c r="A11" s="29"/>
      <c r="B11" s="1560"/>
      <c r="C11" s="276"/>
      <c r="D11" s="1620" t="s">
        <v>431</v>
      </c>
      <c r="E11" s="1620"/>
      <c r="F11" s="1672"/>
      <c r="G11" s="803">
        <v>0.04</v>
      </c>
      <c r="H11" s="803">
        <v>0.06</v>
      </c>
      <c r="I11" s="803">
        <v>0.06</v>
      </c>
      <c r="J11" s="803">
        <v>7.0000000000000007E-2</v>
      </c>
      <c r="K11" s="803">
        <v>0.08</v>
      </c>
      <c r="L11" s="803">
        <v>0.09</v>
      </c>
      <c r="M11" s="803">
        <v>0.1</v>
      </c>
      <c r="N11" s="803">
        <v>0.1</v>
      </c>
      <c r="O11" s="803">
        <v>0.1</v>
      </c>
      <c r="P11" s="803">
        <v>0.1</v>
      </c>
      <c r="Q11" s="803">
        <v>0.1</v>
      </c>
      <c r="R11" s="803">
        <v>0.1</v>
      </c>
      <c r="S11" s="804">
        <f t="shared" si="2"/>
        <v>0.99999999999999989</v>
      </c>
      <c r="T11" s="354" t="str">
        <f>IF(F8=100%," ",IF(S11=100%," ","FEL!"))</f>
        <v xml:space="preserve"> </v>
      </c>
      <c r="U11" s="1072">
        <f t="shared" si="3"/>
        <v>0</v>
      </c>
      <c r="V11" s="834">
        <f>IF('K3 Resultat'!B9&gt;0,IF('K1 Kostnader'!F13=12,'K3 Resultat'!F41,IF('K1 Kostnader'!F13&lt;12,12*('K3 Resultat'!F41+'K3 Resultat'!H41)/('K3 Resultat'!F39+'K3 Resultat'!H39),12*'K3 Resultat'!F41/'K1 Kostnader'!F13)),IF('FS1 Kostnader '!F13=12,'FS3 Resultat'!F41,IF('FS3 Resultat'!F39&lt;12,12*('FS3 Resultat'!F41+'FS3 Resultat'!H41)/('FS3 Resultat'!F39+'FS3 Resultat'!H39),12*'FS3 Resultat'!F41/'FS1 Kostnader '!F13)))</f>
        <v>0</v>
      </c>
      <c r="W11" s="837"/>
      <c r="X11" s="281" t="s">
        <v>457</v>
      </c>
    </row>
    <row r="12" spans="1:27" ht="12" customHeight="1" x14ac:dyDescent="0.2">
      <c r="A12" s="29"/>
      <c r="B12" s="1560"/>
      <c r="C12" s="276"/>
      <c r="D12" s="602" t="s">
        <v>433</v>
      </c>
      <c r="E12" s="798">
        <v>14</v>
      </c>
      <c r="F12" s="1394" t="s">
        <v>434</v>
      </c>
      <c r="G12" s="801">
        <f>'3 AT Kassa'!C25</f>
        <v>0</v>
      </c>
      <c r="H12" s="801">
        <f>'3 AT Kassa'!D25</f>
        <v>0</v>
      </c>
      <c r="I12" s="801">
        <f>'3 AT Kassa'!E25</f>
        <v>0</v>
      </c>
      <c r="J12" s="801">
        <f>'3 AT Kassa'!F25</f>
        <v>0</v>
      </c>
      <c r="K12" s="801">
        <f>'3 AT Kassa'!G25</f>
        <v>0</v>
      </c>
      <c r="L12" s="801">
        <f>'3 AT Kassa'!H25</f>
        <v>0</v>
      </c>
      <c r="M12" s="801">
        <f>'3 AT Kassa'!I25</f>
        <v>0</v>
      </c>
      <c r="N12" s="801">
        <f>'3 AT Kassa'!J25</f>
        <v>0</v>
      </c>
      <c r="O12" s="801">
        <f>'3 AT Kassa'!K25</f>
        <v>0</v>
      </c>
      <c r="P12" s="801">
        <f>'3 AT Kassa'!L25</f>
        <v>0</v>
      </c>
      <c r="Q12" s="801">
        <f>'3 AT Kassa'!M25</f>
        <v>0</v>
      </c>
      <c r="R12" s="801">
        <f>'3 AT Kassa'!N25</f>
        <v>0</v>
      </c>
      <c r="S12" s="802">
        <f t="shared" si="2"/>
        <v>0</v>
      </c>
      <c r="T12" s="47"/>
      <c r="U12" s="1072">
        <f t="shared" si="3"/>
        <v>0</v>
      </c>
      <c r="V12" s="838"/>
      <c r="W12" s="834"/>
      <c r="X12" s="281"/>
    </row>
    <row r="13" spans="1:27" ht="12" customHeight="1" x14ac:dyDescent="0.2">
      <c r="A13" s="29"/>
      <c r="B13" s="1560">
        <v>4</v>
      </c>
      <c r="C13" s="1664" t="s">
        <v>578</v>
      </c>
      <c r="D13" s="1786"/>
      <c r="E13" s="1787"/>
      <c r="F13" s="275"/>
      <c r="G13" s="1390">
        <f>W13</f>
        <v>0</v>
      </c>
      <c r="H13" s="805">
        <v>0</v>
      </c>
      <c r="I13" s="805">
        <v>0</v>
      </c>
      <c r="J13" s="805">
        <v>0</v>
      </c>
      <c r="K13" s="805">
        <v>0</v>
      </c>
      <c r="L13" s="805">
        <v>0</v>
      </c>
      <c r="M13" s="805">
        <v>0</v>
      </c>
      <c r="N13" s="805">
        <v>0</v>
      </c>
      <c r="O13" s="805">
        <v>0</v>
      </c>
      <c r="P13" s="805">
        <v>0</v>
      </c>
      <c r="Q13" s="805">
        <v>0</v>
      </c>
      <c r="R13" s="805">
        <v>0</v>
      </c>
      <c r="S13" s="802">
        <f t="shared" si="2"/>
        <v>0</v>
      </c>
      <c r="T13" s="47"/>
      <c r="U13" s="1072">
        <f t="shared" si="3"/>
        <v>4</v>
      </c>
      <c r="V13" s="838"/>
      <c r="W13" s="839" cm="1">
        <f t="array" ref="W13:X13">IF('K1 Kostnader'!C9:D9&gt;0,'K3 Resultat'!K16,'FS3 Resultat'!K16)</f>
        <v>0</v>
      </c>
      <c r="X13" s="281">
        <v>0</v>
      </c>
    </row>
    <row r="14" spans="1:27" ht="12" customHeight="1" thickBot="1" x14ac:dyDescent="0.25">
      <c r="A14" s="29"/>
      <c r="B14" s="1561">
        <v>5</v>
      </c>
      <c r="C14" s="1833" t="s">
        <v>519</v>
      </c>
      <c r="D14" s="1834"/>
      <c r="E14" s="1834"/>
      <c r="F14" s="1835"/>
      <c r="G14" s="806"/>
      <c r="H14" s="806">
        <v>0</v>
      </c>
      <c r="I14" s="806">
        <v>0</v>
      </c>
      <c r="J14" s="806">
        <v>0</v>
      </c>
      <c r="K14" s="806">
        <v>0</v>
      </c>
      <c r="L14" s="806">
        <v>0</v>
      </c>
      <c r="M14" s="806">
        <v>0</v>
      </c>
      <c r="N14" s="1393">
        <f>W14</f>
        <v>0</v>
      </c>
      <c r="O14" s="806">
        <v>0</v>
      </c>
      <c r="P14" s="806">
        <v>0</v>
      </c>
      <c r="Q14" s="806">
        <v>0</v>
      </c>
      <c r="R14" s="806">
        <v>0</v>
      </c>
      <c r="S14" s="807">
        <f t="shared" si="2"/>
        <v>0</v>
      </c>
      <c r="T14" s="47"/>
      <c r="U14" s="1072">
        <f t="shared" si="3"/>
        <v>5</v>
      </c>
      <c r="V14" s="837"/>
      <c r="W14" s="834">
        <f>IF('K3 Resultat'!B9&gt;0,'K3 Resultat'!K23,'FS3 Resultat'!K24)</f>
        <v>0</v>
      </c>
      <c r="X14" s="617" t="s">
        <v>458</v>
      </c>
    </row>
    <row r="15" spans="1:27" ht="13.5" customHeight="1" thickTop="1" thickBot="1" x14ac:dyDescent="0.25">
      <c r="A15" s="29"/>
      <c r="B15" s="853"/>
      <c r="C15" s="1830" t="s">
        <v>415</v>
      </c>
      <c r="D15" s="1831"/>
      <c r="E15" s="1832"/>
      <c r="F15" s="853"/>
      <c r="G15" s="854">
        <f>G8+G12+G13+G14</f>
        <v>0</v>
      </c>
      <c r="H15" s="854">
        <f t="shared" ref="H15:R15" si="5">H8+H12+H13+H14</f>
        <v>0</v>
      </c>
      <c r="I15" s="854">
        <f t="shared" si="5"/>
        <v>0</v>
      </c>
      <c r="J15" s="854">
        <f t="shared" si="5"/>
        <v>0</v>
      </c>
      <c r="K15" s="854">
        <f t="shared" si="5"/>
        <v>0</v>
      </c>
      <c r="L15" s="854">
        <f t="shared" si="5"/>
        <v>0</v>
      </c>
      <c r="M15" s="854">
        <f t="shared" si="5"/>
        <v>0</v>
      </c>
      <c r="N15" s="854">
        <f t="shared" si="5"/>
        <v>0</v>
      </c>
      <c r="O15" s="854">
        <f t="shared" si="5"/>
        <v>0</v>
      </c>
      <c r="P15" s="854">
        <f t="shared" si="5"/>
        <v>0</v>
      </c>
      <c r="Q15" s="854">
        <f t="shared" si="5"/>
        <v>0</v>
      </c>
      <c r="R15" s="854">
        <f t="shared" si="5"/>
        <v>0</v>
      </c>
      <c r="S15" s="855">
        <f t="shared" si="2"/>
        <v>0</v>
      </c>
      <c r="T15" s="47"/>
      <c r="U15" s="692"/>
      <c r="V15" s="692"/>
      <c r="W15" s="840"/>
      <c r="X15" s="693"/>
    </row>
    <row r="16" spans="1:27" ht="6" customHeight="1" thickTop="1" thickBot="1" x14ac:dyDescent="0.25">
      <c r="A16" s="29"/>
      <c r="B16" s="29"/>
      <c r="C16" s="29"/>
      <c r="D16" s="29"/>
      <c r="E16" s="29"/>
      <c r="F16" s="29"/>
      <c r="G16" s="85"/>
      <c r="H16" s="85"/>
      <c r="I16" s="85"/>
      <c r="J16" s="85"/>
      <c r="K16" s="85"/>
      <c r="L16" s="85"/>
      <c r="M16" s="85"/>
      <c r="N16" s="85"/>
      <c r="O16" s="85"/>
      <c r="P16" s="85"/>
      <c r="Q16" s="85"/>
      <c r="R16" s="85"/>
      <c r="S16" s="17" t="s">
        <v>0</v>
      </c>
      <c r="T16" s="44"/>
      <c r="U16" s="328"/>
      <c r="V16" s="841"/>
      <c r="W16" s="842"/>
      <c r="X16" s="694"/>
    </row>
    <row r="17" spans="1:34" ht="21" customHeight="1" thickBot="1" x14ac:dyDescent="0.25">
      <c r="A17" s="29"/>
      <c r="B17" s="1066"/>
      <c r="C17" s="1817" t="s">
        <v>416</v>
      </c>
      <c r="D17" s="1817"/>
      <c r="E17" s="1826"/>
      <c r="F17" s="1067" t="s">
        <v>417</v>
      </c>
      <c r="G17" s="1068" t="str">
        <f>G6</f>
        <v>JAN</v>
      </c>
      <c r="H17" s="1069" t="str">
        <f t="shared" ref="H17:R17" si="6">H6</f>
        <v>FEB</v>
      </c>
      <c r="I17" s="1068" t="str">
        <f t="shared" si="6"/>
        <v>MARS</v>
      </c>
      <c r="J17" s="1068" t="str">
        <f t="shared" si="6"/>
        <v>APR</v>
      </c>
      <c r="K17" s="1068" t="str">
        <f t="shared" si="6"/>
        <v>MAJ</v>
      </c>
      <c r="L17" s="1068" t="str">
        <f t="shared" si="6"/>
        <v>JUNI</v>
      </c>
      <c r="M17" s="1068" t="str">
        <f t="shared" si="6"/>
        <v>JULI</v>
      </c>
      <c r="N17" s="1068" t="str">
        <f t="shared" si="6"/>
        <v>AUG</v>
      </c>
      <c r="O17" s="1068" t="str">
        <f t="shared" si="6"/>
        <v>SEP</v>
      </c>
      <c r="P17" s="1068" t="str">
        <f t="shared" si="6"/>
        <v>OKT</v>
      </c>
      <c r="Q17" s="1068" t="str">
        <f t="shared" si="6"/>
        <v>NOV</v>
      </c>
      <c r="R17" s="1068" t="str">
        <f t="shared" si="6"/>
        <v>DEC</v>
      </c>
      <c r="S17" s="1070" t="str">
        <f>+S6</f>
        <v>SLGT</v>
      </c>
      <c r="T17" s="241"/>
      <c r="U17" s="372"/>
      <c r="V17" s="585" t="s">
        <v>453</v>
      </c>
      <c r="W17" s="616" t="s">
        <v>454</v>
      </c>
      <c r="X17" s="373"/>
    </row>
    <row r="18" spans="1:34" ht="12" customHeight="1" x14ac:dyDescent="0.2">
      <c r="A18" s="29"/>
      <c r="B18" s="1562">
        <v>6</v>
      </c>
      <c r="C18" s="1343" t="s">
        <v>435</v>
      </c>
      <c r="D18" s="1344"/>
      <c r="E18" s="1344"/>
      <c r="F18" s="1568">
        <v>25.5</v>
      </c>
      <c r="G18" s="813">
        <f>0.5*'2 AT Palkat, alv'!E54</f>
        <v>0</v>
      </c>
      <c r="H18" s="813">
        <f>0.5*('2 AT Palkat, alv'!E54+'2 AT Palkat, alv'!F54)</f>
        <v>0</v>
      </c>
      <c r="I18" s="813">
        <f>0.5*('2 AT Palkat, alv'!F54+'2 AT Palkat, alv'!G54)</f>
        <v>0</v>
      </c>
      <c r="J18" s="813">
        <f>0.5*('2 AT Palkat, alv'!G54+'2 AT Palkat, alv'!H54)</f>
        <v>0</v>
      </c>
      <c r="K18" s="813">
        <f>0.5*('2 AT Palkat, alv'!H54+'2 AT Palkat, alv'!I54)</f>
        <v>0</v>
      </c>
      <c r="L18" s="813">
        <f>0.5*('2 AT Palkat, alv'!I54+'2 AT Palkat, alv'!J54)</f>
        <v>0</v>
      </c>
      <c r="M18" s="813">
        <f>0.5*('2 AT Palkat, alv'!J54+'2 AT Palkat, alv'!K54)</f>
        <v>0</v>
      </c>
      <c r="N18" s="813">
        <f>0.5*('2 AT Palkat, alv'!K54+'2 AT Palkat, alv'!L54)</f>
        <v>0</v>
      </c>
      <c r="O18" s="813">
        <f>0.5*('2 AT Palkat, alv'!L54+'2 AT Palkat, alv'!M54)</f>
        <v>0</v>
      </c>
      <c r="P18" s="813">
        <f>0.5*('2 AT Palkat, alv'!M54+'2 AT Palkat, alv'!N54)</f>
        <v>0</v>
      </c>
      <c r="Q18" s="813">
        <f>0.5*('2 AT Palkat, alv'!N54+'2 AT Palkat, alv'!O54)</f>
        <v>0</v>
      </c>
      <c r="R18" s="813">
        <f>0.5*('2 AT Palkat, alv'!O54+'2 AT Palkat, alv'!P54)</f>
        <v>0</v>
      </c>
      <c r="S18" s="812">
        <f t="shared" ref="S18:S54" si="7">SUM(G18:R18)</f>
        <v>0</v>
      </c>
      <c r="T18" s="47"/>
      <c r="U18" s="1072">
        <f t="shared" ref="U18:U29" si="8">B18</f>
        <v>6</v>
      </c>
      <c r="V18" s="1233">
        <f>W18+W18*F18/100</f>
        <v>0</v>
      </c>
      <c r="W18" s="834">
        <f>IF('K3 Resultat'!B9&gt;0,'K2 Försäljning'!C219,'FS2 Försäljning '!C239)</f>
        <v>0</v>
      </c>
      <c r="X18" s="617" t="s">
        <v>666</v>
      </c>
    </row>
    <row r="19" spans="1:34" ht="12.75" customHeight="1" x14ac:dyDescent="0.2">
      <c r="A19" s="333"/>
      <c r="B19" s="1548">
        <f>B18+1</f>
        <v>7</v>
      </c>
      <c r="C19" s="1569" t="s">
        <v>836</v>
      </c>
      <c r="D19" s="1549"/>
      <c r="E19" s="1549"/>
      <c r="F19" s="1550">
        <v>25.5</v>
      </c>
      <c r="G19" s="1551">
        <f>V19</f>
        <v>0</v>
      </c>
      <c r="H19" s="1551"/>
      <c r="I19" s="1551"/>
      <c r="J19" s="1551"/>
      <c r="K19" s="1551"/>
      <c r="L19" s="1551"/>
      <c r="M19" s="1551"/>
      <c r="N19" s="1551"/>
      <c r="O19" s="1551"/>
      <c r="P19" s="1551"/>
      <c r="Q19" s="1551"/>
      <c r="R19" s="1551"/>
      <c r="S19" s="1552">
        <f>SUM(G19:R19)</f>
        <v>0</v>
      </c>
      <c r="T19" s="1553"/>
      <c r="U19" s="1554"/>
      <c r="V19" s="1555">
        <f>IF('K3 Resultat'!B9&gt;0,'K3 Resultat'!E25,'FS3 Resultat'!E25)</f>
        <v>0</v>
      </c>
      <c r="W19" s="1233">
        <v>0</v>
      </c>
      <c r="X19" s="1556"/>
      <c r="Y19" s="1557"/>
      <c r="Z19" s="1557"/>
      <c r="AA19" s="1557"/>
      <c r="AB19" s="1557"/>
      <c r="AC19" s="1557"/>
      <c r="AD19" s="1557"/>
      <c r="AE19" s="1557"/>
      <c r="AF19" s="1557"/>
      <c r="AG19" s="1557"/>
      <c r="AH19" s="1557"/>
    </row>
    <row r="20" spans="1:34" ht="12.75" customHeight="1" x14ac:dyDescent="0.2">
      <c r="A20" s="333"/>
      <c r="B20" s="1548">
        <f t="shared" ref="B20:B34" si="9">B19+1</f>
        <v>8</v>
      </c>
      <c r="C20" s="1656" t="s">
        <v>837</v>
      </c>
      <c r="D20" s="1603"/>
      <c r="E20" s="1603"/>
      <c r="F20" s="1604"/>
      <c r="G20" s="1551">
        <f>V20</f>
        <v>0</v>
      </c>
      <c r="H20" s="1551">
        <f t="shared" ref="H20:R20" si="10">W20</f>
        <v>0</v>
      </c>
      <c r="I20" s="1551">
        <f t="shared" si="10"/>
        <v>0</v>
      </c>
      <c r="J20" s="1551">
        <f t="shared" si="10"/>
        <v>0</v>
      </c>
      <c r="K20" s="1551">
        <f t="shared" si="10"/>
        <v>0</v>
      </c>
      <c r="L20" s="1551">
        <f t="shared" si="10"/>
        <v>0</v>
      </c>
      <c r="M20" s="1551">
        <f t="shared" si="10"/>
        <v>0</v>
      </c>
      <c r="N20" s="1551">
        <f t="shared" si="10"/>
        <v>0</v>
      </c>
      <c r="O20" s="1551">
        <f t="shared" si="10"/>
        <v>0</v>
      </c>
      <c r="P20" s="1551">
        <f t="shared" si="10"/>
        <v>0</v>
      </c>
      <c r="Q20" s="1551">
        <f t="shared" si="10"/>
        <v>0</v>
      </c>
      <c r="R20" s="1551">
        <f t="shared" si="10"/>
        <v>0</v>
      </c>
      <c r="S20" s="1552">
        <f>SUM(G20:R20)</f>
        <v>0</v>
      </c>
      <c r="T20" s="1553"/>
      <c r="U20" s="1554"/>
      <c r="V20" s="1555">
        <f>IF('K3 Resultat'!B9&gt;0,'K3 Resultat'!E24,'FS3 Resultat'!E24)</f>
        <v>0</v>
      </c>
      <c r="W20" s="1233"/>
      <c r="X20" s="1556"/>
      <c r="Y20" s="1557"/>
      <c r="Z20" s="1557"/>
      <c r="AA20" s="1557"/>
      <c r="AB20" s="1557"/>
      <c r="AC20" s="1557"/>
      <c r="AD20" s="1557"/>
      <c r="AE20" s="1557"/>
      <c r="AF20" s="1557"/>
      <c r="AG20" s="1557"/>
      <c r="AH20" s="1557"/>
    </row>
    <row r="21" spans="1:34" ht="12.75" customHeight="1" x14ac:dyDescent="0.2">
      <c r="A21" s="333"/>
      <c r="B21" s="1548">
        <f t="shared" si="9"/>
        <v>9</v>
      </c>
      <c r="C21" s="1812" t="s">
        <v>838</v>
      </c>
      <c r="D21" s="1813"/>
      <c r="E21" s="1813"/>
      <c r="F21" s="1570"/>
      <c r="G21" s="1558">
        <f t="shared" ref="G21:R21" si="11">IF($W21&gt;0,$W21*(G8+G10)/$V11,0)</f>
        <v>0</v>
      </c>
      <c r="H21" s="1558">
        <f t="shared" si="11"/>
        <v>0</v>
      </c>
      <c r="I21" s="1558">
        <f t="shared" si="11"/>
        <v>0</v>
      </c>
      <c r="J21" s="1558">
        <f t="shared" si="11"/>
        <v>0</v>
      </c>
      <c r="K21" s="1558">
        <f t="shared" si="11"/>
        <v>0</v>
      </c>
      <c r="L21" s="1558">
        <f t="shared" si="11"/>
        <v>0</v>
      </c>
      <c r="M21" s="1558">
        <f t="shared" si="11"/>
        <v>0</v>
      </c>
      <c r="N21" s="1558">
        <f t="shared" si="11"/>
        <v>0</v>
      </c>
      <c r="O21" s="1558">
        <f t="shared" si="11"/>
        <v>0</v>
      </c>
      <c r="P21" s="1558">
        <f t="shared" si="11"/>
        <v>0</v>
      </c>
      <c r="Q21" s="1558">
        <f t="shared" si="11"/>
        <v>0</v>
      </c>
      <c r="R21" s="1558">
        <f t="shared" si="11"/>
        <v>0</v>
      </c>
      <c r="S21" s="1552">
        <f>SUM(G21:R21)</f>
        <v>0</v>
      </c>
      <c r="T21" s="1553"/>
      <c r="U21" s="1554"/>
      <c r="V21" s="1233"/>
      <c r="W21" s="1233">
        <f>IF('K1 Kostnader'!C9&gt;0,'K2 Försäljning'!C222,0)</f>
        <v>0</v>
      </c>
      <c r="X21" s="1556" t="s">
        <v>835</v>
      </c>
      <c r="Y21" s="1557"/>
      <c r="Z21" s="1557"/>
      <c r="AA21" s="1557"/>
      <c r="AB21" s="1557"/>
      <c r="AC21" s="1557"/>
      <c r="AD21" s="1557"/>
      <c r="AE21" s="1557"/>
      <c r="AF21" s="1557"/>
      <c r="AG21" s="1557"/>
      <c r="AH21" s="1557"/>
    </row>
    <row r="22" spans="1:34" ht="12" customHeight="1" x14ac:dyDescent="0.2">
      <c r="A22" s="29"/>
      <c r="B22" s="1548">
        <f t="shared" si="9"/>
        <v>10</v>
      </c>
      <c r="C22" s="1807" t="s">
        <v>436</v>
      </c>
      <c r="D22" s="1821"/>
      <c r="E22" s="1822"/>
      <c r="F22" s="1342">
        <v>25.5</v>
      </c>
      <c r="G22" s="811">
        <f t="shared" ref="G22:R26" si="12">$W22/12*(1+$F22/100)</f>
        <v>0</v>
      </c>
      <c r="H22" s="811">
        <f t="shared" si="12"/>
        <v>0</v>
      </c>
      <c r="I22" s="811">
        <f t="shared" si="12"/>
        <v>0</v>
      </c>
      <c r="J22" s="811">
        <f t="shared" si="12"/>
        <v>0</v>
      </c>
      <c r="K22" s="811">
        <f t="shared" si="12"/>
        <v>0</v>
      </c>
      <c r="L22" s="811">
        <f t="shared" si="12"/>
        <v>0</v>
      </c>
      <c r="M22" s="811">
        <f t="shared" si="12"/>
        <v>0</v>
      </c>
      <c r="N22" s="811">
        <f t="shared" si="12"/>
        <v>0</v>
      </c>
      <c r="O22" s="811">
        <f t="shared" si="12"/>
        <v>0</v>
      </c>
      <c r="P22" s="811">
        <f t="shared" si="12"/>
        <v>0</v>
      </c>
      <c r="Q22" s="811">
        <f t="shared" si="12"/>
        <v>0</v>
      </c>
      <c r="R22" s="811">
        <f t="shared" si="12"/>
        <v>0</v>
      </c>
      <c r="S22" s="802">
        <f t="shared" si="7"/>
        <v>0</v>
      </c>
      <c r="T22" s="47"/>
      <c r="U22" s="1072">
        <f t="shared" si="8"/>
        <v>10</v>
      </c>
      <c r="V22" s="834">
        <f t="shared" ref="V22:V29" si="13">W22*(1+F22/100)</f>
        <v>0</v>
      </c>
      <c r="W22" s="834">
        <f>IF('K1 Kostnader'!$C$9&gt;0,(IF('K1 Kostnader'!$F$13=12,'K1 Kostnader'!$F48,IF('K1 Kostnader'!$F$13&lt;12,12*(('K1 Kostnader'!$F48+'K1 Kostnader'!$G48)/('K1 Kostnader'!$F$13+'K1 Kostnader'!$G$13)),12*'K1 Kostnader'!$F48/'K1 Kostnader'!$F$13))),(IF('FS1 Kostnader '!$F$13=12,'FS1 Kostnader '!$F48,IF('FS1 Kostnader '!$F$13&lt;12,12*(('FS1 Kostnader '!$F48+'FS1 Kostnader '!$G48)/('FS1 Kostnader '!$F$13+'FS1 Kostnader '!$G$13)),12*'FS1 Kostnader '!$F48/'FS1 Kostnader '!$F$13))))</f>
        <v>0</v>
      </c>
      <c r="X22" s="617" t="s">
        <v>459</v>
      </c>
    </row>
    <row r="23" spans="1:34" ht="12" customHeight="1" x14ac:dyDescent="0.2">
      <c r="A23" s="29"/>
      <c r="B23" s="1548">
        <f t="shared" si="9"/>
        <v>11</v>
      </c>
      <c r="C23" s="1807" t="s">
        <v>437</v>
      </c>
      <c r="D23" s="1821"/>
      <c r="E23" s="1822"/>
      <c r="F23" s="1342">
        <v>25.5</v>
      </c>
      <c r="G23" s="811">
        <f t="shared" si="12"/>
        <v>0</v>
      </c>
      <c r="H23" s="811">
        <f t="shared" si="12"/>
        <v>0</v>
      </c>
      <c r="I23" s="811">
        <f t="shared" si="12"/>
        <v>0</v>
      </c>
      <c r="J23" s="811">
        <f t="shared" si="12"/>
        <v>0</v>
      </c>
      <c r="K23" s="811">
        <f t="shared" si="12"/>
        <v>0</v>
      </c>
      <c r="L23" s="811">
        <f t="shared" si="12"/>
        <v>0</v>
      </c>
      <c r="M23" s="811">
        <f t="shared" si="12"/>
        <v>0</v>
      </c>
      <c r="N23" s="811">
        <f t="shared" si="12"/>
        <v>0</v>
      </c>
      <c r="O23" s="811">
        <f t="shared" si="12"/>
        <v>0</v>
      </c>
      <c r="P23" s="811">
        <f t="shared" si="12"/>
        <v>0</v>
      </c>
      <c r="Q23" s="811">
        <f t="shared" si="12"/>
        <v>0</v>
      </c>
      <c r="R23" s="811">
        <f t="shared" si="12"/>
        <v>0</v>
      </c>
      <c r="S23" s="802">
        <f t="shared" si="7"/>
        <v>0</v>
      </c>
      <c r="T23" s="47"/>
      <c r="U23" s="1072">
        <f t="shared" si="8"/>
        <v>11</v>
      </c>
      <c r="V23" s="834">
        <f t="shared" si="13"/>
        <v>0</v>
      </c>
      <c r="W23" s="834">
        <f>IF('K1 Kostnader'!$C$9&gt;0,(IF('K1 Kostnader'!$F$13=12,'K1 Kostnader'!$F59+'K1 Kostnader'!F75,IF('K1 Kostnader'!F$13&lt;12,12*(('K1 Kostnader'!F59+'K1 Kostnader'!G59+'K1 Kostnader'!F75+'K1 Kostnader'!G75)/('K1 Kostnader'!F$13+'K1 Kostnader'!G$13)),12*('K1 Kostnader'!F59+'K1 Kostnader'!F75)/'K1 Kostnader'!F$13))),(IF('FS1 Kostnader '!F$13=12,'FS1 Kostnader '!F59+'FS1 Kostnader '!F75,IF('FS1 Kostnader '!F$13&lt;12,12*(('FS1 Kostnader '!F59+'FS1 Kostnader '!G59+'FS1 Kostnader '!F75+'FS1 Kostnader '!G75)/('FS1 Kostnader '!F$13+'FS1 Kostnader '!G$13)),12*('FS1 Kostnader '!F59+'FS1 Kostnader '!F75)/'FS1 Kostnader '!F$13))))</f>
        <v>0</v>
      </c>
      <c r="X23" s="617" t="s">
        <v>460</v>
      </c>
    </row>
    <row r="24" spans="1:34" ht="12" customHeight="1" x14ac:dyDescent="0.2">
      <c r="A24" s="29"/>
      <c r="B24" s="1548">
        <f t="shared" si="9"/>
        <v>12</v>
      </c>
      <c r="C24" s="1807" t="s">
        <v>438</v>
      </c>
      <c r="D24" s="1821"/>
      <c r="E24" s="1822"/>
      <c r="F24" s="1342">
        <v>25.5</v>
      </c>
      <c r="G24" s="811">
        <f t="shared" si="12"/>
        <v>0</v>
      </c>
      <c r="H24" s="811">
        <f t="shared" si="12"/>
        <v>0</v>
      </c>
      <c r="I24" s="811">
        <f t="shared" si="12"/>
        <v>0</v>
      </c>
      <c r="J24" s="811">
        <f t="shared" si="12"/>
        <v>0</v>
      </c>
      <c r="K24" s="811">
        <f t="shared" si="12"/>
        <v>0</v>
      </c>
      <c r="L24" s="811">
        <f t="shared" si="12"/>
        <v>0</v>
      </c>
      <c r="M24" s="811">
        <f t="shared" si="12"/>
        <v>0</v>
      </c>
      <c r="N24" s="811">
        <f t="shared" si="12"/>
        <v>0</v>
      </c>
      <c r="O24" s="811">
        <f t="shared" si="12"/>
        <v>0</v>
      </c>
      <c r="P24" s="811">
        <f t="shared" si="12"/>
        <v>0</v>
      </c>
      <c r="Q24" s="811">
        <f t="shared" si="12"/>
        <v>0</v>
      </c>
      <c r="R24" s="811">
        <f t="shared" si="12"/>
        <v>0</v>
      </c>
      <c r="S24" s="802">
        <f t="shared" si="7"/>
        <v>0</v>
      </c>
      <c r="T24" s="47"/>
      <c r="U24" s="1072">
        <f t="shared" si="8"/>
        <v>12</v>
      </c>
      <c r="V24" s="834">
        <f t="shared" si="13"/>
        <v>0</v>
      </c>
      <c r="W24" s="834">
        <f>IF('K1 Kostnader'!C$9&gt;0,(IF('K1 Kostnader'!F$13=12,'K1 Kostnader'!F51+'K1 Kostnader'!F52+'K1 Kostnader'!F53,IF('K1 Kostnader'!F$13&lt;12,12*(('K1 Kostnader'!F51+'K1 Kostnader'!G51+'K1 Kostnader'!F52+'K1 Kostnader'!G52+'K1 Kostnader'!F53+'K1 Kostnader'!G53)/('K1 Kostnader'!F$13+'K1 Kostnader'!G$13)),12*('K1 Kostnader'!F51+'K1 Kostnader'!F52+'K1 Kostnader'!F53)/'K1 Kostnader'!F$13))),(IF('FS1 Kostnader '!F$13=12,'FS1 Kostnader '!F51+'FS1 Kostnader '!F52+'FS1 Kostnader '!F53,IF('FS1 Kostnader '!F$13&lt;12,12*(('FS1 Kostnader '!F51+'FS1 Kostnader '!G51+'K1 Kostnader'!F52+'K1 Kostnader'!G52+'K1 Kostnader'!F53+'K1 Kostnader'!G53)/('FS1 Kostnader '!F$13+'FS1 Kostnader '!G$13)),12*('FS1 Kostnader '!F51+'K1 Kostnader'!F52+'K1 Kostnader'!F53)/'FS1 Kostnader '!F$13))))</f>
        <v>0</v>
      </c>
      <c r="X24" s="617" t="s">
        <v>461</v>
      </c>
    </row>
    <row r="25" spans="1:34" ht="12" customHeight="1" x14ac:dyDescent="0.2">
      <c r="A25" s="29"/>
      <c r="B25" s="1548">
        <f t="shared" si="9"/>
        <v>13</v>
      </c>
      <c r="C25" s="1807" t="s">
        <v>832</v>
      </c>
      <c r="D25" s="1821"/>
      <c r="E25" s="1822"/>
      <c r="F25" s="1342">
        <v>25.5</v>
      </c>
      <c r="G25" s="811">
        <f>$W25/12*(1+$F25/100)</f>
        <v>0</v>
      </c>
      <c r="H25" s="811">
        <f t="shared" si="12"/>
        <v>0</v>
      </c>
      <c r="I25" s="811">
        <f t="shared" si="12"/>
        <v>0</v>
      </c>
      <c r="J25" s="811">
        <f t="shared" si="12"/>
        <v>0</v>
      </c>
      <c r="K25" s="811">
        <f t="shared" si="12"/>
        <v>0</v>
      </c>
      <c r="L25" s="811">
        <f t="shared" si="12"/>
        <v>0</v>
      </c>
      <c r="M25" s="811">
        <f t="shared" si="12"/>
        <v>0</v>
      </c>
      <c r="N25" s="811">
        <f t="shared" si="12"/>
        <v>0</v>
      </c>
      <c r="O25" s="811">
        <f t="shared" si="12"/>
        <v>0</v>
      </c>
      <c r="P25" s="811">
        <f t="shared" si="12"/>
        <v>0</v>
      </c>
      <c r="Q25" s="811">
        <f t="shared" si="12"/>
        <v>0</v>
      </c>
      <c r="R25" s="811">
        <f t="shared" si="12"/>
        <v>0</v>
      </c>
      <c r="S25" s="802">
        <f t="shared" si="7"/>
        <v>0</v>
      </c>
      <c r="T25" s="47"/>
      <c r="U25" s="1072">
        <f t="shared" si="8"/>
        <v>13</v>
      </c>
      <c r="V25" s="834">
        <f>W25*(1+F25/100)</f>
        <v>0</v>
      </c>
      <c r="W25" s="834">
        <f>IF('K1 Kostnader'!C$9&gt;0,(IF('K1 Kostnader'!F$13=12,'K1 Kostnader'!F110+'K1 Kostnader'!F111,IF('K1 Kostnader'!F$13&lt;12,12*(('K1 Kostnader'!F110+'K1 Kostnader'!F111+'K1 Kostnader'!G110+'K1 Kostnader'!G111)/('K1 Kostnader'!F$13+'K1 Kostnader'!G$13)),12*('K1 Kostnader'!F110+'K1 Kostnader'!F111)/'K1 Kostnader'!F$13))),(IF('FS1 Kostnader '!F$13=12,'FS1 Kostnader '!F110+'FS1 Kostnader '!F111,IF('FS1 Kostnader '!F$13&lt;12,12*(('FS1 Kostnader '!F110+'FS1 Kostnader '!F111+'FS1 Kostnader '!G110+'FS1 Kostnader '!G111)/('FS1 Kostnader '!F$13+'FS1 Kostnader '!G$13)),12*('FS1 Kostnader '!F110+'FS1 Kostnader '!F111)/'FS1 Kostnader '!F$13))))</f>
        <v>0</v>
      </c>
      <c r="X25" s="617" t="s">
        <v>462</v>
      </c>
    </row>
    <row r="26" spans="1:34" ht="12" customHeight="1" x14ac:dyDescent="0.2">
      <c r="A26" s="29"/>
      <c r="B26" s="1548">
        <f t="shared" si="9"/>
        <v>14</v>
      </c>
      <c r="C26" s="1807" t="s">
        <v>439</v>
      </c>
      <c r="D26" s="1808"/>
      <c r="E26" s="1809"/>
      <c r="F26" s="1342">
        <v>25.5</v>
      </c>
      <c r="G26" s="811">
        <f t="shared" si="12"/>
        <v>0</v>
      </c>
      <c r="H26" s="811">
        <f t="shared" si="12"/>
        <v>0</v>
      </c>
      <c r="I26" s="811">
        <f t="shared" si="12"/>
        <v>0</v>
      </c>
      <c r="J26" s="811">
        <f t="shared" si="12"/>
        <v>0</v>
      </c>
      <c r="K26" s="811">
        <f t="shared" si="12"/>
        <v>0</v>
      </c>
      <c r="L26" s="811">
        <f t="shared" si="12"/>
        <v>0</v>
      </c>
      <c r="M26" s="811">
        <f t="shared" si="12"/>
        <v>0</v>
      </c>
      <c r="N26" s="811">
        <f t="shared" si="12"/>
        <v>0</v>
      </c>
      <c r="O26" s="811">
        <f t="shared" si="12"/>
        <v>0</v>
      </c>
      <c r="P26" s="811">
        <f t="shared" si="12"/>
        <v>0</v>
      </c>
      <c r="Q26" s="811">
        <f t="shared" si="12"/>
        <v>0</v>
      </c>
      <c r="R26" s="811">
        <f t="shared" si="12"/>
        <v>0</v>
      </c>
      <c r="S26" s="802">
        <f t="shared" si="7"/>
        <v>0</v>
      </c>
      <c r="T26" s="47"/>
      <c r="U26" s="1072">
        <f t="shared" si="8"/>
        <v>14</v>
      </c>
      <c r="V26" s="834">
        <f t="shared" si="13"/>
        <v>0</v>
      </c>
      <c r="W26" s="834">
        <f>IF('K1 Kostnader'!C$9&gt;0,(IF('K1 Kostnader'!F$13=12,'K1 Kostnader'!F89,IF('K1 Kostnader'!F$13&lt;12,12*(('K1 Kostnader'!F89+'K1 Kostnader'!G89)/('K1 Kostnader'!F$13+'K1 Kostnader'!G$13)),12*'K1 Kostnader'!F89/'K1 Kostnader'!F$13))),(IF('FS1 Kostnader '!F$13=12,'FS1 Kostnader '!F89,IF('FS1 Kostnader '!F$13&lt;12,12*(('FS1 Kostnader '!F89+'FS1 Kostnader '!G89)/('FS1 Kostnader '!F$13+'FS1 Kostnader '!G$13)),12*'FS1 Kostnader '!F89/'FS1 Kostnader '!F$13))))</f>
        <v>0</v>
      </c>
      <c r="X26" s="617" t="s">
        <v>463</v>
      </c>
    </row>
    <row r="27" spans="1:34" ht="12" customHeight="1" x14ac:dyDescent="0.2">
      <c r="A27" s="29"/>
      <c r="B27" s="1548">
        <f t="shared" si="9"/>
        <v>15</v>
      </c>
      <c r="C27" s="1807" t="s">
        <v>765</v>
      </c>
      <c r="D27" s="1821"/>
      <c r="E27" s="1822"/>
      <c r="F27" s="1342">
        <v>25.5</v>
      </c>
      <c r="G27" s="1391">
        <f>V27</f>
        <v>0</v>
      </c>
      <c r="H27" s="811">
        <v>0</v>
      </c>
      <c r="I27" s="811">
        <v>0</v>
      </c>
      <c r="J27" s="811">
        <v>0</v>
      </c>
      <c r="K27" s="811">
        <v>0</v>
      </c>
      <c r="L27" s="811">
        <v>0</v>
      </c>
      <c r="M27" s="811">
        <v>0</v>
      </c>
      <c r="N27" s="811">
        <v>0</v>
      </c>
      <c r="O27" s="811">
        <v>0</v>
      </c>
      <c r="P27" s="811">
        <v>0</v>
      </c>
      <c r="Q27" s="811">
        <v>0</v>
      </c>
      <c r="R27" s="811">
        <v>0</v>
      </c>
      <c r="S27" s="802">
        <f t="shared" si="7"/>
        <v>0</v>
      </c>
      <c r="T27" s="47"/>
      <c r="U27" s="1072">
        <f t="shared" si="8"/>
        <v>15</v>
      </c>
      <c r="V27" s="1302">
        <f>IF('K3 Resultat'!B9&gt;0,'K3 Resultat'!E20+'K3 Resultat'!E27+'K3 Resultat'!E31+'K3 Resultat'!E19-'K3 Resultat'!E24-'K3 Resultat'!E26,'FS3 Resultat'!E20+'FS3 Resultat'!E27+'FS3 Resultat'!E31+'FS3 Resultat'!E19-'FS3 Resultat'!E24-'FS3 Resultat'!E26)</f>
        <v>0</v>
      </c>
      <c r="W27" s="834"/>
      <c r="X27" s="617"/>
    </row>
    <row r="28" spans="1:34" ht="12" customHeight="1" x14ac:dyDescent="0.2">
      <c r="A28" s="29"/>
      <c r="B28" s="1548">
        <f t="shared" si="9"/>
        <v>16</v>
      </c>
      <c r="C28" s="1807" t="s">
        <v>440</v>
      </c>
      <c r="D28" s="1808"/>
      <c r="E28" s="1809"/>
      <c r="F28" s="1342">
        <v>25.5</v>
      </c>
      <c r="G28" s="811">
        <f t="shared" ref="G28:R29" si="14">$W28/12*(1+$F28/100)</f>
        <v>0</v>
      </c>
      <c r="H28" s="811">
        <f t="shared" si="14"/>
        <v>0</v>
      </c>
      <c r="I28" s="811">
        <f t="shared" si="14"/>
        <v>0</v>
      </c>
      <c r="J28" s="811">
        <f t="shared" si="14"/>
        <v>0</v>
      </c>
      <c r="K28" s="811">
        <f t="shared" si="14"/>
        <v>0</v>
      </c>
      <c r="L28" s="811">
        <f t="shared" si="14"/>
        <v>0</v>
      </c>
      <c r="M28" s="811">
        <f t="shared" si="14"/>
        <v>0</v>
      </c>
      <c r="N28" s="811">
        <f t="shared" si="14"/>
        <v>0</v>
      </c>
      <c r="O28" s="811">
        <f t="shared" si="14"/>
        <v>0</v>
      </c>
      <c r="P28" s="811">
        <f t="shared" si="14"/>
        <v>0</v>
      </c>
      <c r="Q28" s="811">
        <f t="shared" si="14"/>
        <v>0</v>
      </c>
      <c r="R28" s="811">
        <f t="shared" si="14"/>
        <v>0</v>
      </c>
      <c r="S28" s="802">
        <f t="shared" si="7"/>
        <v>0</v>
      </c>
      <c r="T28" s="47"/>
      <c r="U28" s="1072">
        <f t="shared" si="8"/>
        <v>16</v>
      </c>
      <c r="V28" s="834">
        <f t="shared" si="13"/>
        <v>0</v>
      </c>
      <c r="W28" s="834">
        <f>IF('K1 Kostnader'!C$9&gt;0,(IF('K1 Kostnader'!F$13=12,'K1 Kostnader'!F61-'K1 Kostnader'!F66,IF('K1 Kostnader'!F$13&lt;12,12*(('K1 Kostnader'!F61+'K1 Kostnader'!G61-'K1 Kostnader'!F66-'K1 Kostnader'!G66)/('K1 Kostnader'!F$13+'K1 Kostnader'!G$13)),12*('K1 Kostnader'!F61-'K1 Kostnader'!F66)/'K1 Kostnader'!F$13))),(IF('FS1 Kostnader '!F$13=12,'FS1 Kostnader '!F61-'FS1 Kostnader '!F66,IF('FS1 Kostnader '!F$13&lt;12,12*(('FS1 Kostnader '!F61+'FS1 Kostnader '!G61-'FS1 Kostnader '!F66-'FS1 Kostnader '!G66)/('FS1 Kostnader '!F$13+'FS1 Kostnader '!G$13)),12*('FS1 Kostnader '!F61-'FS1 Kostnader '!F66)/'FS1 Kostnader '!F$13))))</f>
        <v>0</v>
      </c>
      <c r="X28" s="617" t="s">
        <v>464</v>
      </c>
    </row>
    <row r="29" spans="1:34" ht="12" customHeight="1" x14ac:dyDescent="0.2">
      <c r="A29" s="29"/>
      <c r="B29" s="1548">
        <f t="shared" si="9"/>
        <v>17</v>
      </c>
      <c r="C29" s="1807" t="s">
        <v>833</v>
      </c>
      <c r="D29" s="1808"/>
      <c r="E29" s="1809"/>
      <c r="F29" s="1342">
        <v>25.5</v>
      </c>
      <c r="G29" s="811">
        <f t="shared" si="14"/>
        <v>0</v>
      </c>
      <c r="H29" s="811">
        <f t="shared" si="14"/>
        <v>0</v>
      </c>
      <c r="I29" s="811">
        <f t="shared" si="14"/>
        <v>0</v>
      </c>
      <c r="J29" s="811">
        <f t="shared" si="14"/>
        <v>0</v>
      </c>
      <c r="K29" s="811">
        <f t="shared" si="14"/>
        <v>0</v>
      </c>
      <c r="L29" s="811">
        <f t="shared" si="14"/>
        <v>0</v>
      </c>
      <c r="M29" s="811">
        <f t="shared" si="14"/>
        <v>0</v>
      </c>
      <c r="N29" s="811">
        <f t="shared" si="14"/>
        <v>0</v>
      </c>
      <c r="O29" s="811">
        <f t="shared" si="14"/>
        <v>0</v>
      </c>
      <c r="P29" s="811">
        <f t="shared" si="14"/>
        <v>0</v>
      </c>
      <c r="Q29" s="811">
        <f t="shared" si="14"/>
        <v>0</v>
      </c>
      <c r="R29" s="811">
        <f t="shared" si="14"/>
        <v>0</v>
      </c>
      <c r="S29" s="802">
        <f t="shared" si="7"/>
        <v>0</v>
      </c>
      <c r="T29" s="47"/>
      <c r="U29" s="1072">
        <f t="shared" si="8"/>
        <v>17</v>
      </c>
      <c r="V29" s="834">
        <f t="shared" si="13"/>
        <v>0</v>
      </c>
      <c r="W29" s="834">
        <f>IF('K1 Kostnader'!C$9&gt;0,(IF('K1 Kostnader'!F$13=12,'K1 Kostnader'!F54+'K1 Kostnader'!F55+'K1 Kostnader'!F56,IF('K1 Kostnader'!F$13&lt;12,12*(('K1 Kostnader'!F54+'K1 Kostnader'!G54+'K1 Kostnader'!F55+'K1 Kostnader'!G55+'K1 Kostnader'!F56+'K1 Kostnader'!G56)/('K1 Kostnader'!F$13+'K1 Kostnader'!G$13)),12*('K1 Kostnader'!F55+'K1 Kostnader'!F56+'K1 Kostnader'!F54)/'K1 Kostnader'!F$13))),(IF('FS1 Kostnader '!F$13=12,'FS1 Kostnader '!F54+'FS1 Kostnader '!F55+'FS1 Kostnader '!F56,IF('FS1 Kostnader '!F$13&lt;12,12*(('FS1 Kostnader '!F54+'FS1 Kostnader '!G54+'FS1 Kostnader '!F55+'FS1 Kostnader '!G55+'FS1 Kostnader '!F56+'FS1 Kostnader '!G56)/('FS1 Kostnader '!F$13+'FS1 Kostnader '!G$13)),12*('FS1 Kostnader '!F54+'FS1 Kostnader '!F55+'FS1 Kostnader '!F56)/'FS1 Kostnader '!F$13))))</f>
        <v>0</v>
      </c>
      <c r="X29" s="617" t="s">
        <v>461</v>
      </c>
    </row>
    <row r="30" spans="1:34" ht="12" customHeight="1" x14ac:dyDescent="0.2">
      <c r="A30" s="29"/>
      <c r="B30" s="1548">
        <f t="shared" si="9"/>
        <v>18</v>
      </c>
      <c r="C30" s="1807" t="s">
        <v>752</v>
      </c>
      <c r="D30" s="1821"/>
      <c r="E30" s="1822"/>
      <c r="F30" s="1342">
        <v>25.5</v>
      </c>
      <c r="G30" s="811">
        <f>Kassabudget!$W30/12*(1+$F30/100)</f>
        <v>0</v>
      </c>
      <c r="H30" s="811">
        <f>Kassabudget!$W30/12*(1+$F30/100)</f>
        <v>0</v>
      </c>
      <c r="I30" s="811">
        <f>Kassabudget!$W30/12*(1+$F30/100)</f>
        <v>0</v>
      </c>
      <c r="J30" s="811">
        <f>Kassabudget!$W30/12*(1+$F30/100)</f>
        <v>0</v>
      </c>
      <c r="K30" s="811">
        <f>Kassabudget!$W30/12*(1+$F30/100)</f>
        <v>0</v>
      </c>
      <c r="L30" s="811">
        <f>Kassabudget!$W30/12*(1+$F30/100)</f>
        <v>0</v>
      </c>
      <c r="M30" s="811">
        <f>Kassabudget!$W30/12*(1+$F30/100)</f>
        <v>0</v>
      </c>
      <c r="N30" s="811">
        <f>Kassabudget!$W30/12*(1+$F30/100)</f>
        <v>0</v>
      </c>
      <c r="O30" s="811">
        <f>Kassabudget!$W30/12*(1+$F30/100)</f>
        <v>0</v>
      </c>
      <c r="P30" s="811">
        <f>Kassabudget!$W30/12*(1+$F30/100)</f>
        <v>0</v>
      </c>
      <c r="Q30" s="811">
        <f>Kassabudget!$W30/12*(1+$F30/100)</f>
        <v>0</v>
      </c>
      <c r="R30" s="811">
        <f>Kassabudget!$W30/12*(1+$F30/100)</f>
        <v>0</v>
      </c>
      <c r="S30" s="802">
        <f t="shared" si="7"/>
        <v>0</v>
      </c>
      <c r="T30" s="47"/>
      <c r="U30" s="1072">
        <f>B30</f>
        <v>18</v>
      </c>
      <c r="V30" s="834">
        <f>W30*(1+Kassabudget!F30/100)</f>
        <v>0</v>
      </c>
      <c r="W30" s="834">
        <f>IF('K1 Kostnader'!C$9&gt;0,(IF('K1 Kostnader'!F$13=12,'K1 Kostnader'!F74-'K1 Kostnader'!F75,IF('K1 Kostnader'!F$13&lt;12,12*(('K1 Kostnader'!F74+'K1 Kostnader'!G74-'K1 Kostnader'!F75-'K1 Kostnader'!G75)/('K1 Kostnader'!F$13+'K1 Kostnader'!G$13)),12*('K1 Kostnader'!F74-'K1 Kostnader'!F75)/'K1 Kostnader'!F$13))),(IF('FS1 Kostnader '!F$13=12,'FS1 Kostnader '!F74-'FS1 Kostnader '!F75,IF('FS1 Kostnader '!F$13&lt;12,12*(('FS1 Kostnader '!F74+'FS1 Kostnader '!G74-'FS1 Kostnader '!F75-'FS1 Kostnader '!G75)/('FS1 Kostnader '!F$13+'FS1 Kostnader '!G$13)),12*('FS1 Kostnader '!F74-'FS1 Kostnader '!F75)/'FS1 Kostnader '!F$13))))</f>
        <v>0</v>
      </c>
      <c r="X30" s="617" t="s">
        <v>465</v>
      </c>
    </row>
    <row r="31" spans="1:34" ht="12" customHeight="1" x14ac:dyDescent="0.2">
      <c r="A31" s="29"/>
      <c r="B31" s="1548">
        <f t="shared" si="9"/>
        <v>19</v>
      </c>
      <c r="C31" s="1807" t="s">
        <v>753</v>
      </c>
      <c r="D31" s="1808"/>
      <c r="E31" s="1809"/>
      <c r="F31" s="1342">
        <v>25.5</v>
      </c>
      <c r="G31" s="811">
        <f>Kassabudget!$W31/12*(1+$F31/100)</f>
        <v>0</v>
      </c>
      <c r="H31" s="811">
        <f>Kassabudget!$W31/12*(1+$F31/100)</f>
        <v>0</v>
      </c>
      <c r="I31" s="811">
        <f>Kassabudget!$W31/12*(1+$F31/100)</f>
        <v>0</v>
      </c>
      <c r="J31" s="811">
        <f>Kassabudget!$W31/12*(1+$F31/100)</f>
        <v>0</v>
      </c>
      <c r="K31" s="811">
        <f>Kassabudget!$W31/12*(1+$F31/100)</f>
        <v>0</v>
      </c>
      <c r="L31" s="811">
        <f>Kassabudget!$W31/12*(1+$F31/100)</f>
        <v>0</v>
      </c>
      <c r="M31" s="811">
        <f>Kassabudget!$W31/12*(1+$F31/100)</f>
        <v>0</v>
      </c>
      <c r="N31" s="811">
        <f>Kassabudget!$W31/12*(1+$F31/100)</f>
        <v>0</v>
      </c>
      <c r="O31" s="811">
        <f>Kassabudget!$W31/12*(1+$F31/100)</f>
        <v>0</v>
      </c>
      <c r="P31" s="811">
        <f>Kassabudget!$W31/12*(1+$F31/100)</f>
        <v>0</v>
      </c>
      <c r="Q31" s="811">
        <f>Kassabudget!$W31/12*(1+$F31/100)</f>
        <v>0</v>
      </c>
      <c r="R31" s="811">
        <f>Kassabudget!$W31/12*(1+$F31/100)</f>
        <v>0</v>
      </c>
      <c r="S31" s="802">
        <f t="shared" si="7"/>
        <v>0</v>
      </c>
      <c r="T31" s="47"/>
      <c r="U31" s="1072">
        <f>B31</f>
        <v>19</v>
      </c>
      <c r="V31" s="834">
        <f>W31*(1+Kassabudget!F31/100)</f>
        <v>0</v>
      </c>
      <c r="W31" s="834">
        <f>IF('K1 Kostnader'!C$9&gt;0,(IF('K1 Kostnader'!F$13=12,'K1 Kostnader'!F69,IF('K1 Kostnader'!F$13&lt;12,12*(('K1 Kostnader'!F69+'K1 Kostnader'!G69)/('K1 Kostnader'!F$13+'K1 Kostnader'!G$13)),12*'K1 Kostnader'!F69/'K1 Kostnader'!F$13))),(IF('FS1 Kostnader '!F$13=12,'FS1 Kostnader '!F69,IF('FS1 Kostnader '!F$13&lt;12,12*(('FS1 Kostnader '!F69+'FS1 Kostnader '!G69)/('FS1 Kostnader '!F$13+'FS1 Kostnader '!G$13)),12*'FS1 Kostnader '!F69/'FS1 Kostnader '!F$13))))</f>
        <v>0</v>
      </c>
      <c r="X31" s="617" t="s">
        <v>466</v>
      </c>
    </row>
    <row r="32" spans="1:34" ht="12" customHeight="1" x14ac:dyDescent="0.2">
      <c r="A32" s="29"/>
      <c r="B32" s="1548">
        <f t="shared" si="9"/>
        <v>20</v>
      </c>
      <c r="C32" s="1807" t="s">
        <v>766</v>
      </c>
      <c r="D32" s="1821"/>
      <c r="E32" s="1846"/>
      <c r="F32" s="1576"/>
      <c r="G32" s="811">
        <f t="shared" ref="G32:R32" si="15">$V32/12*(1+$F32/100)</f>
        <v>0</v>
      </c>
      <c r="H32" s="811">
        <f t="shared" si="15"/>
        <v>0</v>
      </c>
      <c r="I32" s="811">
        <f t="shared" si="15"/>
        <v>0</v>
      </c>
      <c r="J32" s="811">
        <f t="shared" si="15"/>
        <v>0</v>
      </c>
      <c r="K32" s="811">
        <f t="shared" si="15"/>
        <v>0</v>
      </c>
      <c r="L32" s="811">
        <f t="shared" si="15"/>
        <v>0</v>
      </c>
      <c r="M32" s="811">
        <f t="shared" si="15"/>
        <v>0</v>
      </c>
      <c r="N32" s="811">
        <f t="shared" si="15"/>
        <v>0</v>
      </c>
      <c r="O32" s="811">
        <f t="shared" si="15"/>
        <v>0</v>
      </c>
      <c r="P32" s="811">
        <f t="shared" si="15"/>
        <v>0</v>
      </c>
      <c r="Q32" s="811">
        <f t="shared" si="15"/>
        <v>0</v>
      </c>
      <c r="R32" s="811">
        <f t="shared" si="15"/>
        <v>0</v>
      </c>
      <c r="S32" s="802">
        <f t="shared" si="7"/>
        <v>0</v>
      </c>
      <c r="T32" s="47"/>
      <c r="U32" s="1072">
        <f t="shared" ref="U32:U42" si="16">B32</f>
        <v>20</v>
      </c>
      <c r="V32" s="834">
        <f>'2 AT Palkat, alv'!T83</f>
        <v>0</v>
      </c>
      <c r="W32" s="834">
        <f>'2 AT Palkat, alv'!U83</f>
        <v>0</v>
      </c>
      <c r="X32" s="617"/>
    </row>
    <row r="33" spans="1:27" ht="12" customHeight="1" x14ac:dyDescent="0.2">
      <c r="A33" s="29"/>
      <c r="B33" s="1548">
        <f t="shared" si="9"/>
        <v>21</v>
      </c>
      <c r="C33" s="1847" t="s">
        <v>848</v>
      </c>
      <c r="D33" s="1808"/>
      <c r="E33" s="1808"/>
      <c r="F33" s="1809"/>
      <c r="G33" s="848">
        <v>0</v>
      </c>
      <c r="H33" s="848">
        <v>0</v>
      </c>
      <c r="I33" s="849">
        <f>'2 AT Palkat, alv'!E78</f>
        <v>0</v>
      </c>
      <c r="J33" s="849">
        <f>'2 AT Palkat, alv'!F78</f>
        <v>0</v>
      </c>
      <c r="K33" s="849">
        <f>'2 AT Palkat, alv'!G78</f>
        <v>0</v>
      </c>
      <c r="L33" s="849">
        <f>'2 AT Palkat, alv'!H78</f>
        <v>0</v>
      </c>
      <c r="M33" s="849">
        <f>'2 AT Palkat, alv'!I78</f>
        <v>0</v>
      </c>
      <c r="N33" s="849">
        <f>'2 AT Palkat, alv'!J78</f>
        <v>0</v>
      </c>
      <c r="O33" s="849">
        <f>'2 AT Palkat, alv'!K78</f>
        <v>0</v>
      </c>
      <c r="P33" s="849">
        <f>'2 AT Palkat, alv'!L78</f>
        <v>0</v>
      </c>
      <c r="Q33" s="849">
        <f>'2 AT Palkat, alv'!M78</f>
        <v>0</v>
      </c>
      <c r="R33" s="849">
        <f>'2 AT Palkat, alv'!N78</f>
        <v>0</v>
      </c>
      <c r="S33" s="802">
        <f t="shared" si="7"/>
        <v>0</v>
      </c>
      <c r="T33" s="47"/>
      <c r="U33" s="1072">
        <f t="shared" si="16"/>
        <v>21</v>
      </c>
      <c r="V33" s="1537"/>
      <c r="W33" s="1538"/>
      <c r="X33" s="617"/>
    </row>
    <row r="34" spans="1:27" ht="12" customHeight="1" x14ac:dyDescent="0.2">
      <c r="A34" s="29"/>
      <c r="B34" s="1548">
        <f t="shared" si="9"/>
        <v>22</v>
      </c>
      <c r="C34" s="1807" t="s">
        <v>441</v>
      </c>
      <c r="D34" s="1808"/>
      <c r="E34" s="1808"/>
      <c r="F34" s="1809"/>
      <c r="G34" s="849">
        <f>('2 AT Palkat, alv'!E13+'2 AT Palkat, alv'!E29)</f>
        <v>0</v>
      </c>
      <c r="H34" s="849">
        <f>('2 AT Palkat, alv'!F13+'2 AT Palkat, alv'!F29)</f>
        <v>0</v>
      </c>
      <c r="I34" s="849">
        <f>('2 AT Palkat, alv'!G13+'2 AT Palkat, alv'!G29)</f>
        <v>0</v>
      </c>
      <c r="J34" s="849">
        <f>('2 AT Palkat, alv'!H13+'2 AT Palkat, alv'!H29)</f>
        <v>0</v>
      </c>
      <c r="K34" s="849">
        <f>('2 AT Palkat, alv'!I13+'2 AT Palkat, alv'!I29)</f>
        <v>0</v>
      </c>
      <c r="L34" s="849">
        <f>('2 AT Palkat, alv'!J13+'2 AT Palkat, alv'!J29)</f>
        <v>0</v>
      </c>
      <c r="M34" s="849">
        <f>('2 AT Palkat, alv'!K13+'2 AT Palkat, alv'!K29)</f>
        <v>0</v>
      </c>
      <c r="N34" s="849">
        <f>('2 AT Palkat, alv'!L13+'2 AT Palkat, alv'!L29)</f>
        <v>0</v>
      </c>
      <c r="O34" s="849">
        <f>('2 AT Palkat, alv'!M13+'2 AT Palkat, alv'!M29)</f>
        <v>0</v>
      </c>
      <c r="P34" s="849">
        <f>('2 AT Palkat, alv'!N13+'2 AT Palkat, alv'!N29)</f>
        <v>0</v>
      </c>
      <c r="Q34" s="849">
        <f>('2 AT Palkat, alv'!O13+'2 AT Palkat, alv'!O29)</f>
        <v>0</v>
      </c>
      <c r="R34" s="849">
        <f>('2 AT Palkat, alv'!P13+'2 AT Palkat, alv'!P29)</f>
        <v>0</v>
      </c>
      <c r="S34" s="802">
        <f t="shared" si="7"/>
        <v>0</v>
      </c>
      <c r="T34" s="47"/>
      <c r="U34" s="1072">
        <f t="shared" si="16"/>
        <v>22</v>
      </c>
      <c r="V34" s="1539"/>
      <c r="W34" s="1538"/>
      <c r="X34" s="617"/>
    </row>
    <row r="35" spans="1:27" ht="12" customHeight="1" x14ac:dyDescent="0.2">
      <c r="B35" s="1563"/>
      <c r="C35" s="1352" t="s">
        <v>136</v>
      </c>
      <c r="D35" s="1603" t="s">
        <v>747</v>
      </c>
      <c r="E35" s="1603"/>
      <c r="F35" s="1575">
        <v>29</v>
      </c>
      <c r="G35" s="808">
        <f t="shared" ref="G35:R38" si="17">$W35/12</f>
        <v>0</v>
      </c>
      <c r="H35" s="808">
        <f t="shared" si="17"/>
        <v>0</v>
      </c>
      <c r="I35" s="808">
        <f t="shared" si="17"/>
        <v>0</v>
      </c>
      <c r="J35" s="808">
        <f t="shared" si="17"/>
        <v>0</v>
      </c>
      <c r="K35" s="808">
        <f t="shared" si="17"/>
        <v>0</v>
      </c>
      <c r="L35" s="808">
        <f t="shared" si="17"/>
        <v>0</v>
      </c>
      <c r="M35" s="808">
        <f t="shared" si="17"/>
        <v>0</v>
      </c>
      <c r="N35" s="808">
        <f t="shared" si="17"/>
        <v>0</v>
      </c>
      <c r="O35" s="808">
        <f t="shared" si="17"/>
        <v>0</v>
      </c>
      <c r="P35" s="808">
        <f t="shared" si="17"/>
        <v>0</v>
      </c>
      <c r="Q35" s="808">
        <f t="shared" si="17"/>
        <v>0</v>
      </c>
      <c r="R35" s="808">
        <f t="shared" si="17"/>
        <v>0</v>
      </c>
      <c r="S35" s="809">
        <f t="shared" si="7"/>
        <v>0</v>
      </c>
      <c r="T35" s="218"/>
      <c r="U35" s="1072">
        <f t="shared" si="16"/>
        <v>0</v>
      </c>
      <c r="V35" s="844"/>
      <c r="W35" s="834">
        <f>IF('K1 Kostnader'!$C$9&gt;0,(IF('K1 Kostnader'!$F$13=12,'K1 Kostnader'!$F14,IF('K1 Kostnader'!$F$13&lt;12,12*(('K1 Kostnader'!$F14+'K1 Kostnader'!$G14)/('K1 Kostnader'!$F$13+'K1 Kostnader'!$G$13)),12*'K1 Kostnader'!$F14/'K1 Kostnader'!$F$13))),(IF('FS1 Kostnader '!$F$13=12,'FS1 Kostnader '!$F14,IF('FS1 Kostnader '!$F$13&lt;12,12*(('FS1 Kostnader '!$F14+'FS1 Kostnader '!$G14)/('FS1 Kostnader '!$F$13+'FS1 Kostnader '!$G$13)),12*'FS1 Kostnader '!$F14/'FS1 Kostnader '!$F$13))))</f>
        <v>0</v>
      </c>
      <c r="X35" s="617" t="s">
        <v>467</v>
      </c>
      <c r="Y35" s="8"/>
      <c r="Z35" s="8"/>
      <c r="AA35" s="8"/>
    </row>
    <row r="36" spans="1:27" ht="12" customHeight="1" x14ac:dyDescent="0.2">
      <c r="B36" s="1564"/>
      <c r="C36" s="1352" t="s">
        <v>137</v>
      </c>
      <c r="D36" s="1603" t="s">
        <v>748</v>
      </c>
      <c r="E36" s="1620"/>
      <c r="F36" s="1672"/>
      <c r="G36" s="808">
        <f t="shared" si="17"/>
        <v>0</v>
      </c>
      <c r="H36" s="808">
        <f t="shared" si="17"/>
        <v>0</v>
      </c>
      <c r="I36" s="808">
        <f t="shared" si="17"/>
        <v>0</v>
      </c>
      <c r="J36" s="808">
        <f t="shared" si="17"/>
        <v>0</v>
      </c>
      <c r="K36" s="808">
        <f t="shared" si="17"/>
        <v>0</v>
      </c>
      <c r="L36" s="808">
        <f t="shared" si="17"/>
        <v>0</v>
      </c>
      <c r="M36" s="808">
        <f t="shared" si="17"/>
        <v>0</v>
      </c>
      <c r="N36" s="808">
        <f t="shared" si="17"/>
        <v>0</v>
      </c>
      <c r="O36" s="808">
        <f t="shared" si="17"/>
        <v>0</v>
      </c>
      <c r="P36" s="808">
        <f t="shared" si="17"/>
        <v>0</v>
      </c>
      <c r="Q36" s="808">
        <f t="shared" si="17"/>
        <v>0</v>
      </c>
      <c r="R36" s="808">
        <f t="shared" si="17"/>
        <v>0</v>
      </c>
      <c r="S36" s="809">
        <f t="shared" si="7"/>
        <v>0</v>
      </c>
      <c r="T36" s="218"/>
      <c r="U36" s="1072">
        <f t="shared" si="16"/>
        <v>0</v>
      </c>
      <c r="V36" s="844"/>
      <c r="W36" s="834">
        <f>IF('K1 Kostnader'!$C$9&gt;0,(IF('K1 Kostnader'!$F$13=12,'K1 Kostnader'!$F17*('K1 Kostnader'!F18),IF('K1 Kostnader'!$F$13&lt;12,12*(('K1 Kostnader'!$F17*('K1 Kostnader'!F18)+'K1 Kostnader'!$G17*('K1 Kostnader'!G18))/('K1 Kostnader'!$F$13+'K1 Kostnader'!$G$13)),12*'K1 Kostnader'!$F17*('K1 Kostnader'!F18)/'K1 Kostnader'!$F$13))),(IF('FS1 Kostnader '!$F$13=12,'FS1 Kostnader '!$F17*('FS1 Kostnader '!F18),IF('FS1 Kostnader '!$F$13&lt;12,12*(('FS1 Kostnader '!$F17*('FS1 Kostnader '!F18)+'FS1 Kostnader '!$G17*('FS1 Kostnader '!G18))/('FS1 Kostnader '!$F$13+'FS1 Kostnader '!$G$13)),12*'FS1 Kostnader '!$F17*('FS1 Kostnader '!F18)/'FS1 Kostnader '!$F$13))))</f>
        <v>0</v>
      </c>
      <c r="X36" s="617" t="s">
        <v>467</v>
      </c>
      <c r="Y36" s="8"/>
      <c r="Z36" s="8"/>
      <c r="AA36" s="8"/>
    </row>
    <row r="37" spans="1:27" ht="12" customHeight="1" x14ac:dyDescent="0.2">
      <c r="B37" s="1564"/>
      <c r="C37" s="1352" t="s">
        <v>138</v>
      </c>
      <c r="D37" s="1603" t="s">
        <v>749</v>
      </c>
      <c r="E37" s="1672"/>
      <c r="F37" s="1353">
        <v>20</v>
      </c>
      <c r="G37" s="808">
        <f t="shared" si="17"/>
        <v>0</v>
      </c>
      <c r="H37" s="808">
        <f t="shared" si="17"/>
        <v>0</v>
      </c>
      <c r="I37" s="808">
        <f t="shared" si="17"/>
        <v>0</v>
      </c>
      <c r="J37" s="808">
        <f t="shared" si="17"/>
        <v>0</v>
      </c>
      <c r="K37" s="808">
        <f t="shared" si="17"/>
        <v>0</v>
      </c>
      <c r="L37" s="808">
        <f t="shared" si="17"/>
        <v>0</v>
      </c>
      <c r="M37" s="808">
        <f t="shared" si="17"/>
        <v>0</v>
      </c>
      <c r="N37" s="808">
        <f t="shared" si="17"/>
        <v>0</v>
      </c>
      <c r="O37" s="808">
        <f t="shared" si="17"/>
        <v>0</v>
      </c>
      <c r="P37" s="808">
        <f t="shared" si="17"/>
        <v>0</v>
      </c>
      <c r="Q37" s="808">
        <f t="shared" si="17"/>
        <v>0</v>
      </c>
      <c r="R37" s="808">
        <f t="shared" si="17"/>
        <v>0</v>
      </c>
      <c r="S37" s="809">
        <f t="shared" si="7"/>
        <v>0</v>
      </c>
      <c r="T37" s="218"/>
      <c r="U37" s="1072">
        <f t="shared" si="16"/>
        <v>0</v>
      </c>
      <c r="V37" s="844"/>
      <c r="W37" s="834">
        <f>IF(Lönekostnader!C$10=12,Lönekostnader!C83,IF(Lönekostnader!C$10&lt;12,12*(Lönekostnader!C83+Lönekostnader!D83)/(Lönekostnader!C$10+Lönekostnader!D$10),12*Lönekostnader!C83/Lönekostnader!C$10))</f>
        <v>0</v>
      </c>
      <c r="X37" s="617" t="s">
        <v>470</v>
      </c>
      <c r="Y37" s="8"/>
      <c r="Z37" s="8"/>
      <c r="AA37" s="8"/>
    </row>
    <row r="38" spans="1:27" ht="12" customHeight="1" x14ac:dyDescent="0.2">
      <c r="B38" s="1564"/>
      <c r="C38" s="1352" t="s">
        <v>139</v>
      </c>
      <c r="D38" s="1603" t="s">
        <v>750</v>
      </c>
      <c r="E38" s="1620"/>
      <c r="F38" s="1672"/>
      <c r="G38" s="808">
        <f t="shared" si="17"/>
        <v>0</v>
      </c>
      <c r="H38" s="808">
        <f t="shared" si="17"/>
        <v>0</v>
      </c>
      <c r="I38" s="808">
        <f t="shared" si="17"/>
        <v>0</v>
      </c>
      <c r="J38" s="808">
        <f t="shared" si="17"/>
        <v>0</v>
      </c>
      <c r="K38" s="808">
        <f t="shared" si="17"/>
        <v>0</v>
      </c>
      <c r="L38" s="808">
        <f t="shared" si="17"/>
        <v>0</v>
      </c>
      <c r="M38" s="808">
        <f t="shared" si="17"/>
        <v>0</v>
      </c>
      <c r="N38" s="808">
        <f t="shared" si="17"/>
        <v>0</v>
      </c>
      <c r="O38" s="808">
        <f t="shared" si="17"/>
        <v>0</v>
      </c>
      <c r="P38" s="808">
        <f t="shared" si="17"/>
        <v>0</v>
      </c>
      <c r="Q38" s="808">
        <f t="shared" si="17"/>
        <v>0</v>
      </c>
      <c r="R38" s="808">
        <f t="shared" si="17"/>
        <v>0</v>
      </c>
      <c r="S38" s="809">
        <f t="shared" si="7"/>
        <v>0</v>
      </c>
      <c r="T38" s="218"/>
      <c r="U38" s="1072">
        <f t="shared" si="16"/>
        <v>0</v>
      </c>
      <c r="V38" s="844"/>
      <c r="W38" s="834">
        <f>IF('K1 Kostnader'!$C$9&gt;0,(IF('K1 Kostnader'!$F$13=12,Lönekostnader!C84,IF('K1 Kostnader'!$F$13&lt;12,12*((Lönekostnader!C84+Lönekostnader!D84)/('K1 Kostnader'!$F$13+'K1 Kostnader'!$G$13)),12*Lönekostnader!C84/'K1 Kostnader'!$F$13))),(IF('FS1 Kostnader '!$F$13=12,Lönekostnader!C84,IF('FS1 Kostnader '!$F$13&lt;12,12*((Lönekostnader!C84+Lönekostnader!D84)/('FS1 Kostnader '!$F$13+'FS1 Kostnader '!$G$13)),12*Lönekostnader!C84/'FS1 Kostnader '!$F$13))))</f>
        <v>0</v>
      </c>
      <c r="X38" s="617" t="s">
        <v>469</v>
      </c>
      <c r="Y38" s="8"/>
      <c r="Z38" s="8"/>
      <c r="AA38" s="8"/>
    </row>
    <row r="39" spans="1:27" ht="12" customHeight="1" x14ac:dyDescent="0.2">
      <c r="B39" s="1565"/>
      <c r="C39" s="1352" t="s">
        <v>140</v>
      </c>
      <c r="D39" s="1603" t="s">
        <v>751</v>
      </c>
      <c r="E39" s="1672"/>
      <c r="F39" s="1353">
        <v>8.06</v>
      </c>
      <c r="G39" s="810">
        <f>(G37+G38)*$F39%</f>
        <v>0</v>
      </c>
      <c r="H39" s="810">
        <f t="shared" ref="H39:R39" si="18">(H37+H38)*$F39%</f>
        <v>0</v>
      </c>
      <c r="I39" s="810">
        <f t="shared" si="18"/>
        <v>0</v>
      </c>
      <c r="J39" s="810">
        <f t="shared" si="18"/>
        <v>0</v>
      </c>
      <c r="K39" s="810">
        <f t="shared" si="18"/>
        <v>0</v>
      </c>
      <c r="L39" s="810">
        <f t="shared" si="18"/>
        <v>0</v>
      </c>
      <c r="M39" s="810">
        <f t="shared" si="18"/>
        <v>0</v>
      </c>
      <c r="N39" s="810">
        <f t="shared" si="18"/>
        <v>0</v>
      </c>
      <c r="O39" s="810">
        <f t="shared" si="18"/>
        <v>0</v>
      </c>
      <c r="P39" s="810">
        <f t="shared" si="18"/>
        <v>0</v>
      </c>
      <c r="Q39" s="810">
        <f t="shared" si="18"/>
        <v>0</v>
      </c>
      <c r="R39" s="810">
        <f t="shared" si="18"/>
        <v>0</v>
      </c>
      <c r="S39" s="809">
        <f t="shared" si="7"/>
        <v>0</v>
      </c>
      <c r="T39" s="218"/>
      <c r="U39" s="1072">
        <f t="shared" si="16"/>
        <v>0</v>
      </c>
      <c r="V39" s="1540"/>
      <c r="W39" s="1541"/>
      <c r="X39" s="617"/>
      <c r="Y39" s="8"/>
      <c r="Z39" s="8"/>
      <c r="AA39" s="8"/>
    </row>
    <row r="40" spans="1:27" ht="12" customHeight="1" x14ac:dyDescent="0.2">
      <c r="A40" s="29"/>
      <c r="B40" s="1548">
        <f>B34+1</f>
        <v>23</v>
      </c>
      <c r="C40" s="1807" t="s">
        <v>442</v>
      </c>
      <c r="D40" s="1808"/>
      <c r="E40" s="1808"/>
      <c r="F40" s="1809"/>
      <c r="G40" s="811">
        <v>0</v>
      </c>
      <c r="H40" s="811">
        <f>('2 AT Palkat, alv'!E14+'2 AT Palkat, alv'!E30)</f>
        <v>0</v>
      </c>
      <c r="I40" s="811">
        <f>('2 AT Palkat, alv'!F14+'2 AT Palkat, alv'!F30)</f>
        <v>0</v>
      </c>
      <c r="J40" s="811">
        <f>('2 AT Palkat, alv'!G14+'2 AT Palkat, alv'!G30)</f>
        <v>0</v>
      </c>
      <c r="K40" s="811">
        <f>('2 AT Palkat, alv'!H14+'2 AT Palkat, alv'!H30)</f>
        <v>0</v>
      </c>
      <c r="L40" s="811">
        <f>('2 AT Palkat, alv'!I14+'2 AT Palkat, alv'!I30)</f>
        <v>0</v>
      </c>
      <c r="M40" s="811">
        <f>('2 AT Palkat, alv'!J14+'2 AT Palkat, alv'!J30)</f>
        <v>0</v>
      </c>
      <c r="N40" s="811">
        <f>('2 AT Palkat, alv'!K14+'2 AT Palkat, alv'!K30)</f>
        <v>0</v>
      </c>
      <c r="O40" s="811">
        <f>('2 AT Palkat, alv'!L14+'2 AT Palkat, alv'!L30)</f>
        <v>0</v>
      </c>
      <c r="P40" s="811">
        <f>('2 AT Palkat, alv'!M14+'2 AT Palkat, alv'!M30)</f>
        <v>0</v>
      </c>
      <c r="Q40" s="811">
        <f>('2 AT Palkat, alv'!N14+'2 AT Palkat, alv'!N30)</f>
        <v>0</v>
      </c>
      <c r="R40" s="811">
        <f>('2 AT Palkat, alv'!O14+'2 AT Palkat, alv'!O30)</f>
        <v>0</v>
      </c>
      <c r="S40" s="802">
        <f t="shared" si="7"/>
        <v>0</v>
      </c>
      <c r="T40" s="47"/>
      <c r="U40" s="1072">
        <f t="shared" si="16"/>
        <v>23</v>
      </c>
      <c r="V40" s="843"/>
      <c r="W40" s="834"/>
      <c r="X40" s="617"/>
    </row>
    <row r="41" spans="1:27" ht="12" customHeight="1" x14ac:dyDescent="0.2">
      <c r="A41" s="29"/>
      <c r="B41" s="1548">
        <f t="shared" ref="B41:B54" si="19">B40+1</f>
        <v>24</v>
      </c>
      <c r="C41" s="1807" t="s">
        <v>540</v>
      </c>
      <c r="D41" s="1808"/>
      <c r="E41" s="1808"/>
      <c r="F41" s="1809"/>
      <c r="G41" s="811">
        <f t="shared" ref="G41:R45" si="20">$W41/12</f>
        <v>0</v>
      </c>
      <c r="H41" s="811">
        <f t="shared" si="20"/>
        <v>0</v>
      </c>
      <c r="I41" s="811">
        <f t="shared" si="20"/>
        <v>0</v>
      </c>
      <c r="J41" s="811">
        <f t="shared" si="20"/>
        <v>0</v>
      </c>
      <c r="K41" s="811">
        <f t="shared" si="20"/>
        <v>0</v>
      </c>
      <c r="L41" s="811">
        <f t="shared" si="20"/>
        <v>0</v>
      </c>
      <c r="M41" s="811">
        <f t="shared" si="20"/>
        <v>0</v>
      </c>
      <c r="N41" s="811">
        <f t="shared" si="20"/>
        <v>0</v>
      </c>
      <c r="O41" s="811">
        <f t="shared" si="20"/>
        <v>0</v>
      </c>
      <c r="P41" s="811">
        <f t="shared" si="20"/>
        <v>0</v>
      </c>
      <c r="Q41" s="811">
        <f t="shared" si="20"/>
        <v>0</v>
      </c>
      <c r="R41" s="811">
        <f t="shared" si="20"/>
        <v>0</v>
      </c>
      <c r="S41" s="802">
        <f t="shared" si="7"/>
        <v>0</v>
      </c>
      <c r="T41" s="47"/>
      <c r="U41" s="1072">
        <f t="shared" si="16"/>
        <v>24</v>
      </c>
      <c r="V41" s="843"/>
      <c r="W41" s="834">
        <f>IF('K1 Kostnader'!$C$9&gt;0,(IF('K1 Kostnader'!$F$13=12,'K1 Kostnader'!$F30+'K1 Kostnader'!F38,IF('K1 Kostnader'!F$13&lt;12,12*(('K1 Kostnader'!F30+'K1 Kostnader'!G30+'K1 Kostnader'!F38+'K1 Kostnader'!G38)/('K1 Kostnader'!F$13+'K1 Kostnader'!G$13)),12*('K1 Kostnader'!F30+'K1 Kostnader'!F38)/'K1 Kostnader'!F$13))),(IF('FS1 Kostnader '!F$13=12,'FS1 Kostnader '!F30+'FS1 Kostnader '!F38,IF('FS1 Kostnader '!F$13&lt;12,12*(('FS1 Kostnader '!F30+'FS1 Kostnader '!G30+'FS1 Kostnader '!F38+'FS1 Kostnader '!G38)/('FS1 Kostnader '!F$13+'FS1 Kostnader '!G$13)),12*('FS1 Kostnader '!F30+'FS1 Kostnader '!F38)/'FS1 Kostnader '!F$13))))</f>
        <v>0</v>
      </c>
      <c r="X41" s="617" t="s">
        <v>468</v>
      </c>
    </row>
    <row r="42" spans="1:27" ht="12" customHeight="1" x14ac:dyDescent="0.2">
      <c r="A42" s="29"/>
      <c r="B42" s="1548">
        <f t="shared" si="19"/>
        <v>25</v>
      </c>
      <c r="C42" s="1807" t="s">
        <v>443</v>
      </c>
      <c r="D42" s="1821"/>
      <c r="E42" s="1822"/>
      <c r="F42" s="1345">
        <v>26.68</v>
      </c>
      <c r="G42" s="811">
        <f>$F42%*(G37+G38)</f>
        <v>0</v>
      </c>
      <c r="H42" s="811">
        <f t="shared" ref="H42:R42" si="21">$F42%*(H37+H38)</f>
        <v>0</v>
      </c>
      <c r="I42" s="811">
        <f t="shared" si="21"/>
        <v>0</v>
      </c>
      <c r="J42" s="811">
        <f t="shared" si="21"/>
        <v>0</v>
      </c>
      <c r="K42" s="811">
        <f t="shared" si="21"/>
        <v>0</v>
      </c>
      <c r="L42" s="811">
        <f t="shared" si="21"/>
        <v>0</v>
      </c>
      <c r="M42" s="811">
        <f t="shared" si="21"/>
        <v>0</v>
      </c>
      <c r="N42" s="811">
        <f t="shared" si="21"/>
        <v>0</v>
      </c>
      <c r="O42" s="811">
        <f t="shared" si="21"/>
        <v>0</v>
      </c>
      <c r="P42" s="811">
        <f t="shared" si="21"/>
        <v>0</v>
      </c>
      <c r="Q42" s="811">
        <f t="shared" si="21"/>
        <v>0</v>
      </c>
      <c r="R42" s="811">
        <f t="shared" si="21"/>
        <v>0</v>
      </c>
      <c r="S42" s="802">
        <f t="shared" si="7"/>
        <v>0</v>
      </c>
      <c r="T42" s="47"/>
      <c r="U42" s="1072">
        <f t="shared" si="16"/>
        <v>25</v>
      </c>
      <c r="V42" s="843"/>
      <c r="W42" s="834"/>
      <c r="X42" s="617" t="s">
        <v>470</v>
      </c>
    </row>
    <row r="43" spans="1:27" ht="12" customHeight="1" x14ac:dyDescent="0.2">
      <c r="A43" s="29"/>
      <c r="B43" s="1548">
        <f t="shared" si="19"/>
        <v>26</v>
      </c>
      <c r="C43" s="1807" t="s">
        <v>444</v>
      </c>
      <c r="D43" s="1821"/>
      <c r="E43" s="1821"/>
      <c r="F43" s="1346"/>
      <c r="G43" s="811">
        <f t="shared" si="20"/>
        <v>0</v>
      </c>
      <c r="H43" s="811">
        <f t="shared" si="20"/>
        <v>0</v>
      </c>
      <c r="I43" s="811">
        <f t="shared" si="20"/>
        <v>0</v>
      </c>
      <c r="J43" s="811">
        <f t="shared" si="20"/>
        <v>0</v>
      </c>
      <c r="K43" s="811">
        <f t="shared" si="20"/>
        <v>0</v>
      </c>
      <c r="L43" s="811">
        <f t="shared" si="20"/>
        <v>0</v>
      </c>
      <c r="M43" s="811">
        <f t="shared" si="20"/>
        <v>0</v>
      </c>
      <c r="N43" s="811">
        <f t="shared" si="20"/>
        <v>0</v>
      </c>
      <c r="O43" s="811">
        <f t="shared" si="20"/>
        <v>0</v>
      </c>
      <c r="P43" s="811">
        <f t="shared" si="20"/>
        <v>0</v>
      </c>
      <c r="Q43" s="811">
        <f t="shared" si="20"/>
        <v>0</v>
      </c>
      <c r="R43" s="811">
        <f t="shared" si="20"/>
        <v>0</v>
      </c>
      <c r="S43" s="812">
        <f t="shared" si="7"/>
        <v>0</v>
      </c>
      <c r="T43" s="274"/>
      <c r="U43" s="1072">
        <f>B43</f>
        <v>26</v>
      </c>
      <c r="V43" s="844"/>
      <c r="W43" s="834">
        <f>IF('K1 Kostnader'!C$9&gt;0,(IF('K1 Kostnader'!F$13=12,'K1 Kostnader'!F35+'K1 Kostnader'!F40,IF('K1 Kostnader'!F$13&lt;12,12*(('K1 Kostnader'!F35+'K1 Kostnader'!F40+'K1 Kostnader'!G35+'K1 Kostnader'!G40)/('K1 Kostnader'!F$13+'K1 Kostnader'!G$13)),12*('K1 Kostnader'!F35+'K1 Kostnader'!F40)/'K1 Kostnader'!F$13))),(IF('FS1 Kostnader '!F$13=12,'FS1 Kostnader '!F35+'FS1 Kostnader '!F40,IF('FS1 Kostnader '!F$13&lt;12,12*(('FS1 Kostnader '!F35+'FS1 Kostnader '!G35+'FS1 Kostnader '!F40+'FS1 Kostnader '!G40)/('FS1 Kostnader '!F$13+'FS1 Kostnader '!G$13)),12*('FS1 Kostnader '!F35+'FS1 Kostnader '!F40)/'FS1 Kostnader '!F$13))))</f>
        <v>0</v>
      </c>
      <c r="X43" s="617" t="s">
        <v>644</v>
      </c>
    </row>
    <row r="44" spans="1:27" ht="12" customHeight="1" x14ac:dyDescent="0.2">
      <c r="A44" s="29"/>
      <c r="B44" s="1548">
        <f t="shared" si="19"/>
        <v>27</v>
      </c>
      <c r="C44" s="1807" t="s">
        <v>445</v>
      </c>
      <c r="D44" s="1821"/>
      <c r="E44" s="1821"/>
      <c r="F44" s="1347"/>
      <c r="G44" s="811"/>
      <c r="H44" s="811">
        <f>W44</f>
        <v>0</v>
      </c>
      <c r="I44" s="811"/>
      <c r="J44" s="811"/>
      <c r="K44" s="811"/>
      <c r="L44" s="811"/>
      <c r="M44" s="811"/>
      <c r="N44" s="811"/>
      <c r="O44" s="811"/>
      <c r="P44" s="811"/>
      <c r="Q44" s="811"/>
      <c r="R44" s="811"/>
      <c r="S44" s="802">
        <f t="shared" si="7"/>
        <v>0</v>
      </c>
      <c r="T44" s="274"/>
      <c r="U44" s="1072">
        <f>B44</f>
        <v>27</v>
      </c>
      <c r="V44" s="844"/>
      <c r="W44" s="834">
        <f>IF('K1 Kostnader'!C$9&gt;0,(IF('K1 Kostnader'!F$13=12,'K1 Kostnader'!F57*0.003+'K1 Kostnader'!F114,IF('K1 Kostnader'!F$13&lt;12,12*(('K1 Kostnader'!F57*0.003+'K1 Kostnader'!F114+'K1 Kostnader'!G57*0.003+'K1 Kostnader'!G114)/('K1 Kostnader'!F$13+'K1 Kostnader'!G$13)),12*('K1 Kostnader'!F57*0.003+'K1 Kostnader'!F114)/'K1 Kostnader'!F$13))),(IF('FS1 Kostnader '!F$13=12,'FS1 Kostnader '!F57*0.003+'FS1 Kostnader '!F114,IF('FS1 Kostnader '!F$13&lt;12,12*(('FS1 Kostnader '!F57*0.003+'FS1 Kostnader '!F114+'FS1 Kostnader '!G57*0.003+'FS1 Kostnader '!G114)/('FS1 Kostnader '!F$13+'FS1 Kostnader '!G$13)),12*('FS1 Kostnader '!F57*0.003+'FS1 Kostnader '!F114)/'FS1 Kostnader '!F$13))))</f>
        <v>0</v>
      </c>
      <c r="X44" s="617" t="s">
        <v>511</v>
      </c>
    </row>
    <row r="45" spans="1:27" ht="12" customHeight="1" x14ac:dyDescent="0.2">
      <c r="A45" s="29"/>
      <c r="B45" s="1548">
        <f t="shared" si="19"/>
        <v>28</v>
      </c>
      <c r="C45" s="1812" t="s">
        <v>767</v>
      </c>
      <c r="D45" s="1813"/>
      <c r="E45" s="1813"/>
      <c r="F45" s="1348"/>
      <c r="G45" s="811">
        <f t="shared" si="20"/>
        <v>0</v>
      </c>
      <c r="H45" s="811">
        <f t="shared" si="20"/>
        <v>0</v>
      </c>
      <c r="I45" s="811">
        <f t="shared" si="20"/>
        <v>0</v>
      </c>
      <c r="J45" s="811">
        <f t="shared" si="20"/>
        <v>0</v>
      </c>
      <c r="K45" s="811">
        <f t="shared" si="20"/>
        <v>0</v>
      </c>
      <c r="L45" s="811">
        <f t="shared" si="20"/>
        <v>0</v>
      </c>
      <c r="M45" s="811">
        <f t="shared" si="20"/>
        <v>0</v>
      </c>
      <c r="N45" s="811">
        <f t="shared" si="20"/>
        <v>0</v>
      </c>
      <c r="O45" s="811">
        <f t="shared" si="20"/>
        <v>0</v>
      </c>
      <c r="P45" s="811">
        <f t="shared" si="20"/>
        <v>0</v>
      </c>
      <c r="Q45" s="811">
        <f t="shared" si="20"/>
        <v>0</v>
      </c>
      <c r="R45" s="811">
        <f t="shared" si="20"/>
        <v>0</v>
      </c>
      <c r="S45" s="802">
        <f t="shared" si="7"/>
        <v>0</v>
      </c>
      <c r="T45" s="47"/>
      <c r="U45" s="1072">
        <f t="shared" ref="U45:U52" si="22">B45</f>
        <v>28</v>
      </c>
      <c r="V45" s="843"/>
      <c r="W45" s="739">
        <f>'2 AT Palkat, alv'!U103</f>
        <v>0</v>
      </c>
      <c r="X45" s="617" t="s">
        <v>631</v>
      </c>
    </row>
    <row r="46" spans="1:27" ht="12" customHeight="1" x14ac:dyDescent="0.2">
      <c r="B46" s="1548">
        <f t="shared" si="19"/>
        <v>29</v>
      </c>
      <c r="C46" s="1807" t="s">
        <v>446</v>
      </c>
      <c r="D46" s="1821"/>
      <c r="E46" s="1821"/>
      <c r="F46" s="1348"/>
      <c r="G46" s="811"/>
      <c r="H46" s="811"/>
      <c r="I46" s="811"/>
      <c r="J46" s="811"/>
      <c r="K46" s="811"/>
      <c r="L46" s="811">
        <f>$W46/2</f>
        <v>0</v>
      </c>
      <c r="M46" s="811"/>
      <c r="N46" s="811"/>
      <c r="O46" s="811">
        <v>0</v>
      </c>
      <c r="P46" s="811"/>
      <c r="Q46" s="811"/>
      <c r="R46" s="811">
        <f>$W46/2</f>
        <v>0</v>
      </c>
      <c r="S46" s="802">
        <f t="shared" si="7"/>
        <v>0</v>
      </c>
      <c r="T46" s="47"/>
      <c r="U46" s="1072">
        <f t="shared" si="22"/>
        <v>29</v>
      </c>
      <c r="V46" s="843"/>
      <c r="W46" s="835">
        <f>IF('K1 Kostnader'!$C$9&gt;0,(IF('K1 Kostnader'!$F$13=12,'K1 Kostnader'!$F21,IF('K1 Kostnader'!$F$13&lt;12,12*(('K1 Kostnader'!$F21+'K1 Kostnader'!$G21)/('K1 Kostnader'!$F$13+'K1 Kostnader'!$G$13)),12*'K1 Kostnader'!$F21/'K1 Kostnader'!$F$13))),(IF('FS1 Kostnader '!$F$13=12,'FS1 Kostnader '!$F21,IF('FS1 Kostnader '!$F$13&lt;12,12*(('FS1 Kostnader '!$F21+'FS1 Kostnader '!$G21)/('FS1 Kostnader '!$F$13+'FS1 Kostnader '!$G$13)),12*'FS1 Kostnader '!$F21/'FS1 Kostnader '!$F$13))))</f>
        <v>0</v>
      </c>
      <c r="X46" s="617" t="s">
        <v>471</v>
      </c>
    </row>
    <row r="47" spans="1:27" ht="12" customHeight="1" x14ac:dyDescent="0.2">
      <c r="A47" s="29"/>
      <c r="B47" s="1548">
        <f t="shared" si="19"/>
        <v>30</v>
      </c>
      <c r="C47" s="1807" t="s">
        <v>447</v>
      </c>
      <c r="D47" s="1821"/>
      <c r="E47" s="1821"/>
      <c r="F47" s="1348"/>
      <c r="G47" s="811">
        <f t="shared" ref="G47:R48" si="23">$W47/12</f>
        <v>0</v>
      </c>
      <c r="H47" s="811">
        <f t="shared" si="23"/>
        <v>0</v>
      </c>
      <c r="I47" s="811">
        <f t="shared" si="23"/>
        <v>0</v>
      </c>
      <c r="J47" s="811">
        <f t="shared" si="23"/>
        <v>0</v>
      </c>
      <c r="K47" s="811">
        <f t="shared" si="23"/>
        <v>0</v>
      </c>
      <c r="L47" s="811">
        <f t="shared" si="23"/>
        <v>0</v>
      </c>
      <c r="M47" s="811">
        <f t="shared" si="23"/>
        <v>0</v>
      </c>
      <c r="N47" s="811">
        <f t="shared" si="23"/>
        <v>0</v>
      </c>
      <c r="O47" s="811">
        <f t="shared" si="23"/>
        <v>0</v>
      </c>
      <c r="P47" s="811">
        <f t="shared" si="23"/>
        <v>0</v>
      </c>
      <c r="Q47" s="811">
        <f t="shared" si="23"/>
        <v>0</v>
      </c>
      <c r="R47" s="811">
        <f t="shared" si="23"/>
        <v>0</v>
      </c>
      <c r="S47" s="802">
        <f>SUM(G47:R47)</f>
        <v>0</v>
      </c>
      <c r="T47" s="47"/>
      <c r="U47" s="1072">
        <f t="shared" si="22"/>
        <v>30</v>
      </c>
      <c r="V47" s="843"/>
      <c r="W47" s="834">
        <f>-IF('K1 Kostnader'!C9=0,'FS3 Resultat'!F51+'FS1 Kostnader '!F58,'K3 Resultat'!F51+'K1 Kostnader'!F58)</f>
        <v>0</v>
      </c>
      <c r="X47" s="618" t="s">
        <v>630</v>
      </c>
    </row>
    <row r="48" spans="1:27" ht="12" customHeight="1" x14ac:dyDescent="0.2">
      <c r="A48" s="29"/>
      <c r="B48" s="1548">
        <f t="shared" si="19"/>
        <v>31</v>
      </c>
      <c r="C48" s="1807" t="s">
        <v>834</v>
      </c>
      <c r="D48" s="1821"/>
      <c r="E48" s="1821"/>
      <c r="F48" s="1348"/>
      <c r="G48" s="811">
        <f t="shared" si="23"/>
        <v>0</v>
      </c>
      <c r="H48" s="811">
        <f t="shared" si="23"/>
        <v>0</v>
      </c>
      <c r="I48" s="811">
        <f t="shared" si="23"/>
        <v>0</v>
      </c>
      <c r="J48" s="811">
        <f t="shared" si="23"/>
        <v>0</v>
      </c>
      <c r="K48" s="811">
        <f t="shared" si="23"/>
        <v>0</v>
      </c>
      <c r="L48" s="811">
        <f t="shared" si="23"/>
        <v>0</v>
      </c>
      <c r="M48" s="811">
        <f t="shared" si="23"/>
        <v>0</v>
      </c>
      <c r="N48" s="811">
        <f t="shared" si="23"/>
        <v>0</v>
      </c>
      <c r="O48" s="811">
        <f t="shared" si="23"/>
        <v>0</v>
      </c>
      <c r="P48" s="811">
        <f t="shared" si="23"/>
        <v>0</v>
      </c>
      <c r="Q48" s="811">
        <f t="shared" si="23"/>
        <v>0</v>
      </c>
      <c r="R48" s="811">
        <f t="shared" si="23"/>
        <v>0</v>
      </c>
      <c r="S48" s="802">
        <f t="shared" si="7"/>
        <v>0</v>
      </c>
      <c r="T48" s="47"/>
      <c r="U48" s="1072">
        <f t="shared" si="22"/>
        <v>31</v>
      </c>
      <c r="V48" s="843"/>
      <c r="W48" s="834">
        <f>IF('K1 Kostnader'!$C$9&gt;0,(IF('K1 Kostnader'!$F$13=12,'K1 Kostnader'!$F79+'K1 Kostnader'!F83,IF('K1 Kostnader'!F$13&lt;12,12*(('K1 Kostnader'!F79+'K1 Kostnader'!G79+'K1 Kostnader'!F83+'K1 Kostnader'!G83)/('K1 Kostnader'!F$13+'K1 Kostnader'!G$13)),12*('K1 Kostnader'!F79+'K1 Kostnader'!F83)/'K1 Kostnader'!F$13))),(IF('FS1 Kostnader '!F$13=12,'FS1 Kostnader '!F79+'FS1 Kostnader '!F83,IF('FS1 Kostnader '!F$13&lt;12,12*(('FS1 Kostnader '!F79+'FS1 Kostnader '!G79+'FS1 Kostnader '!F83+'FS1 Kostnader '!G83)/('FS1 Kostnader '!F$13+'FS1 Kostnader '!G$13)),12*('FS1 Kostnader '!F79+'FS1 Kostnader '!F83)/'FS1 Kostnader '!F$13))))</f>
        <v>0</v>
      </c>
      <c r="X48" s="617" t="s">
        <v>472</v>
      </c>
    </row>
    <row r="49" spans="1:24" ht="12" customHeight="1" x14ac:dyDescent="0.2">
      <c r="A49" s="29"/>
      <c r="B49" s="1548">
        <f t="shared" si="19"/>
        <v>32</v>
      </c>
      <c r="C49" s="1349" t="s">
        <v>646</v>
      </c>
      <c r="D49" s="1350"/>
      <c r="E49" s="1350"/>
      <c r="F49" s="1348"/>
      <c r="G49" s="811">
        <f>$W49/12</f>
        <v>0</v>
      </c>
      <c r="H49" s="811">
        <f t="shared" ref="H49:R49" si="24">$W49/12</f>
        <v>0</v>
      </c>
      <c r="I49" s="811">
        <f t="shared" si="24"/>
        <v>0</v>
      </c>
      <c r="J49" s="811">
        <f t="shared" si="24"/>
        <v>0</v>
      </c>
      <c r="K49" s="811">
        <f t="shared" si="24"/>
        <v>0</v>
      </c>
      <c r="L49" s="811">
        <f t="shared" si="24"/>
        <v>0</v>
      </c>
      <c r="M49" s="811">
        <f t="shared" si="24"/>
        <v>0</v>
      </c>
      <c r="N49" s="811">
        <f t="shared" si="24"/>
        <v>0</v>
      </c>
      <c r="O49" s="811">
        <f t="shared" si="24"/>
        <v>0</v>
      </c>
      <c r="P49" s="811">
        <f t="shared" si="24"/>
        <v>0</v>
      </c>
      <c r="Q49" s="811">
        <f t="shared" si="24"/>
        <v>0</v>
      </c>
      <c r="R49" s="811">
        <f t="shared" si="24"/>
        <v>0</v>
      </c>
      <c r="S49" s="802">
        <f t="shared" si="7"/>
        <v>0</v>
      </c>
      <c r="T49" s="47"/>
      <c r="U49" s="1072">
        <f t="shared" si="22"/>
        <v>32</v>
      </c>
      <c r="V49" s="843"/>
      <c r="W49" s="834">
        <f>IF('K1 Kostnader'!$C$9&gt;0,(IF('K1 Kostnader'!$F$13=12,'K1 Kostnader'!$F119,IF('K1 Kostnader'!$F$13&lt;12,12*(('K1 Kostnader'!$F119+'K1 Kostnader'!$G119)/('K1 Kostnader'!$F$13+'K1 Kostnader'!$G$13)),12*'K1 Kostnader'!$F119/'K1 Kostnader'!$F$13))),(IF('FS1 Kostnader '!$F$13=12,'FS1 Kostnader '!$F119,IF('FS1 Kostnader '!$F$13&lt;12,12*(('FS1 Kostnader '!$F119+'FS1 Kostnader '!$G119)/('FS1 Kostnader '!$F$13+'FS1 Kostnader '!$G$13)),12*'FS1 Kostnader '!$F119/'FS1 Kostnader '!$F$13))))</f>
        <v>0</v>
      </c>
      <c r="X49" s="617" t="s">
        <v>473</v>
      </c>
    </row>
    <row r="50" spans="1:24" ht="12" customHeight="1" x14ac:dyDescent="0.2">
      <c r="A50" s="29"/>
      <c r="B50" s="1548">
        <f t="shared" si="19"/>
        <v>33</v>
      </c>
      <c r="C50" s="1807" t="s">
        <v>448</v>
      </c>
      <c r="D50" s="1821"/>
      <c r="E50" s="1821"/>
      <c r="F50" s="1348"/>
      <c r="G50" s="811"/>
      <c r="H50" s="811"/>
      <c r="I50" s="811"/>
      <c r="J50" s="811"/>
      <c r="K50" s="811"/>
      <c r="L50" s="811">
        <f>W50/2</f>
        <v>0</v>
      </c>
      <c r="M50" s="811"/>
      <c r="N50" s="811"/>
      <c r="O50" s="811">
        <v>0</v>
      </c>
      <c r="P50" s="811"/>
      <c r="Q50" s="811"/>
      <c r="R50" s="811">
        <f>W50/2</f>
        <v>0</v>
      </c>
      <c r="S50" s="802">
        <f t="shared" si="7"/>
        <v>0</v>
      </c>
      <c r="T50" s="47"/>
      <c r="U50" s="1072">
        <f t="shared" si="22"/>
        <v>33</v>
      </c>
      <c r="V50" s="843"/>
      <c r="W50" s="835">
        <f>IF('K1 Kostnader'!C9&gt;0,'K3 Resultat'!K16-'K1 Kostnader'!F22,'FS3 Resultat'!K16-'FS1 Kostnader '!F22)</f>
        <v>0</v>
      </c>
      <c r="X50" s="617" t="s">
        <v>471</v>
      </c>
    </row>
    <row r="51" spans="1:24" ht="12" customHeight="1" x14ac:dyDescent="0.2">
      <c r="A51" s="29"/>
      <c r="B51" s="1548">
        <f t="shared" si="19"/>
        <v>34</v>
      </c>
      <c r="C51" s="1807" t="s">
        <v>449</v>
      </c>
      <c r="D51" s="1821"/>
      <c r="E51" s="1821"/>
      <c r="F51" s="1348"/>
      <c r="G51" s="811"/>
      <c r="H51" s="811">
        <v>0</v>
      </c>
      <c r="I51" s="811">
        <v>0</v>
      </c>
      <c r="J51" s="811">
        <v>0</v>
      </c>
      <c r="K51" s="811">
        <v>0</v>
      </c>
      <c r="L51" s="811">
        <v>0</v>
      </c>
      <c r="M51" s="811">
        <v>0</v>
      </c>
      <c r="N51" s="811">
        <v>0</v>
      </c>
      <c r="O51" s="811">
        <v>0</v>
      </c>
      <c r="P51" s="811">
        <v>0</v>
      </c>
      <c r="Q51" s="811">
        <v>0</v>
      </c>
      <c r="R51" s="811">
        <v>0</v>
      </c>
      <c r="S51" s="802">
        <f t="shared" si="7"/>
        <v>0</v>
      </c>
      <c r="T51" s="47"/>
      <c r="U51" s="1072">
        <f t="shared" si="22"/>
        <v>34</v>
      </c>
      <c r="V51" s="843"/>
      <c r="W51" s="834"/>
      <c r="X51" s="617"/>
    </row>
    <row r="52" spans="1:24" ht="12" customHeight="1" x14ac:dyDescent="0.2">
      <c r="A52" s="29"/>
      <c r="B52" s="1566">
        <f t="shared" si="19"/>
        <v>35</v>
      </c>
      <c r="C52" s="1839" t="s">
        <v>450</v>
      </c>
      <c r="D52" s="1840"/>
      <c r="E52" s="1840"/>
      <c r="F52" s="1348"/>
      <c r="G52" s="811">
        <f t="shared" ref="G52:R52" si="25">$W52/12</f>
        <v>0</v>
      </c>
      <c r="H52" s="811">
        <f t="shared" si="25"/>
        <v>0</v>
      </c>
      <c r="I52" s="811">
        <f t="shared" si="25"/>
        <v>0</v>
      </c>
      <c r="J52" s="811">
        <f t="shared" si="25"/>
        <v>0</v>
      </c>
      <c r="K52" s="811">
        <f t="shared" si="25"/>
        <v>0</v>
      </c>
      <c r="L52" s="811">
        <f t="shared" si="25"/>
        <v>0</v>
      </c>
      <c r="M52" s="811">
        <f t="shared" si="25"/>
        <v>0</v>
      </c>
      <c r="N52" s="811">
        <f t="shared" si="25"/>
        <v>0</v>
      </c>
      <c r="O52" s="811">
        <f t="shared" si="25"/>
        <v>0</v>
      </c>
      <c r="P52" s="811">
        <f t="shared" si="25"/>
        <v>0</v>
      </c>
      <c r="Q52" s="811">
        <f t="shared" si="25"/>
        <v>0</v>
      </c>
      <c r="R52" s="811">
        <f t="shared" si="25"/>
        <v>0</v>
      </c>
      <c r="S52" s="802">
        <f t="shared" si="7"/>
        <v>0</v>
      </c>
      <c r="T52" s="47"/>
      <c r="U52" s="1072">
        <f t="shared" si="22"/>
        <v>35</v>
      </c>
      <c r="V52" s="845"/>
      <c r="W52" s="835">
        <f>IF('K1 Kostnader'!$C$9&gt;0,(IF('K1 Kostnader'!$F$13=12,'K1 Kostnader'!$F26,IF('K1 Kostnader'!$F$13&lt;12,12*(('K1 Kostnader'!$F26+'K1 Kostnader'!$G26)/('K1 Kostnader'!$F$13+'K1 Kostnader'!$G$13)),12*'K1 Kostnader'!$F26/'K1 Kostnader'!$F$13))),(IF('FS1 Kostnader '!$F$13=12,'FS1 Kostnader '!$F26,IF('FS1 Kostnader '!$F$13&lt;12,12*(('FS1 Kostnader '!$F26+'FS1 Kostnader '!$G26)/('FS1 Kostnader '!$F$13+'FS1 Kostnader '!$G$13)),12*'FS1 Kostnader '!$F26/'FS1 Kostnader '!$F$13))))</f>
        <v>0</v>
      </c>
      <c r="X52" s="617" t="s">
        <v>474</v>
      </c>
    </row>
    <row r="53" spans="1:24" ht="12" customHeight="1" x14ac:dyDescent="0.2">
      <c r="A53" s="29"/>
      <c r="B53" s="1548">
        <f t="shared" si="19"/>
        <v>36</v>
      </c>
      <c r="C53" s="1839" t="s">
        <v>768</v>
      </c>
      <c r="D53" s="1840"/>
      <c r="E53" s="1840"/>
      <c r="F53" s="1351"/>
      <c r="G53" s="1392">
        <f>W53</f>
        <v>0</v>
      </c>
      <c r="H53" s="811"/>
      <c r="I53" s="811"/>
      <c r="J53" s="811"/>
      <c r="K53" s="811"/>
      <c r="L53" s="811"/>
      <c r="M53" s="811"/>
      <c r="N53" s="811"/>
      <c r="O53" s="811"/>
      <c r="P53" s="811"/>
      <c r="Q53" s="811"/>
      <c r="R53" s="811"/>
      <c r="S53" s="802">
        <f t="shared" si="7"/>
        <v>0</v>
      </c>
      <c r="T53" s="47"/>
      <c r="U53" s="1072">
        <f>B53</f>
        <v>36</v>
      </c>
      <c r="V53" s="845"/>
      <c r="W53" s="849">
        <f>IF('K3 Resultat'!B9&gt;0,'K3 Resultat'!E17+'K3 Resultat'!E18+'K3 Resultat'!E24+'K3 Resultat'!E26+'K3 Resultat'!E30,'FS3 Resultat'!E17+'FS3 Resultat'!E18+'FS3 Resultat'!E24+'FS3 Resultat'!E26+'FS3 Resultat'!E30)</f>
        <v>0</v>
      </c>
      <c r="X53" s="617"/>
    </row>
    <row r="54" spans="1:24" ht="12" customHeight="1" thickBot="1" x14ac:dyDescent="0.25">
      <c r="A54" s="29"/>
      <c r="B54" s="1567">
        <f t="shared" si="19"/>
        <v>37</v>
      </c>
      <c r="C54" s="1844" t="s">
        <v>451</v>
      </c>
      <c r="D54" s="1845"/>
      <c r="E54" s="1845"/>
      <c r="F54" s="1589"/>
      <c r="G54" s="813"/>
      <c r="H54" s="813"/>
      <c r="I54" s="813"/>
      <c r="J54" s="813"/>
      <c r="K54" s="813"/>
      <c r="L54" s="813">
        <v>0</v>
      </c>
      <c r="M54" s="813"/>
      <c r="N54" s="813"/>
      <c r="O54" s="813"/>
      <c r="P54" s="813">
        <v>0</v>
      </c>
      <c r="Q54" s="813"/>
      <c r="R54" s="813"/>
      <c r="S54" s="802">
        <f t="shared" si="7"/>
        <v>0</v>
      </c>
      <c r="T54" s="47"/>
      <c r="U54" s="1072">
        <f>B54</f>
        <v>37</v>
      </c>
      <c r="V54" s="845"/>
      <c r="W54" s="834"/>
      <c r="X54" s="617"/>
    </row>
    <row r="55" spans="1:24" s="162" customFormat="1" ht="15" customHeight="1" thickTop="1" thickBot="1" x14ac:dyDescent="0.25">
      <c r="A55" s="414"/>
      <c r="B55" s="1831" t="s">
        <v>577</v>
      </c>
      <c r="C55" s="1831"/>
      <c r="D55" s="1831"/>
      <c r="E55" s="1831"/>
      <c r="F55" s="1832"/>
      <c r="G55" s="854">
        <f>G18+G22+G23+G24+G25+G26+G27+G28+G29+G30+G31+G32+G33+G34+G40+G41+G42+G43+G44+G45+G46+G47+G48+G49+G50+G51+G52+G53+G54</f>
        <v>0</v>
      </c>
      <c r="H55" s="854">
        <f t="shared" ref="H55:R55" si="26">H18+H22+H23+H24+H25+H26+H27+H28+H29+H30+H31+H32+H33+H34+H40+H41+H42+H43+H44+H45+H46+H47+H48+H49+H50+H51+H52+H53+H54</f>
        <v>0</v>
      </c>
      <c r="I55" s="854">
        <f t="shared" si="26"/>
        <v>0</v>
      </c>
      <c r="J55" s="854">
        <f t="shared" si="26"/>
        <v>0</v>
      </c>
      <c r="K55" s="854">
        <f t="shared" si="26"/>
        <v>0</v>
      </c>
      <c r="L55" s="854">
        <f t="shared" si="26"/>
        <v>0</v>
      </c>
      <c r="M55" s="854">
        <f t="shared" si="26"/>
        <v>0</v>
      </c>
      <c r="N55" s="854">
        <f t="shared" si="26"/>
        <v>0</v>
      </c>
      <c r="O55" s="854">
        <f t="shared" si="26"/>
        <v>0</v>
      </c>
      <c r="P55" s="854">
        <f t="shared" si="26"/>
        <v>0</v>
      </c>
      <c r="Q55" s="854">
        <f t="shared" si="26"/>
        <v>0</v>
      </c>
      <c r="R55" s="854">
        <f t="shared" si="26"/>
        <v>0</v>
      </c>
      <c r="S55" s="854">
        <f>SUM(G55:R55)</f>
        <v>0</v>
      </c>
      <c r="T55" s="586"/>
      <c r="V55" s="400"/>
      <c r="W55" s="346"/>
    </row>
    <row r="56" spans="1:24" ht="1.1499999999999999" customHeight="1" thickTop="1" x14ac:dyDescent="0.2">
      <c r="A56" s="29"/>
      <c r="B56" s="29"/>
      <c r="C56" s="29"/>
      <c r="D56" s="29"/>
      <c r="E56" s="29"/>
      <c r="F56" s="29"/>
      <c r="G56" s="814"/>
      <c r="H56" s="814"/>
      <c r="I56" s="814"/>
      <c r="J56" s="814"/>
      <c r="K56" s="814"/>
      <c r="L56" s="814"/>
      <c r="M56" s="814"/>
      <c r="N56" s="814"/>
      <c r="O56" s="814"/>
      <c r="P56" s="814"/>
      <c r="Q56" s="814"/>
      <c r="R56" s="814"/>
      <c r="S56" s="815"/>
      <c r="T56" s="47"/>
    </row>
    <row r="57" spans="1:24" ht="12.75" customHeight="1" x14ac:dyDescent="0.2">
      <c r="A57" s="29"/>
      <c r="B57" s="1588">
        <v>38</v>
      </c>
      <c r="C57" s="1841" t="s">
        <v>452</v>
      </c>
      <c r="D57" s="1842"/>
      <c r="E57" s="1842"/>
      <c r="F57" s="1843"/>
      <c r="G57" s="856">
        <f t="shared" ref="G57:R57" si="27">G15-G55</f>
        <v>0</v>
      </c>
      <c r="H57" s="856">
        <f t="shared" si="27"/>
        <v>0</v>
      </c>
      <c r="I57" s="856">
        <f t="shared" si="27"/>
        <v>0</v>
      </c>
      <c r="J57" s="856">
        <f t="shared" si="27"/>
        <v>0</v>
      </c>
      <c r="K57" s="856">
        <f t="shared" si="27"/>
        <v>0</v>
      </c>
      <c r="L57" s="856">
        <f t="shared" si="27"/>
        <v>0</v>
      </c>
      <c r="M57" s="856">
        <f t="shared" si="27"/>
        <v>0</v>
      </c>
      <c r="N57" s="856">
        <f t="shared" si="27"/>
        <v>0</v>
      </c>
      <c r="O57" s="856">
        <f t="shared" si="27"/>
        <v>0</v>
      </c>
      <c r="P57" s="856">
        <f t="shared" si="27"/>
        <v>0</v>
      </c>
      <c r="Q57" s="856">
        <f t="shared" si="27"/>
        <v>0</v>
      </c>
      <c r="R57" s="856">
        <f t="shared" si="27"/>
        <v>0</v>
      </c>
      <c r="S57" s="857">
        <f>SUM(G57:R57)</f>
        <v>0</v>
      </c>
      <c r="T57" s="47"/>
    </row>
    <row r="58" spans="1:24" ht="12.75" customHeight="1" thickBot="1" x14ac:dyDescent="0.25">
      <c r="A58" s="29"/>
      <c r="B58" s="1571">
        <v>39</v>
      </c>
      <c r="C58" s="1836" t="s">
        <v>514</v>
      </c>
      <c r="D58" s="1837"/>
      <c r="E58" s="1837"/>
      <c r="F58" s="1838"/>
      <c r="G58" s="856">
        <f>G7+G57</f>
        <v>0</v>
      </c>
      <c r="H58" s="856">
        <f t="shared" ref="H58:R58" si="28">G58+H57</f>
        <v>0</v>
      </c>
      <c r="I58" s="856">
        <f t="shared" si="28"/>
        <v>0</v>
      </c>
      <c r="J58" s="856">
        <f t="shared" si="28"/>
        <v>0</v>
      </c>
      <c r="K58" s="856">
        <f t="shared" si="28"/>
        <v>0</v>
      </c>
      <c r="L58" s="856">
        <f t="shared" si="28"/>
        <v>0</v>
      </c>
      <c r="M58" s="856">
        <f t="shared" si="28"/>
        <v>0</v>
      </c>
      <c r="N58" s="856">
        <f t="shared" si="28"/>
        <v>0</v>
      </c>
      <c r="O58" s="856">
        <f t="shared" si="28"/>
        <v>0</v>
      </c>
      <c r="P58" s="856">
        <f t="shared" si="28"/>
        <v>0</v>
      </c>
      <c r="Q58" s="856">
        <f t="shared" si="28"/>
        <v>0</v>
      </c>
      <c r="R58" s="816">
        <f t="shared" si="28"/>
        <v>0</v>
      </c>
      <c r="S58" s="858"/>
      <c r="T58" s="47"/>
    </row>
    <row r="59" spans="1:24" ht="14.25" customHeight="1" thickTop="1" x14ac:dyDescent="0.2">
      <c r="A59" s="29"/>
      <c r="B59" s="91"/>
      <c r="C59" s="462"/>
      <c r="D59" s="462"/>
      <c r="E59" s="462"/>
      <c r="F59" s="462"/>
      <c r="G59" s="17"/>
      <c r="H59" s="17"/>
      <c r="I59" s="17"/>
      <c r="J59" s="17"/>
      <c r="K59" s="17"/>
      <c r="L59" s="17"/>
      <c r="M59" s="17"/>
      <c r="N59" s="17"/>
      <c r="O59" s="17"/>
      <c r="P59" s="17"/>
      <c r="Q59" s="17"/>
      <c r="R59" s="17"/>
      <c r="S59" s="472" t="str">
        <f>'K1 Kostnader'!C5</f>
        <v>Tjänsten erbjuds av</v>
      </c>
      <c r="T59" s="47"/>
    </row>
    <row r="60" spans="1:24" x14ac:dyDescent="0.2">
      <c r="A60" s="29"/>
      <c r="B60" s="361" t="s">
        <v>375</v>
      </c>
      <c r="C60" s="29"/>
      <c r="D60" s="1"/>
      <c r="E60" s="1"/>
      <c r="F60" s="1"/>
      <c r="G60" s="44"/>
      <c r="H60" s="44"/>
      <c r="I60" s="44"/>
      <c r="J60" s="44"/>
      <c r="K60" s="44"/>
      <c r="L60" s="44"/>
      <c r="M60" s="44"/>
      <c r="N60" s="44"/>
      <c r="O60" s="44"/>
      <c r="P60" s="44"/>
      <c r="Q60" s="169"/>
      <c r="R60" s="29"/>
      <c r="S60" s="504" t="str">
        <f>Startsidan!G35</f>
        <v>Business Kristinestad och Dynamo Närpes</v>
      </c>
      <c r="T60" s="44"/>
      <c r="U60" s="169"/>
      <c r="V60" s="846"/>
      <c r="W60" s="847"/>
      <c r="X60" s="172"/>
    </row>
    <row r="61" spans="1:24" x14ac:dyDescent="0.2">
      <c r="A61" s="29"/>
      <c r="B61" s="29"/>
      <c r="C61" s="29"/>
      <c r="D61" s="167"/>
      <c r="E61" s="167"/>
      <c r="F61" s="167"/>
      <c r="G61" s="44"/>
      <c r="H61" s="44"/>
      <c r="I61" s="44"/>
      <c r="J61" s="168"/>
      <c r="K61" s="44"/>
      <c r="L61" s="44"/>
      <c r="M61" s="44"/>
      <c r="N61" s="44"/>
      <c r="O61" s="44"/>
      <c r="P61" s="44"/>
      <c r="Q61" s="169"/>
      <c r="R61" s="29"/>
      <c r="T61" s="170"/>
    </row>
    <row r="62" spans="1:24" x14ac:dyDescent="0.2">
      <c r="A62" s="29"/>
      <c r="B62" s="29"/>
      <c r="C62" s="29"/>
      <c r="D62" s="167"/>
      <c r="E62" s="167"/>
      <c r="F62" s="167"/>
      <c r="G62" s="700" t="s">
        <v>0</v>
      </c>
      <c r="H62" s="44"/>
      <c r="I62" s="44"/>
      <c r="J62" s="171"/>
      <c r="K62" s="44"/>
      <c r="L62" s="44"/>
      <c r="M62" s="44"/>
      <c r="N62" s="44"/>
      <c r="O62" s="44"/>
      <c r="P62" s="44"/>
      <c r="Q62" s="44"/>
      <c r="R62" s="44"/>
      <c r="S62" s="112" t="str">
        <f>B60</f>
        <v>FT5 Nyföretagets ekonomiplan</v>
      </c>
      <c r="T62" s="172"/>
    </row>
    <row r="63" spans="1:24" x14ac:dyDescent="0.2">
      <c r="A63" s="29"/>
      <c r="B63" s="29"/>
      <c r="C63" s="29"/>
      <c r="E63" s="167"/>
      <c r="F63" s="167"/>
      <c r="G63" s="44"/>
      <c r="H63" s="44"/>
      <c r="I63" s="44"/>
      <c r="J63" s="171"/>
      <c r="K63" s="44"/>
      <c r="L63" s="44"/>
      <c r="M63" s="44"/>
      <c r="N63" s="44"/>
      <c r="O63" s="44"/>
      <c r="P63" s="44"/>
      <c r="Q63" s="44"/>
      <c r="R63" s="44"/>
      <c r="S63" s="172"/>
      <c r="T63" s="172"/>
    </row>
    <row r="64" spans="1:24" x14ac:dyDescent="0.2">
      <c r="A64" s="29"/>
      <c r="B64" s="29"/>
      <c r="C64" s="29"/>
      <c r="E64" s="167"/>
      <c r="F64" s="167"/>
      <c r="G64" s="44"/>
      <c r="H64" s="44"/>
      <c r="I64" s="44"/>
      <c r="J64" s="44"/>
      <c r="K64" s="44"/>
      <c r="L64" s="44"/>
      <c r="M64" s="44"/>
      <c r="N64" s="44"/>
      <c r="O64" s="44"/>
      <c r="P64" s="44"/>
      <c r="Q64" s="44"/>
      <c r="R64" s="44"/>
      <c r="S64" s="1"/>
      <c r="T64" s="1"/>
    </row>
    <row r="65" spans="1:14" x14ac:dyDescent="0.2">
      <c r="A65" s="29"/>
    </row>
    <row r="66" spans="1:14" x14ac:dyDescent="0.2">
      <c r="D66" s="101"/>
    </row>
    <row r="67" spans="1:14" ht="20.25" x14ac:dyDescent="0.3">
      <c r="D67" s="1227">
        <f>D4</f>
        <v>0</v>
      </c>
      <c r="H67" s="232" t="str">
        <f>H4</f>
        <v xml:space="preserve">KASSABUDGET </v>
      </c>
      <c r="N67" s="232" t="str">
        <f>N4</f>
        <v>1/20XY - 12/20XY</v>
      </c>
    </row>
    <row r="83" spans="18:18" x14ac:dyDescent="0.2">
      <c r="R83" s="95"/>
    </row>
    <row r="105" spans="5:5" x14ac:dyDescent="0.2">
      <c r="E105" s="353" t="s">
        <v>372</v>
      </c>
    </row>
    <row r="106" spans="5:5" x14ac:dyDescent="0.2">
      <c r="E106" s="102" t="s">
        <v>307</v>
      </c>
    </row>
    <row r="107" spans="5:5" x14ac:dyDescent="0.2">
      <c r="E107" s="102" t="s">
        <v>308</v>
      </c>
    </row>
  </sheetData>
  <sheetProtection algorithmName="SHA-512" hashValue="dapLhy/WCSsQlSM8M+cLOl8Kgn/sTBFOJFuQbqZRJ1jeEjH3lQ44F78P/94JSl/qut9yxvEc81a2eGujCsh1lQ==" saltValue="7nV0T2deX9kPNzhotaAQ9w==" spinCount="100000" sheet="1" objects="1" scenarios="1"/>
  <mergeCells count="55">
    <mergeCell ref="C43:E43"/>
    <mergeCell ref="C44:E44"/>
    <mergeCell ref="C25:E25"/>
    <mergeCell ref="C27:E27"/>
    <mergeCell ref="C34:F34"/>
    <mergeCell ref="D36:F36"/>
    <mergeCell ref="C28:E28"/>
    <mergeCell ref="C29:E29"/>
    <mergeCell ref="C26:E26"/>
    <mergeCell ref="C32:E32"/>
    <mergeCell ref="C33:F33"/>
    <mergeCell ref="D38:F38"/>
    <mergeCell ref="C40:F40"/>
    <mergeCell ref="C30:E30"/>
    <mergeCell ref="C31:E31"/>
    <mergeCell ref="C42:E42"/>
    <mergeCell ref="C58:F58"/>
    <mergeCell ref="C50:E50"/>
    <mergeCell ref="C51:E51"/>
    <mergeCell ref="C52:E52"/>
    <mergeCell ref="C45:E45"/>
    <mergeCell ref="C57:F57"/>
    <mergeCell ref="C54:E54"/>
    <mergeCell ref="C46:E46"/>
    <mergeCell ref="C53:E53"/>
    <mergeCell ref="C48:E48"/>
    <mergeCell ref="B55:F55"/>
    <mergeCell ref="C47:E47"/>
    <mergeCell ref="X5:X6"/>
    <mergeCell ref="C22:E22"/>
    <mergeCell ref="C23:E23"/>
    <mergeCell ref="C24:E24"/>
    <mergeCell ref="D9:F9"/>
    <mergeCell ref="V5:W5"/>
    <mergeCell ref="D5:F5"/>
    <mergeCell ref="C17:E17"/>
    <mergeCell ref="C13:E13"/>
    <mergeCell ref="C7:F7"/>
    <mergeCell ref="C15:E15"/>
    <mergeCell ref="D11:F11"/>
    <mergeCell ref="C14:F14"/>
    <mergeCell ref="C10:F10"/>
    <mergeCell ref="C8:E8"/>
    <mergeCell ref="N4:Q4"/>
    <mergeCell ref="H4:M4"/>
    <mergeCell ref="D4:F4"/>
    <mergeCell ref="C6:E6"/>
    <mergeCell ref="G2:N2"/>
    <mergeCell ref="D39:E39"/>
    <mergeCell ref="D35:E35"/>
    <mergeCell ref="D37:E37"/>
    <mergeCell ref="C41:F41"/>
    <mergeCell ref="B2:D2"/>
    <mergeCell ref="C20:F20"/>
    <mergeCell ref="C21:E21"/>
  </mergeCells>
  <printOptions horizontalCentered="1"/>
  <pageMargins left="0.23622047244094491" right="0.23622047244094491" top="0.74803149606299213" bottom="0.74803149606299213" header="0.31496062992125984" footer="0.31496062992125984"/>
  <pageSetup paperSize="9" scale="75" orientation="landscape" verticalDpi="4" r:id="rId1"/>
  <rowBreaks count="2" manualBreakCount="2">
    <brk id="2" min="1" max="20" man="1"/>
    <brk id="60" min="1" max="18" man="1"/>
  </rowBreaks>
  <ignoredErrors>
    <ignoredError sqref="G7" unlockedFormula="1"/>
  </ignoredError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ul10">
    <tabColor theme="4" tint="0.59999389629810485"/>
  </sheetPr>
  <dimension ref="A2:T145"/>
  <sheetViews>
    <sheetView showGridLines="0" showZeros="0" zoomScaleNormal="100" workbookViewId="0">
      <selection activeCell="M23" sqref="M23"/>
    </sheetView>
  </sheetViews>
  <sheetFormatPr defaultRowHeight="12.75" x14ac:dyDescent="0.2"/>
  <cols>
    <col min="1" max="1" width="5.7109375" customWidth="1"/>
    <col min="2" max="2" width="6.85546875" customWidth="1"/>
    <col min="3" max="3" width="4" customWidth="1"/>
    <col min="4" max="4" width="54.28515625" customWidth="1"/>
    <col min="5" max="5" width="9.28515625" customWidth="1"/>
    <col min="6" max="8" width="10.7109375" customWidth="1"/>
    <col min="9" max="9" width="3.140625" customWidth="1"/>
    <col min="10" max="11" width="9.140625" customWidth="1"/>
    <col min="12" max="12" width="11.7109375" customWidth="1"/>
    <col min="13" max="19" width="10.7109375" customWidth="1"/>
  </cols>
  <sheetData>
    <row r="2" spans="2:19" ht="15" customHeight="1" x14ac:dyDescent="0.2">
      <c r="B2" s="38"/>
      <c r="C2" s="1849" t="s">
        <v>391</v>
      </c>
      <c r="D2" s="1850"/>
      <c r="E2" s="1850"/>
      <c r="F2" s="1850"/>
      <c r="G2" s="1850"/>
      <c r="H2" s="1850"/>
      <c r="J2" s="19"/>
      <c r="K2" s="1629" t="s">
        <v>239</v>
      </c>
      <c r="L2" s="1629"/>
      <c r="M2" s="19"/>
      <c r="N2" s="1630"/>
      <c r="O2" s="1630"/>
    </row>
    <row r="3" spans="2:19" ht="15" customHeight="1" x14ac:dyDescent="0.2">
      <c r="J3" s="19"/>
      <c r="M3" s="19"/>
      <c r="N3" s="19"/>
      <c r="O3" s="19"/>
    </row>
    <row r="4" spans="2:19" ht="15" customHeight="1" x14ac:dyDescent="0.3">
      <c r="C4" s="1851" t="s">
        <v>392</v>
      </c>
      <c r="D4" s="1851"/>
      <c r="E4" s="1851"/>
      <c r="F4" s="1851"/>
      <c r="G4" s="1851"/>
      <c r="H4" s="1851"/>
      <c r="I4" s="475"/>
      <c r="J4" s="475"/>
      <c r="K4" s="475"/>
      <c r="L4" s="475"/>
      <c r="M4" s="475"/>
      <c r="N4" s="19"/>
      <c r="O4" s="19"/>
    </row>
    <row r="5" spans="2:19" ht="12" customHeight="1" x14ac:dyDescent="0.2">
      <c r="C5" s="101" t="str">
        <f>'K1 Kostnader'!C5</f>
        <v>Tjänsten erbjuds av</v>
      </c>
      <c r="D5" s="101"/>
      <c r="J5" s="19"/>
      <c r="K5" s="19"/>
      <c r="L5" s="19"/>
      <c r="M5" s="19"/>
      <c r="N5" s="19"/>
      <c r="O5" s="19"/>
    </row>
    <row r="6" spans="2:19" ht="12" customHeight="1" x14ac:dyDescent="0.25">
      <c r="C6" s="63" t="str">
        <f>Startsidan!G35</f>
        <v>Business Kristinestad och Dynamo Närpes</v>
      </c>
      <c r="I6" s="41"/>
      <c r="J6" s="12"/>
    </row>
    <row r="7" spans="2:19" ht="12" customHeight="1" x14ac:dyDescent="0.25">
      <c r="C7" s="101"/>
      <c r="I7" s="41"/>
      <c r="J7" s="12"/>
    </row>
    <row r="8" spans="2:19" ht="13.5" customHeight="1" x14ac:dyDescent="0.2">
      <c r="C8" s="101" t="s">
        <v>238</v>
      </c>
      <c r="D8" s="162"/>
      <c r="H8" s="149"/>
    </row>
    <row r="9" spans="2:19" ht="13.5" customHeight="1" x14ac:dyDescent="0.2">
      <c r="C9" s="1848"/>
      <c r="D9" s="1848"/>
      <c r="E9" s="1640"/>
      <c r="F9" s="1651"/>
      <c r="G9" s="1651"/>
      <c r="H9" s="1651"/>
      <c r="I9" s="474"/>
      <c r="J9" s="478"/>
      <c r="K9" s="474"/>
    </row>
    <row r="10" spans="2:19" ht="6" customHeight="1" x14ac:dyDescent="0.2">
      <c r="F10" s="36"/>
      <c r="G10" s="419"/>
      <c r="H10" s="36"/>
      <c r="I10" s="36"/>
      <c r="J10" s="1642"/>
      <c r="K10" s="1642"/>
      <c r="L10" s="1642"/>
      <c r="M10" s="1642"/>
      <c r="N10" s="1642"/>
    </row>
    <row r="11" spans="2:19" ht="15" customHeight="1" x14ac:dyDescent="0.2">
      <c r="B11" s="1634" t="s">
        <v>235</v>
      </c>
      <c r="C11" s="1852" t="str">
        <f>IF(F13=12,"VERKSAMHETSKOSTNADER UNDER RÄKENSKAPSPERIODEN ","VERKSAMHETSKOSTNADER UNDER RÄKENSKAPSPERIODEN. OBSERVERA RÄKENSKAPSPERIODENS LÄNGD!")</f>
        <v xml:space="preserve">VERKSAMHETSKOSTNADER UNDER RÄKENSKAPSPERIODEN </v>
      </c>
      <c r="D11" s="1852"/>
      <c r="E11" s="1853"/>
      <c r="F11" s="1188" t="s">
        <v>313</v>
      </c>
      <c r="G11" s="1188" t="s">
        <v>314</v>
      </c>
      <c r="H11" s="1189" t="s">
        <v>315</v>
      </c>
      <c r="I11" s="1155"/>
      <c r="J11" s="1025" t="s">
        <v>697</v>
      </c>
      <c r="K11" s="137"/>
      <c r="L11" s="1017"/>
      <c r="M11" s="1018"/>
      <c r="N11" s="1018"/>
      <c r="O11" s="1018"/>
      <c r="P11" s="1018"/>
      <c r="Q11" s="1059"/>
      <c r="R11" s="1059"/>
      <c r="S11" s="1356"/>
    </row>
    <row r="12" spans="2:19" ht="13.5" customHeight="1" thickBot="1" x14ac:dyDescent="0.25">
      <c r="B12" s="1634"/>
      <c r="C12" s="1852"/>
      <c r="D12" s="1852"/>
      <c r="E12" s="1853"/>
      <c r="F12" s="1154">
        <v>2027</v>
      </c>
      <c r="G12" s="865">
        <f>F12+1</f>
        <v>2028</v>
      </c>
      <c r="H12" s="1159">
        <f>G12+1</f>
        <v>2029</v>
      </c>
      <c r="I12" s="1156"/>
      <c r="J12" s="1026" t="s">
        <v>0</v>
      </c>
      <c r="K12" s="8"/>
      <c r="L12" s="412"/>
      <c r="M12" s="412"/>
      <c r="N12" s="412"/>
      <c r="O12" s="412"/>
      <c r="P12" s="412"/>
      <c r="Q12" s="412"/>
      <c r="R12" s="412"/>
      <c r="S12" s="1022"/>
    </row>
    <row r="13" spans="2:19" ht="13.5" thickBot="1" x14ac:dyDescent="0.25">
      <c r="B13" s="675"/>
      <c r="C13" s="1261"/>
      <c r="D13" s="1262" t="s">
        <v>241</v>
      </c>
      <c r="E13" s="1261"/>
      <c r="F13" s="866">
        <v>12</v>
      </c>
      <c r="G13" s="518">
        <v>12</v>
      </c>
      <c r="H13" s="1160">
        <v>12</v>
      </c>
      <c r="I13" s="1156"/>
      <c r="J13" s="1026"/>
      <c r="K13" s="8"/>
      <c r="L13" s="412"/>
      <c r="M13" s="412"/>
      <c r="N13" s="412"/>
      <c r="O13" s="1373" t="s">
        <v>760</v>
      </c>
      <c r="P13" s="412"/>
      <c r="Q13" s="412"/>
      <c r="R13" s="412"/>
      <c r="S13" s="1022"/>
    </row>
    <row r="14" spans="2:19" ht="13.5" thickBot="1" x14ac:dyDescent="0.25">
      <c r="B14" s="655" t="s">
        <v>105</v>
      </c>
      <c r="C14" s="157" t="s">
        <v>4</v>
      </c>
      <c r="D14" s="1621" t="s">
        <v>716</v>
      </c>
      <c r="E14" s="1621"/>
      <c r="F14" s="711">
        <f>F16*F18</f>
        <v>0</v>
      </c>
      <c r="G14" s="711">
        <f>G16*G18</f>
        <v>0</v>
      </c>
      <c r="H14" s="1161">
        <f>H16*H18</f>
        <v>0</v>
      </c>
      <c r="I14" s="1156"/>
      <c r="J14" s="1609" t="s">
        <v>311</v>
      </c>
      <c r="K14" s="1610"/>
      <c r="L14" s="355"/>
      <c r="M14" s="355"/>
      <c r="N14" s="355"/>
      <c r="O14" s="346"/>
      <c r="P14" s="346"/>
      <c r="Q14" s="346"/>
      <c r="R14" s="346"/>
      <c r="S14" s="1298"/>
    </row>
    <row r="15" spans="2:19" x14ac:dyDescent="0.2">
      <c r="B15" s="656" t="s">
        <v>0</v>
      </c>
      <c r="C15" s="157">
        <v>0</v>
      </c>
      <c r="D15" s="1620" t="s">
        <v>776</v>
      </c>
      <c r="E15" s="1620"/>
      <c r="F15" s="712">
        <f>(F16+F17)*F18</f>
        <v>0</v>
      </c>
      <c r="G15" s="712">
        <f>(G16+G17)*G18</f>
        <v>0</v>
      </c>
      <c r="H15" s="1162">
        <f>(H16+H17)*H18</f>
        <v>0</v>
      </c>
      <c r="I15" s="1157"/>
      <c r="J15" s="1081">
        <f>G$12</f>
        <v>2028</v>
      </c>
      <c r="K15" s="1082">
        <f>H$12</f>
        <v>2029</v>
      </c>
      <c r="L15" s="751"/>
      <c r="M15" s="751"/>
      <c r="N15" s="751"/>
      <c r="O15" s="751"/>
      <c r="P15" s="751"/>
      <c r="Q15" s="751"/>
      <c r="R15" s="751"/>
      <c r="S15" s="1020"/>
    </row>
    <row r="16" spans="2:19" x14ac:dyDescent="0.2">
      <c r="B16" s="656"/>
      <c r="C16" s="157"/>
      <c r="D16" s="676" t="s">
        <v>393</v>
      </c>
      <c r="E16" s="343"/>
      <c r="F16" s="867">
        <v>0</v>
      </c>
      <c r="G16" s="867">
        <f>F16 +F16*J16</f>
        <v>0</v>
      </c>
      <c r="H16" s="1163">
        <f>G16 +G16*K16</f>
        <v>0</v>
      </c>
      <c r="I16" s="1157"/>
      <c r="J16" s="962">
        <v>0.03</v>
      </c>
      <c r="K16" s="962">
        <f>J16</f>
        <v>0.03</v>
      </c>
      <c r="L16" s="751"/>
      <c r="M16" s="751"/>
      <c r="N16" s="751"/>
      <c r="O16" s="751"/>
      <c r="P16" s="751"/>
      <c r="Q16" s="751"/>
      <c r="R16" s="751"/>
      <c r="S16" s="1020"/>
    </row>
    <row r="17" spans="1:19" x14ac:dyDescent="0.2">
      <c r="B17" s="656"/>
      <c r="C17" s="157"/>
      <c r="D17" s="676" t="s">
        <v>394</v>
      </c>
      <c r="E17" s="343"/>
      <c r="F17" s="867">
        <v>0</v>
      </c>
      <c r="G17" s="867">
        <f>F17 +F17*J17</f>
        <v>0</v>
      </c>
      <c r="H17" s="1163">
        <f>G17 +G17*K17</f>
        <v>0</v>
      </c>
      <c r="I17" s="1157"/>
      <c r="J17" s="962">
        <v>0.03</v>
      </c>
      <c r="K17" s="962">
        <f>J17</f>
        <v>0.03</v>
      </c>
      <c r="L17" s="751"/>
      <c r="M17" s="751"/>
      <c r="N17" s="751"/>
      <c r="O17" s="751"/>
      <c r="P17" s="751"/>
      <c r="Q17" s="751"/>
      <c r="R17" s="751"/>
      <c r="S17" s="1020"/>
    </row>
    <row r="18" spans="1:19" x14ac:dyDescent="0.2">
      <c r="B18" s="656"/>
      <c r="C18" s="157"/>
      <c r="D18" s="676" t="s">
        <v>243</v>
      </c>
      <c r="E18" s="343"/>
      <c r="F18" s="868">
        <v>12</v>
      </c>
      <c r="G18" s="868">
        <v>12.5</v>
      </c>
      <c r="H18" s="1164">
        <f>G18</f>
        <v>12.5</v>
      </c>
      <c r="I18" s="1157"/>
      <c r="J18" s="701"/>
      <c r="K18" s="751"/>
      <c r="L18" s="751"/>
      <c r="M18" s="751"/>
      <c r="N18" s="751"/>
      <c r="O18" s="751"/>
      <c r="P18" s="751"/>
      <c r="Q18" s="751"/>
      <c r="R18" s="751"/>
      <c r="S18" s="1020"/>
    </row>
    <row r="19" spans="1:19" ht="13.5" thickBot="1" x14ac:dyDescent="0.25">
      <c r="B19" s="656"/>
      <c r="C19" s="349"/>
      <c r="D19" s="677" t="s">
        <v>576</v>
      </c>
      <c r="E19" s="335"/>
      <c r="F19" s="869">
        <v>1</v>
      </c>
      <c r="G19" s="869">
        <f>F19</f>
        <v>1</v>
      </c>
      <c r="H19" s="1165">
        <f>G19</f>
        <v>1</v>
      </c>
      <c r="I19" s="1157"/>
      <c r="J19" s="701"/>
      <c r="K19" s="751"/>
      <c r="L19" s="751"/>
      <c r="M19" s="751"/>
      <c r="N19" s="751"/>
      <c r="O19" s="751"/>
      <c r="P19" s="751"/>
      <c r="Q19" s="751"/>
      <c r="R19" s="751"/>
      <c r="S19" s="1020"/>
    </row>
    <row r="20" spans="1:19" x14ac:dyDescent="0.2">
      <c r="A20" s="162"/>
      <c r="B20" s="655" t="s">
        <v>106</v>
      </c>
      <c r="C20" s="157" t="s">
        <v>5</v>
      </c>
      <c r="D20" s="1621" t="s">
        <v>717</v>
      </c>
      <c r="E20" s="1621"/>
      <c r="F20" s="713">
        <f>IF($F13=6,'5 YP Lainat ja avustukset'!B148,IF($F13=7,'5 YP Lainat ja avustukset'!C149,IF($F13=8,'5 YP Lainat ja avustukset'!D150,IF($F13=9,'5 YP Lainat ja avustukset'!E151,IF($F13=10,'5 YP Lainat ja avustukset'!F152,IF($F13=11,'5 YP Lainat ja avustukset'!G153,IF($F13=12,'5 YP Lainat ja avustukset'!H154,IF($F13=13,'5 YP Lainat ja avustukset'!I155,IF($F13=14,'5 YP Lainat ja avustukset'!J156,IF($F13=15,'5 YP Lainat ja avustukset'!K157,IF($F13=16,'5 YP Lainat ja avustukset'!L158,IF($F13=17,'5 YP Lainat ja avustukset'!M159,'5 YP Lainat ja avustukset'!N160))))))))))))</f>
        <v>0</v>
      </c>
      <c r="G20" s="714">
        <f>IF($F13=6,'5 YP Lainat ja avustukset'!N148,IF($F13=7,'5 YP Lainat ja avustukset'!O149,IF($F13=8,'5 YP Lainat ja avustukset'!P150,IF($F13=9,'5 YP Lainat ja avustukset'!Q151,IF($F13=10,'5 YP Lainat ja avustukset'!R152,IF($F13=11,'5 YP Lainat ja avustukset'!S153,IF($F13=12,'5 YP Lainat ja avustukset'!T154,IF($F13=13,'5 YP Lainat ja avustukset'!U155,IF($F13=14,'5 YP Lainat ja avustukset'!V156,IF($F13=15,'5 YP Lainat ja avustukset'!W157,IF($F13=16,'5 YP Lainat ja avustukset'!X158,IF($F13=17,'5 YP Lainat ja avustukset'!Y159,'5 YP Lainat ja avustukset'!Z160))))))))))))</f>
        <v>0</v>
      </c>
      <c r="H20" s="1166">
        <f>IF($F13=6,'5 YP Lainat ja avustukset'!Z148,IF($F13=7,'5 YP Lainat ja avustukset'!AA149,IF($F13=8,'5 YP Lainat ja avustukset'!AB150,IF($F13=9,'5 YP Lainat ja avustukset'!AC151,IF($F13=10,'5 YP Lainat ja avustukset'!AD152,IF($F13=11,'5 YP Lainat ja avustukset'!AE153,IF($F13=12,'5 YP Lainat ja avustukset'!AF154,IF($F13=13,'5 YP Lainat ja avustukset'!AG155,IF($F13=14,'5 YP Lainat ja avustukset'!AH156,IF($F13=15,'5 YP Lainat ja avustukset'!AI157,IF($F13=16,'5 YP Lainat ja avustukset'!AJ158,IF($F13=17,'5 YP Lainat ja avustukset'!AK159,'5 YP Lainat ja avustukset'!AL160))))))))))))</f>
        <v>0</v>
      </c>
      <c r="I20" s="1158"/>
      <c r="J20" s="701"/>
      <c r="K20" s="751"/>
      <c r="L20" s="751"/>
      <c r="M20" s="751"/>
      <c r="N20" s="751"/>
      <c r="O20" s="751"/>
      <c r="P20" s="751"/>
      <c r="Q20" s="751"/>
      <c r="R20" s="751"/>
      <c r="S20" s="1020"/>
    </row>
    <row r="21" spans="1:19" x14ac:dyDescent="0.2">
      <c r="B21" s="656"/>
      <c r="C21" s="157"/>
      <c r="D21" s="676" t="s">
        <v>244</v>
      </c>
      <c r="E21" s="343"/>
      <c r="F21" s="715">
        <f>IF($F13=6,'5 YP Lainat ja avustukset'!B134,IF($F13=7,'5 YP Lainat ja avustukset'!C135,IF($F13=8,'5 YP Lainat ja avustukset'!D136,IF($F13=9,'5 YP Lainat ja avustukset'!E137,IF($F13=10,'5 YP Lainat ja avustukset'!F138,IF($F13=11,'5 YP Lainat ja avustukset'!G139,IF($F13=12,'5 YP Lainat ja avustukset'!H140,IF($F13=13,'5 YP Lainat ja avustukset'!I141,IF($F13=14,'5 YP Lainat ja avustukset'!J142,IF($F13=15,'5 YP Lainat ja avustukset'!K143,IF($F13=16,'5 YP Lainat ja avustukset'!L144,IF($F13=17,'5 YP Lainat ja avustukset'!M145,'5 YP Lainat ja avustukset'!N146))))))))))))</f>
        <v>0</v>
      </c>
      <c r="G21" s="715">
        <f>IF($F13=6,'5 YP Lainat ja avustukset'!N134,IF($F13=7,'5 YP Lainat ja avustukset'!O135,IF($F13=8,'5 YP Lainat ja avustukset'!P136,IF($F13=9,'5 YP Lainat ja avustukset'!Q137,IF($F13=10,'5 YP Lainat ja avustukset'!R138,IF($F13=11,'5 YP Lainat ja avustukset'!S139,IF($F13=12,'5 YP Lainat ja avustukset'!T140,IF($F13=13,'5 YP Lainat ja avustukset'!U141,IF($F13=14,'5 YP Lainat ja avustukset'!V142,IF($F13=15,'5 YP Lainat ja avustukset'!W143,IF($F13=16,'5 YP Lainat ja avustukset'!X144,IF($F13=17,'5 YP Lainat ja avustukset'!Y145,'5 YP Lainat ja avustukset'!Z146))))))))))))</f>
        <v>0</v>
      </c>
      <c r="H21" s="1167">
        <f>IF($F13=6,'5 YP Lainat ja avustukset'!Z134,IF($F13=7,'5 YP Lainat ja avustukset'!AA135,IF($F13=8,'5 YP Lainat ja avustukset'!AB136,IF($F13=9,'5 YP Lainat ja avustukset'!AC137,IF($F13=10,'5 YP Lainat ja avustukset'!AD138,IF($F13=11,'5 YP Lainat ja avustukset'!AE139,IF($F13=12,'5 YP Lainat ja avustukset'!AF140,IF($F13=13,'5 YP Lainat ja avustukset'!AG141,IF($F13=14,'5 YP Lainat ja avustukset'!AH142,IF($F13=15,'5 YP Lainat ja avustukset'!AI143,IF($F13=16,'5 YP Lainat ja avustukset'!AJ144,IF($F13=17,'5 YP Lainat ja avustukset'!AK145,'5 YP Lainat ja avustukset'!AL146))))))))))))</f>
        <v>0</v>
      </c>
      <c r="I21" s="1158"/>
      <c r="J21" s="701"/>
      <c r="K21" s="751"/>
      <c r="L21" s="751"/>
      <c r="M21" s="751"/>
      <c r="N21" s="751"/>
      <c r="O21" s="751"/>
      <c r="P21" s="751"/>
      <c r="Q21" s="751"/>
      <c r="R21" s="751"/>
      <c r="S21" s="1020"/>
    </row>
    <row r="22" spans="1:19" ht="13.5" thickBot="1" x14ac:dyDescent="0.25">
      <c r="A22" s="162"/>
      <c r="B22" s="656"/>
      <c r="C22" s="349"/>
      <c r="D22" s="677" t="s">
        <v>245</v>
      </c>
      <c r="E22" s="335"/>
      <c r="F22" s="716">
        <f>IF($F13&lt;12,'5 YP Lainat ja avustukset'!G131,IF($F13&lt;18,'5 YP Lainat ja avustukset'!M131,'5 YP Lainat ja avustukset'!N131))</f>
        <v>0</v>
      </c>
      <c r="G22" s="717">
        <f>IF($F13&lt;12,'5 YP Lainat ja avustukset'!S131,IF($F13&lt;18,'5 YP Lainat ja avustukset'!Y131,'5 YP Lainat ja avustukset'!Z131))</f>
        <v>0</v>
      </c>
      <c r="H22" s="1168">
        <f>IF($F13&lt;12,'5 YP Lainat ja avustukset'!AE131,IF($F13&lt;18,'5 YP Lainat ja avustukset'!AK131,'5 YP Lainat ja avustukset'!AL131))</f>
        <v>0</v>
      </c>
      <c r="I22" s="1158"/>
      <c r="J22" s="701"/>
      <c r="K22" s="751"/>
      <c r="L22" s="751"/>
      <c r="M22" s="751"/>
      <c r="N22" s="751"/>
      <c r="O22" s="751"/>
      <c r="P22" s="751"/>
      <c r="Q22" s="751"/>
      <c r="R22" s="751"/>
      <c r="S22" s="1020"/>
    </row>
    <row r="23" spans="1:19" ht="12.75" customHeight="1" thickBot="1" x14ac:dyDescent="0.25">
      <c r="A23" s="2"/>
      <c r="B23" s="655" t="s">
        <v>107</v>
      </c>
      <c r="C23" s="350" t="s">
        <v>6</v>
      </c>
      <c r="D23" s="351" t="s">
        <v>246</v>
      </c>
      <c r="E23" s="351"/>
      <c r="F23" s="711">
        <f>F14+F20</f>
        <v>0</v>
      </c>
      <c r="G23" s="707">
        <f>G14+G20</f>
        <v>0</v>
      </c>
      <c r="H23" s="1161">
        <f>H14+H20</f>
        <v>0</v>
      </c>
      <c r="I23" s="1158"/>
      <c r="J23" s="701"/>
      <c r="K23" s="751"/>
      <c r="L23" s="751"/>
      <c r="M23" s="751"/>
      <c r="N23" s="751"/>
      <c r="O23" s="751"/>
      <c r="P23" s="751"/>
      <c r="Q23" s="751"/>
      <c r="R23" s="751"/>
      <c r="S23" s="1020"/>
    </row>
    <row r="24" spans="1:19" ht="4.5" customHeight="1" x14ac:dyDescent="0.2">
      <c r="A24" s="162"/>
      <c r="B24" s="657"/>
      <c r="C24" s="157"/>
      <c r="D24" s="345"/>
      <c r="E24" s="345"/>
      <c r="F24" s="718"/>
      <c r="G24" s="718"/>
      <c r="H24" s="718"/>
      <c r="I24" s="3"/>
      <c r="J24" s="1029"/>
      <c r="K24" s="412"/>
      <c r="L24" s="412"/>
      <c r="M24" s="412"/>
      <c r="N24" s="412"/>
      <c r="O24" s="412"/>
      <c r="P24" s="412"/>
      <c r="Q24" s="412"/>
      <c r="R24" s="751"/>
      <c r="S24" s="1020"/>
    </row>
    <row r="25" spans="1:19" ht="17.649999999999999" customHeight="1" thickBot="1" x14ac:dyDescent="0.25">
      <c r="B25" s="656"/>
      <c r="C25" s="1478" t="s">
        <v>0</v>
      </c>
      <c r="D25" s="1481" t="s">
        <v>784</v>
      </c>
      <c r="E25" s="1341"/>
      <c r="F25" s="1479"/>
      <c r="G25" s="1479"/>
      <c r="H25" s="1480"/>
      <c r="I25" s="408"/>
      <c r="J25" s="1359"/>
      <c r="K25" s="751"/>
      <c r="L25" s="751"/>
      <c r="M25" s="751"/>
      <c r="N25" s="751"/>
      <c r="O25" s="751"/>
      <c r="P25" s="751"/>
      <c r="Q25" s="751"/>
      <c r="R25" s="751"/>
      <c r="S25" s="1020"/>
    </row>
    <row r="26" spans="1:19" x14ac:dyDescent="0.2">
      <c r="A26" s="162"/>
      <c r="B26" s="655" t="s">
        <v>129</v>
      </c>
      <c r="C26" s="157" t="s">
        <v>7</v>
      </c>
      <c r="D26" s="1621" t="s">
        <v>718</v>
      </c>
      <c r="E26" s="1621"/>
      <c r="F26" s="719">
        <f>IF(F27=0,0,-F13*PMT('FS3 Resultat'!$H22/12,'FS3 Resultat'!$I22*12,'FS3 Resultat'!$K22)+10*F13)</f>
        <v>0</v>
      </c>
      <c r="G26" s="719">
        <f>IF(G27=0,0,-G13*PMT('FS3 Resultat'!$H22/12,'FS3 Resultat'!$I22*12,'FS3 Resultat'!$K22)+10*G13)</f>
        <v>0</v>
      </c>
      <c r="H26" s="1169">
        <f>IF(H27=0,0,-H13*PMT('FS3 Resultat'!$H22/12,'FS3 Resultat'!$I22*12,'FS3 Resultat'!$K22)+10*H13)</f>
        <v>0</v>
      </c>
      <c r="I26" s="48"/>
      <c r="J26" s="701"/>
      <c r="K26" s="751"/>
      <c r="L26" s="751"/>
      <c r="M26" s="751"/>
      <c r="N26" s="751"/>
      <c r="O26" s="751"/>
      <c r="P26" s="751"/>
      <c r="Q26" s="751"/>
      <c r="R26" s="751"/>
      <c r="S26" s="1020"/>
    </row>
    <row r="27" spans="1:19" ht="13.5" thickBot="1" x14ac:dyDescent="0.25">
      <c r="B27" s="656"/>
      <c r="C27" s="349"/>
      <c r="D27" s="1617" t="s">
        <v>247</v>
      </c>
      <c r="E27" s="1617"/>
      <c r="F27" s="720">
        <f>'FS3 Resultat'!K22</f>
        <v>0</v>
      </c>
      <c r="G27" s="715">
        <f>IF('FS3 Resultat'!$I$22&lt;2,0,F27)</f>
        <v>0</v>
      </c>
      <c r="H27" s="1167">
        <f>IF('FS3 Resultat'!$I$22&lt;3,0,G27)</f>
        <v>0</v>
      </c>
      <c r="I27" s="44"/>
      <c r="J27" s="701"/>
      <c r="K27" s="751"/>
      <c r="L27" s="751"/>
      <c r="M27" s="751"/>
      <c r="N27" s="751"/>
      <c r="O27" s="751"/>
      <c r="P27" s="751"/>
      <c r="Q27" s="751"/>
      <c r="R27" s="751"/>
      <c r="S27" s="1020"/>
    </row>
    <row r="28" spans="1:19" ht="13.5" thickBot="1" x14ac:dyDescent="0.25">
      <c r="A28" s="162"/>
      <c r="B28" s="655" t="s">
        <v>175</v>
      </c>
      <c r="C28" s="350" t="s">
        <v>8</v>
      </c>
      <c r="D28" s="1263" t="s">
        <v>248</v>
      </c>
      <c r="E28" s="481"/>
      <c r="F28" s="711">
        <f>Lönekostnader!C83</f>
        <v>0</v>
      </c>
      <c r="G28" s="711">
        <f>Lönekostnader!D83</f>
        <v>0</v>
      </c>
      <c r="H28" s="1161">
        <f>Lönekostnader!E83</f>
        <v>0</v>
      </c>
      <c r="I28" s="5"/>
      <c r="J28" s="1029"/>
      <c r="K28" s="412"/>
      <c r="L28" s="412"/>
      <c r="M28" s="412"/>
      <c r="N28" s="412"/>
      <c r="O28" s="412"/>
      <c r="P28" s="412"/>
      <c r="Q28" s="412"/>
      <c r="R28" s="412"/>
      <c r="S28" s="1022"/>
    </row>
    <row r="29" spans="1:19" ht="13.5" thickBot="1" x14ac:dyDescent="0.25">
      <c r="A29" s="162"/>
      <c r="B29" s="655" t="s">
        <v>108</v>
      </c>
      <c r="C29" s="157" t="s">
        <v>9</v>
      </c>
      <c r="D29" s="665" t="s">
        <v>719</v>
      </c>
      <c r="E29" s="342"/>
      <c r="F29" s="711">
        <f>F30+F33</f>
        <v>0</v>
      </c>
      <c r="G29" s="711">
        <f>G30+G33</f>
        <v>0</v>
      </c>
      <c r="H29" s="1161">
        <f>H30+H33</f>
        <v>0</v>
      </c>
      <c r="I29" s="5"/>
      <c r="J29" s="701"/>
      <c r="K29" s="751"/>
      <c r="L29" s="751"/>
      <c r="M29" s="751"/>
      <c r="N29" s="751"/>
      <c r="O29" s="751"/>
      <c r="P29" s="751"/>
      <c r="Q29" s="751"/>
      <c r="R29" s="751"/>
      <c r="S29" s="1020"/>
    </row>
    <row r="30" spans="1:19" x14ac:dyDescent="0.2">
      <c r="B30" s="656" t="s">
        <v>0</v>
      </c>
      <c r="C30" s="157" t="s">
        <v>0</v>
      </c>
      <c r="D30" s="343" t="s">
        <v>249</v>
      </c>
      <c r="E30" s="343"/>
      <c r="F30" s="721">
        <f>F31*F13*F32/12</f>
        <v>0</v>
      </c>
      <c r="G30" s="721">
        <f>IF(G32&gt;0,G31*G32,G15*G31)</f>
        <v>0</v>
      </c>
      <c r="H30" s="1170">
        <f>IF(H32&gt;0,H31*H32,H15*H31)</f>
        <v>0</v>
      </c>
      <c r="I30" s="5"/>
      <c r="J30" s="1590"/>
      <c r="K30" s="836"/>
      <c r="L30" s="751"/>
      <c r="M30" s="751"/>
      <c r="N30" s="751"/>
      <c r="O30" s="751"/>
      <c r="P30" s="751"/>
      <c r="Q30" s="751"/>
      <c r="R30" s="751"/>
      <c r="S30" s="1020"/>
    </row>
    <row r="31" spans="1:19" x14ac:dyDescent="0.2">
      <c r="A31" s="162"/>
      <c r="B31" s="656"/>
      <c r="C31" s="157"/>
      <c r="D31" s="343" t="s">
        <v>250</v>
      </c>
      <c r="E31" s="343"/>
      <c r="F31" s="870">
        <v>0.1903</v>
      </c>
      <c r="G31" s="870">
        <f>F31</f>
        <v>0.1903</v>
      </c>
      <c r="H31" s="1171">
        <f>G31</f>
        <v>0.1903</v>
      </c>
      <c r="I31" s="5"/>
      <c r="J31" s="1591">
        <v>0</v>
      </c>
      <c r="K31" s="1264"/>
      <c r="L31" s="412"/>
      <c r="M31" s="412"/>
      <c r="N31" s="412"/>
      <c r="O31" s="412"/>
      <c r="P31" s="412"/>
      <c r="Q31" s="412"/>
      <c r="R31" s="412"/>
      <c r="S31" s="1022"/>
    </row>
    <row r="32" spans="1:19" x14ac:dyDescent="0.2">
      <c r="A32" s="2"/>
      <c r="B32" s="656"/>
      <c r="C32" s="157"/>
      <c r="D32" s="1620" t="s">
        <v>251</v>
      </c>
      <c r="E32" s="1620"/>
      <c r="F32" s="871">
        <f>12.5*F16+12.5*F17</f>
        <v>0</v>
      </c>
      <c r="G32" s="871">
        <f t="shared" ref="G32:H32" si="0">12.5*G16+12.5*G17</f>
        <v>0</v>
      </c>
      <c r="H32" s="871">
        <f t="shared" si="0"/>
        <v>0</v>
      </c>
      <c r="I32" s="5"/>
      <c r="J32" s="1591"/>
      <c r="K32" s="1264"/>
      <c r="L32" s="751"/>
      <c r="M32" s="751"/>
      <c r="N32" s="751"/>
      <c r="O32" s="751"/>
      <c r="P32" s="751"/>
      <c r="Q32" s="751"/>
      <c r="R32" s="751"/>
      <c r="S32" s="1020"/>
    </row>
    <row r="33" spans="1:19" x14ac:dyDescent="0.2">
      <c r="A33" s="2"/>
      <c r="B33" s="656"/>
      <c r="C33" s="157"/>
      <c r="D33" s="343" t="s">
        <v>252</v>
      </c>
      <c r="E33" s="343"/>
      <c r="F33" s="722">
        <f>(F34)*Lönekostnader!C85+F35</f>
        <v>0</v>
      </c>
      <c r="G33" s="722">
        <f>(G34)*Lönekostnader!D85+G35</f>
        <v>0</v>
      </c>
      <c r="H33" s="1151">
        <f>(H34)*Lönekostnader!E85+H35</f>
        <v>0</v>
      </c>
      <c r="I33" s="5"/>
      <c r="J33" s="701"/>
      <c r="K33" s="751"/>
      <c r="L33" s="751"/>
      <c r="M33" s="751"/>
      <c r="N33" s="751"/>
      <c r="O33" s="751"/>
      <c r="P33" s="751"/>
      <c r="Q33" s="751"/>
      <c r="R33" s="751"/>
      <c r="S33" s="1020"/>
    </row>
    <row r="34" spans="1:19" x14ac:dyDescent="0.2">
      <c r="A34" s="162"/>
      <c r="B34" s="656"/>
      <c r="C34" s="157"/>
      <c r="D34" s="343" t="s">
        <v>253</v>
      </c>
      <c r="E34" s="343"/>
      <c r="F34" s="872">
        <v>0.17100000000000001</v>
      </c>
      <c r="G34" s="870">
        <f t="shared" ref="G34:H35" si="1">F34</f>
        <v>0.17100000000000001</v>
      </c>
      <c r="H34" s="1171">
        <f t="shared" si="1"/>
        <v>0.17100000000000001</v>
      </c>
      <c r="I34" s="5"/>
      <c r="J34" s="701"/>
      <c r="K34" s="751"/>
      <c r="L34" s="751"/>
      <c r="M34" s="751"/>
      <c r="N34" s="751"/>
      <c r="O34" s="751"/>
      <c r="P34" s="751"/>
      <c r="Q34" s="751"/>
      <c r="R34" s="751"/>
      <c r="S34" s="1020"/>
    </row>
    <row r="35" spans="1:19" ht="13.5" thickBot="1" x14ac:dyDescent="0.25">
      <c r="A35" s="162"/>
      <c r="B35" s="656"/>
      <c r="C35" s="349"/>
      <c r="D35" s="335" t="s">
        <v>254</v>
      </c>
      <c r="E35" s="335"/>
      <c r="F35" s="869">
        <v>0</v>
      </c>
      <c r="G35" s="869">
        <f>F35*12/F$13</f>
        <v>0</v>
      </c>
      <c r="H35" s="1165">
        <f t="shared" si="1"/>
        <v>0</v>
      </c>
      <c r="I35" s="5"/>
      <c r="J35" s="701"/>
      <c r="K35" s="751"/>
      <c r="L35" s="751"/>
      <c r="M35" s="751"/>
      <c r="N35" s="751"/>
      <c r="O35" s="751"/>
      <c r="P35" s="751"/>
      <c r="Q35" s="751"/>
      <c r="R35" s="751"/>
      <c r="S35" s="1020"/>
    </row>
    <row r="36" spans="1:19" ht="13.5" thickBot="1" x14ac:dyDescent="0.25">
      <c r="A36" s="2"/>
      <c r="B36" s="655" t="s">
        <v>109</v>
      </c>
      <c r="C36" s="157" t="s">
        <v>10</v>
      </c>
      <c r="D36" s="1621" t="s">
        <v>741</v>
      </c>
      <c r="E36" s="1628"/>
      <c r="F36" s="711">
        <f>(F37)*Lönekostnader!C$85+F40+F38+F39</f>
        <v>0</v>
      </c>
      <c r="G36" s="711">
        <f>(G37)*Lönekostnader!D$85+G40+G38+G39</f>
        <v>0</v>
      </c>
      <c r="H36" s="1161">
        <f>(H37)*Lönekostnader!E$85+H40+H38+H39</f>
        <v>0</v>
      </c>
      <c r="I36" s="5"/>
      <c r="J36" s="701"/>
      <c r="K36" s="751"/>
      <c r="L36" s="751"/>
      <c r="M36" s="751"/>
      <c r="N36" s="751"/>
      <c r="O36" s="751"/>
      <c r="P36" s="751"/>
      <c r="Q36" s="751"/>
      <c r="R36" s="751"/>
      <c r="S36" s="1020"/>
    </row>
    <row r="37" spans="1:19" x14ac:dyDescent="0.2">
      <c r="B37" s="656"/>
      <c r="C37" s="157"/>
      <c r="D37" s="1624" t="s">
        <v>538</v>
      </c>
      <c r="E37" s="1624"/>
      <c r="F37" s="873">
        <v>2.7900000000000001E-2</v>
      </c>
      <c r="G37" s="873">
        <f>F37</f>
        <v>2.7900000000000001E-2</v>
      </c>
      <c r="H37" s="1172">
        <f>G37</f>
        <v>2.7900000000000001E-2</v>
      </c>
      <c r="I37" s="5"/>
      <c r="J37" s="1609" t="s">
        <v>309</v>
      </c>
      <c r="K37" s="1610"/>
      <c r="L37" s="751"/>
      <c r="M37" s="751"/>
      <c r="N37" s="751"/>
      <c r="O37" s="751"/>
      <c r="P37" s="751"/>
      <c r="Q37" s="751"/>
      <c r="R37" s="751"/>
      <c r="S37" s="1020"/>
    </row>
    <row r="38" spans="1:19" x14ac:dyDescent="0.2">
      <c r="B38" s="656"/>
      <c r="C38" s="157"/>
      <c r="D38" s="1620" t="s">
        <v>539</v>
      </c>
      <c r="E38" s="1620"/>
      <c r="F38" s="722">
        <f>F13*(1.7%*F32+1.91%*F15+0.008*'FS3 Resultat'!$K16)/12</f>
        <v>0</v>
      </c>
      <c r="G38" s="722">
        <f>G13*(1.7%*G32+1.91%*G15+0.008*'FS3 Resultat'!$K16)/12</f>
        <v>0</v>
      </c>
      <c r="H38" s="722">
        <f>H13*(1.7%*H32+1.91%*H15+0.008*'FS3 Resultat'!$K16)/12</f>
        <v>0</v>
      </c>
      <c r="I38" s="5"/>
      <c r="J38" s="1081">
        <f>G$12</f>
        <v>2028</v>
      </c>
      <c r="K38" s="1082">
        <f>H$12</f>
        <v>2029</v>
      </c>
      <c r="L38" s="751"/>
      <c r="M38" s="751"/>
      <c r="N38" s="751"/>
      <c r="O38" s="751"/>
      <c r="P38" s="751"/>
      <c r="Q38" s="751"/>
      <c r="R38" s="751"/>
      <c r="S38" s="1020"/>
    </row>
    <row r="39" spans="1:19" x14ac:dyDescent="0.2">
      <c r="A39" s="162"/>
      <c r="B39" s="656"/>
      <c r="C39" s="157"/>
      <c r="D39" s="1620" t="s">
        <v>255</v>
      </c>
      <c r="E39" s="1620"/>
      <c r="F39" s="867">
        <v>0</v>
      </c>
      <c r="G39" s="867">
        <f>F39*12/F$13+J39*F39*12/F$13</f>
        <v>0</v>
      </c>
      <c r="H39" s="1163">
        <f t="shared" ref="H39:H40" si="2">G39 +G39*K39</f>
        <v>0</v>
      </c>
      <c r="I39" s="5"/>
      <c r="J39" s="962">
        <v>0.03</v>
      </c>
      <c r="K39" s="962">
        <f>J39</f>
        <v>0.03</v>
      </c>
      <c r="L39" s="751"/>
      <c r="M39" s="751"/>
      <c r="N39" s="751"/>
      <c r="O39" s="751"/>
      <c r="P39" s="751"/>
      <c r="Q39" s="751"/>
      <c r="R39" s="751"/>
      <c r="S39" s="1020"/>
    </row>
    <row r="40" spans="1:19" ht="13.5" thickBot="1" x14ac:dyDescent="0.25">
      <c r="A40" s="2"/>
      <c r="B40" s="656"/>
      <c r="C40" s="349"/>
      <c r="D40" s="1617" t="s">
        <v>521</v>
      </c>
      <c r="E40" s="1617"/>
      <c r="F40" s="869">
        <v>0</v>
      </c>
      <c r="G40" s="867">
        <f>F40*12/F$13+J40*F40*12/F$13</f>
        <v>0</v>
      </c>
      <c r="H40" s="1163">
        <f t="shared" si="2"/>
        <v>0</v>
      </c>
      <c r="I40" s="5"/>
      <c r="J40" s="962">
        <v>0.03</v>
      </c>
      <c r="K40" s="962">
        <f>J40</f>
        <v>0.03</v>
      </c>
      <c r="L40" s="751"/>
      <c r="M40" s="751"/>
      <c r="N40" s="751"/>
      <c r="O40" s="751"/>
      <c r="P40" s="751"/>
      <c r="Q40" s="751"/>
      <c r="R40" s="751"/>
      <c r="S40" s="1020"/>
    </row>
    <row r="41" spans="1:19" ht="13.5" thickBot="1" x14ac:dyDescent="0.25">
      <c r="A41" s="162"/>
      <c r="B41" s="655" t="s">
        <v>110</v>
      </c>
      <c r="C41" s="157" t="s">
        <v>11</v>
      </c>
      <c r="D41" s="666" t="s">
        <v>654</v>
      </c>
      <c r="E41" s="344"/>
      <c r="F41" s="711">
        <f>SUM(F42:F46)</f>
        <v>0</v>
      </c>
      <c r="G41" s="711">
        <f>SUM(G42:G46)</f>
        <v>0</v>
      </c>
      <c r="H41" s="1161">
        <f>SUM(H42:H46)</f>
        <v>0</v>
      </c>
      <c r="I41" s="5"/>
      <c r="J41" s="1081">
        <f>G$12</f>
        <v>2028</v>
      </c>
      <c r="K41" s="1082">
        <f>H$12</f>
        <v>2029</v>
      </c>
      <c r="L41" s="751"/>
      <c r="M41" s="751"/>
      <c r="N41" s="751"/>
      <c r="O41" s="751"/>
      <c r="P41" s="751"/>
      <c r="Q41" s="751"/>
      <c r="R41" s="751"/>
      <c r="S41" s="1020"/>
    </row>
    <row r="42" spans="1:19" x14ac:dyDescent="0.2">
      <c r="B42" s="656"/>
      <c r="C42" s="157"/>
      <c r="D42" s="343" t="s">
        <v>257</v>
      </c>
      <c r="E42" s="315"/>
      <c r="F42" s="874">
        <v>0</v>
      </c>
      <c r="G42" s="874">
        <f>F42*12/F$13+J42*F42*12/F$13</f>
        <v>0</v>
      </c>
      <c r="H42" s="1173">
        <f t="shared" ref="H42:H46" si="3">G42 +G42*K42</f>
        <v>0</v>
      </c>
      <c r="I42" s="5"/>
      <c r="J42" s="962">
        <v>0.03</v>
      </c>
      <c r="K42" s="962">
        <f>J42</f>
        <v>0.03</v>
      </c>
      <c r="L42" s="751"/>
      <c r="M42" s="751"/>
      <c r="N42" s="751"/>
      <c r="O42" s="751"/>
      <c r="P42" s="751"/>
      <c r="Q42" s="751"/>
      <c r="R42" s="751"/>
      <c r="S42" s="1020"/>
    </row>
    <row r="43" spans="1:19" x14ac:dyDescent="0.2">
      <c r="A43" s="162"/>
      <c r="B43" s="656"/>
      <c r="C43" s="157"/>
      <c r="D43" s="343" t="s">
        <v>258</v>
      </c>
      <c r="E43" s="315"/>
      <c r="F43" s="867">
        <v>0</v>
      </c>
      <c r="G43" s="867">
        <f>F43*12/F$13+J43*F43*12/F$13</f>
        <v>0</v>
      </c>
      <c r="H43" s="1163">
        <f t="shared" si="3"/>
        <v>0</v>
      </c>
      <c r="I43" s="5"/>
      <c r="J43" s="962">
        <v>0.03</v>
      </c>
      <c r="K43" s="962">
        <f>J43</f>
        <v>0.03</v>
      </c>
      <c r="L43" s="751"/>
      <c r="M43" s="751"/>
      <c r="N43" s="751"/>
      <c r="O43" s="751"/>
      <c r="P43" s="751"/>
      <c r="Q43" s="751"/>
      <c r="R43" s="751"/>
      <c r="S43" s="1020"/>
    </row>
    <row r="44" spans="1:19" x14ac:dyDescent="0.2">
      <c r="A44" s="2"/>
      <c r="B44" s="656"/>
      <c r="C44" s="157"/>
      <c r="D44" s="343" t="s">
        <v>259</v>
      </c>
      <c r="E44" s="315"/>
      <c r="F44" s="867">
        <v>0</v>
      </c>
      <c r="G44" s="867">
        <f>F44*12/F$13+J44*F44*12/F$13</f>
        <v>0</v>
      </c>
      <c r="H44" s="1163">
        <f t="shared" si="3"/>
        <v>0</v>
      </c>
      <c r="I44" s="5"/>
      <c r="J44" s="962">
        <v>0.03</v>
      </c>
      <c r="K44" s="962">
        <f>J44</f>
        <v>0.03</v>
      </c>
      <c r="L44" s="751"/>
      <c r="M44" s="751"/>
      <c r="N44" s="751"/>
      <c r="O44" s="751"/>
      <c r="P44" s="751"/>
      <c r="Q44" s="751"/>
      <c r="R44" s="751"/>
      <c r="S44" s="1020"/>
    </row>
    <row r="45" spans="1:19" x14ac:dyDescent="0.2">
      <c r="B45" s="656"/>
      <c r="C45" s="157"/>
      <c r="D45" s="343" t="s">
        <v>260</v>
      </c>
      <c r="E45" s="315"/>
      <c r="F45" s="867">
        <v>0</v>
      </c>
      <c r="G45" s="867">
        <f>F45*12/F$13+J45*F45*12/F$13</f>
        <v>0</v>
      </c>
      <c r="H45" s="1163">
        <f t="shared" si="3"/>
        <v>0</v>
      </c>
      <c r="I45" s="5"/>
      <c r="J45" s="962">
        <v>0.03</v>
      </c>
      <c r="K45" s="962">
        <f>J45</f>
        <v>0.03</v>
      </c>
      <c r="L45" s="751"/>
      <c r="M45" s="751"/>
      <c r="N45" s="751"/>
      <c r="O45" s="751"/>
      <c r="P45" s="751"/>
      <c r="Q45" s="751"/>
      <c r="R45" s="751"/>
      <c r="S45" s="1020"/>
    </row>
    <row r="46" spans="1:19" ht="13.5" thickBot="1" x14ac:dyDescent="0.25">
      <c r="A46" s="162"/>
      <c r="B46" s="656"/>
      <c r="C46" s="349"/>
      <c r="D46" s="1617" t="s">
        <v>261</v>
      </c>
      <c r="E46" s="1617"/>
      <c r="F46" s="869">
        <v>0</v>
      </c>
      <c r="G46" s="869">
        <f>F46*12/F$13+J46*F46*12/F$13</f>
        <v>0</v>
      </c>
      <c r="H46" s="1165">
        <f t="shared" si="3"/>
        <v>0</v>
      </c>
      <c r="I46" s="5"/>
      <c r="J46" s="962">
        <v>0.03</v>
      </c>
      <c r="K46" s="962">
        <f>J46</f>
        <v>0.03</v>
      </c>
      <c r="L46" s="751"/>
      <c r="M46" s="751"/>
      <c r="N46" s="751"/>
      <c r="O46" s="751"/>
      <c r="P46" s="751"/>
      <c r="Q46" s="751"/>
      <c r="R46" s="751"/>
      <c r="S46" s="1020"/>
    </row>
    <row r="47" spans="1:19" ht="13.5" thickBot="1" x14ac:dyDescent="0.25">
      <c r="B47" s="655" t="s">
        <v>111</v>
      </c>
      <c r="C47" s="157" t="s">
        <v>12</v>
      </c>
      <c r="D47" s="666" t="s">
        <v>721</v>
      </c>
      <c r="E47" s="344"/>
      <c r="F47" s="711">
        <f>F48+F51+F52+F53+F54+F55+F56+F57*0.003*F13/12+F58</f>
        <v>0</v>
      </c>
      <c r="G47" s="711">
        <f>G48+G51+G52+G53+G54+G55+G56+G57*0.003+G58</f>
        <v>0</v>
      </c>
      <c r="H47" s="1161">
        <f>H48+H51+H52+H53+H54+H55+H56+H57*0.003+H58</f>
        <v>0</v>
      </c>
      <c r="I47" s="5"/>
      <c r="J47" s="1040"/>
      <c r="K47" s="355"/>
      <c r="L47" s="751"/>
      <c r="M47" s="751"/>
      <c r="N47" s="751"/>
      <c r="O47" s="751"/>
      <c r="P47" s="751"/>
      <c r="Q47" s="751"/>
      <c r="R47" s="751"/>
      <c r="S47" s="1020"/>
    </row>
    <row r="48" spans="1:19" x14ac:dyDescent="0.2">
      <c r="A48" s="162"/>
      <c r="B48" s="656" t="s">
        <v>0</v>
      </c>
      <c r="C48" s="157">
        <v>0</v>
      </c>
      <c r="D48" s="343" t="s">
        <v>262</v>
      </c>
      <c r="E48" s="343"/>
      <c r="F48" s="721">
        <f>F50*F49</f>
        <v>0</v>
      </c>
      <c r="G48" s="721">
        <f>G50*G49</f>
        <v>0</v>
      </c>
      <c r="H48" s="1170">
        <f>H50*H49</f>
        <v>0</v>
      </c>
      <c r="I48" s="5"/>
      <c r="J48" s="1081">
        <f>G$12</f>
        <v>2028</v>
      </c>
      <c r="K48" s="1082">
        <f>H$12</f>
        <v>2029</v>
      </c>
      <c r="L48" s="751"/>
      <c r="M48" s="751" t="s">
        <v>547</v>
      </c>
      <c r="N48" s="751"/>
      <c r="O48" s="751"/>
      <c r="P48" s="751"/>
      <c r="Q48" s="751"/>
      <c r="R48" s="751"/>
      <c r="S48" s="1020"/>
    </row>
    <row r="49" spans="1:19" x14ac:dyDescent="0.2">
      <c r="A49" s="2"/>
      <c r="B49" s="656" t="s">
        <v>0</v>
      </c>
      <c r="C49" s="157"/>
      <c r="D49" s="343" t="s">
        <v>263</v>
      </c>
      <c r="E49" s="343"/>
      <c r="F49" s="867">
        <v>0</v>
      </c>
      <c r="G49" s="867">
        <f>F49 +F49*J49</f>
        <v>0</v>
      </c>
      <c r="H49" s="1163">
        <f>G49 +G49*K49</f>
        <v>0</v>
      </c>
      <c r="I49" s="17"/>
      <c r="J49" s="962">
        <v>0.03</v>
      </c>
      <c r="K49" s="962">
        <f>J49</f>
        <v>0.03</v>
      </c>
      <c r="L49" s="751"/>
      <c r="M49" s="751"/>
      <c r="N49" s="751"/>
      <c r="O49" s="751"/>
      <c r="P49" s="751"/>
      <c r="Q49" s="751"/>
      <c r="R49" s="751"/>
      <c r="S49" s="1020"/>
    </row>
    <row r="50" spans="1:19" x14ac:dyDescent="0.2">
      <c r="B50" s="656" t="s">
        <v>0</v>
      </c>
      <c r="C50" s="157"/>
      <c r="D50" s="343" t="s">
        <v>589</v>
      </c>
      <c r="E50" s="343"/>
      <c r="F50" s="875">
        <f>F13</f>
        <v>12</v>
      </c>
      <c r="G50" s="875">
        <v>12</v>
      </c>
      <c r="H50" s="1174">
        <f>G50</f>
        <v>12</v>
      </c>
      <c r="I50" s="47"/>
      <c r="J50" s="1081">
        <f>G$12</f>
        <v>2028</v>
      </c>
      <c r="K50" s="1082">
        <f>H$12</f>
        <v>2029</v>
      </c>
      <c r="L50" s="751"/>
      <c r="M50" s="751"/>
      <c r="N50" s="751"/>
      <c r="O50" s="751"/>
      <c r="P50" s="751"/>
      <c r="Q50" s="751"/>
      <c r="R50" s="751"/>
      <c r="S50" s="1020"/>
    </row>
    <row r="51" spans="1:19" x14ac:dyDescent="0.2">
      <c r="B51" s="656"/>
      <c r="C51" s="157"/>
      <c r="D51" s="343" t="s">
        <v>264</v>
      </c>
      <c r="E51" s="315"/>
      <c r="F51" s="867">
        <v>0</v>
      </c>
      <c r="G51" s="867">
        <f t="shared" ref="G51:G56" si="4">F51*12/F$13+J51*F51*12/F$13</f>
        <v>0</v>
      </c>
      <c r="H51" s="1163">
        <f t="shared" ref="H51:H58" si="5">G51 +G51*K51</f>
        <v>0</v>
      </c>
      <c r="I51" s="311"/>
      <c r="J51" s="962">
        <v>0.03</v>
      </c>
      <c r="K51" s="962">
        <f t="shared" ref="K51:K58" si="6">J51</f>
        <v>0.03</v>
      </c>
      <c r="L51" s="751"/>
      <c r="M51" s="751"/>
      <c r="N51" s="751"/>
      <c r="O51" s="751"/>
      <c r="P51" s="751"/>
      <c r="Q51" s="751"/>
      <c r="R51" s="751"/>
      <c r="S51" s="1020"/>
    </row>
    <row r="52" spans="1:19" x14ac:dyDescent="0.2">
      <c r="B52" s="656"/>
      <c r="C52" s="157"/>
      <c r="D52" s="343" t="s">
        <v>265</v>
      </c>
      <c r="E52" s="315"/>
      <c r="F52" s="867">
        <v>0</v>
      </c>
      <c r="G52" s="867">
        <f t="shared" si="4"/>
        <v>0</v>
      </c>
      <c r="H52" s="1163">
        <f t="shared" si="5"/>
        <v>0</v>
      </c>
      <c r="I52" s="311"/>
      <c r="J52" s="962">
        <v>0.03</v>
      </c>
      <c r="K52" s="962">
        <f t="shared" si="6"/>
        <v>0.03</v>
      </c>
      <c r="L52" s="751"/>
      <c r="M52" s="751"/>
      <c r="N52" s="751"/>
      <c r="O52" s="751"/>
      <c r="P52" s="751"/>
      <c r="Q52" s="751"/>
      <c r="R52" s="751"/>
      <c r="S52" s="1020"/>
    </row>
    <row r="53" spans="1:19" x14ac:dyDescent="0.2">
      <c r="B53" s="656"/>
      <c r="C53" s="157"/>
      <c r="D53" s="343" t="s">
        <v>266</v>
      </c>
      <c r="E53" s="315"/>
      <c r="F53" s="867">
        <v>0</v>
      </c>
      <c r="G53" s="867">
        <f t="shared" si="4"/>
        <v>0</v>
      </c>
      <c r="H53" s="1163">
        <f t="shared" si="5"/>
        <v>0</v>
      </c>
      <c r="I53" s="311"/>
      <c r="J53" s="962">
        <v>0.03</v>
      </c>
      <c r="K53" s="962">
        <f t="shared" si="6"/>
        <v>0.03</v>
      </c>
      <c r="L53" s="751"/>
      <c r="M53" s="751"/>
      <c r="N53" s="751"/>
      <c r="O53" s="751"/>
      <c r="P53" s="751"/>
      <c r="Q53" s="751"/>
      <c r="R53" s="751"/>
      <c r="S53" s="1020"/>
    </row>
    <row r="54" spans="1:19" x14ac:dyDescent="0.2">
      <c r="B54" s="656"/>
      <c r="C54" s="157"/>
      <c r="D54" s="343" t="s">
        <v>267</v>
      </c>
      <c r="E54" s="315"/>
      <c r="F54" s="867">
        <v>0</v>
      </c>
      <c r="G54" s="867">
        <f t="shared" si="4"/>
        <v>0</v>
      </c>
      <c r="H54" s="1163">
        <f t="shared" si="5"/>
        <v>0</v>
      </c>
      <c r="I54" s="311"/>
      <c r="J54" s="962">
        <v>0.03</v>
      </c>
      <c r="K54" s="962">
        <f t="shared" si="6"/>
        <v>0.03</v>
      </c>
      <c r="L54" s="751"/>
      <c r="M54" s="751"/>
      <c r="N54" s="751"/>
      <c r="O54" s="751"/>
      <c r="P54" s="751"/>
      <c r="Q54" s="751"/>
      <c r="R54" s="751"/>
      <c r="S54" s="1020"/>
    </row>
    <row r="55" spans="1:19" x14ac:dyDescent="0.2">
      <c r="B55" s="656"/>
      <c r="C55" s="157"/>
      <c r="D55" s="343" t="s">
        <v>268</v>
      </c>
      <c r="E55" s="315"/>
      <c r="F55" s="867">
        <v>0</v>
      </c>
      <c r="G55" s="867">
        <f t="shared" si="4"/>
        <v>0</v>
      </c>
      <c r="H55" s="1163">
        <f t="shared" si="5"/>
        <v>0</v>
      </c>
      <c r="I55" s="311"/>
      <c r="J55" s="962">
        <v>0.03</v>
      </c>
      <c r="K55" s="962">
        <f t="shared" si="6"/>
        <v>0.03</v>
      </c>
      <c r="L55" s="751"/>
      <c r="M55" s="751"/>
      <c r="N55" s="751"/>
      <c r="O55" s="751"/>
      <c r="P55" s="751"/>
      <c r="Q55" s="751"/>
      <c r="R55" s="751"/>
      <c r="S55" s="1020"/>
    </row>
    <row r="56" spans="1:19" x14ac:dyDescent="0.2">
      <c r="B56" s="656"/>
      <c r="C56" s="157"/>
      <c r="D56" s="1620" t="s">
        <v>269</v>
      </c>
      <c r="E56" s="1620"/>
      <c r="F56" s="867">
        <v>0</v>
      </c>
      <c r="G56" s="867">
        <f t="shared" si="4"/>
        <v>0</v>
      </c>
      <c r="H56" s="1163">
        <f>G56 +G56*K56</f>
        <v>0</v>
      </c>
      <c r="I56" s="311"/>
      <c r="J56" s="962">
        <v>0.03</v>
      </c>
      <c r="K56" s="962">
        <f t="shared" si="6"/>
        <v>0.03</v>
      </c>
      <c r="L56" s="751"/>
      <c r="M56" s="751"/>
      <c r="N56" s="751"/>
      <c r="O56" s="751"/>
      <c r="P56" s="751"/>
      <c r="Q56" s="751"/>
      <c r="R56" s="751"/>
      <c r="S56" s="1020"/>
    </row>
    <row r="57" spans="1:19" x14ac:dyDescent="0.2">
      <c r="B57" s="656"/>
      <c r="C57" s="157"/>
      <c r="D57" s="1620" t="s">
        <v>270</v>
      </c>
      <c r="E57" s="1620"/>
      <c r="F57" s="867">
        <v>0</v>
      </c>
      <c r="G57" s="867">
        <f>F57 +F57*J57</f>
        <v>0</v>
      </c>
      <c r="H57" s="1163">
        <f>G57 +G57*K57</f>
        <v>0</v>
      </c>
      <c r="I57" s="311"/>
      <c r="J57" s="962">
        <v>0.03</v>
      </c>
      <c r="K57" s="962">
        <f t="shared" si="6"/>
        <v>0.03</v>
      </c>
      <c r="L57" s="751"/>
      <c r="M57" s="751"/>
      <c r="N57" s="751"/>
      <c r="O57" s="751"/>
      <c r="P57" s="751"/>
      <c r="Q57" s="751"/>
      <c r="R57" s="751"/>
      <c r="S57" s="1020"/>
    </row>
    <row r="58" spans="1:19" ht="13.5" thickBot="1" x14ac:dyDescent="0.25">
      <c r="B58" s="656"/>
      <c r="C58" s="349"/>
      <c r="D58" s="1617" t="s">
        <v>271</v>
      </c>
      <c r="E58" s="1617"/>
      <c r="F58" s="869">
        <v>0</v>
      </c>
      <c r="G58" s="869">
        <f>F58*12/F$13+J58*F58*12/F$13</f>
        <v>0</v>
      </c>
      <c r="H58" s="1165">
        <f t="shared" si="5"/>
        <v>0</v>
      </c>
      <c r="I58" s="311"/>
      <c r="J58" s="962">
        <v>0.03</v>
      </c>
      <c r="K58" s="962">
        <f t="shared" si="6"/>
        <v>0.03</v>
      </c>
      <c r="L58" s="751"/>
      <c r="M58" s="751"/>
      <c r="N58" s="751"/>
      <c r="O58" s="751"/>
      <c r="P58" s="751"/>
      <c r="Q58" s="751"/>
      <c r="R58" s="751"/>
      <c r="S58" s="1020"/>
    </row>
    <row r="59" spans="1:19" x14ac:dyDescent="0.2">
      <c r="B59" s="655" t="s">
        <v>112</v>
      </c>
      <c r="C59" s="157" t="s">
        <v>13</v>
      </c>
      <c r="D59" s="667" t="s">
        <v>722</v>
      </c>
      <c r="E59" s="885">
        <v>0.3</v>
      </c>
      <c r="F59" s="719">
        <f>IF(F60=0,0,F13*'5 YP Lainat ja avustukset'!$G66/12)</f>
        <v>0</v>
      </c>
      <c r="G59" s="719">
        <f>IF(G60=0,0,G13*'5 YP Lainat ja avustukset'!$G66/12)</f>
        <v>0</v>
      </c>
      <c r="H59" s="1169">
        <f>IF(H60=0,0,H13*'5 YP Lainat ja avustukset'!$G66/12)</f>
        <v>0</v>
      </c>
      <c r="I59" s="44"/>
      <c r="J59" s="1376"/>
      <c r="K59" s="1377"/>
      <c r="L59" s="1039"/>
      <c r="M59" s="1039"/>
      <c r="N59" s="1039"/>
      <c r="O59" s="751"/>
      <c r="P59" s="751"/>
      <c r="Q59" s="751"/>
      <c r="R59" s="751"/>
      <c r="S59" s="1020"/>
    </row>
    <row r="60" spans="1:19" ht="13.5" thickBot="1" x14ac:dyDescent="0.25">
      <c r="B60" s="656"/>
      <c r="C60" s="349"/>
      <c r="D60" s="1617" t="s">
        <v>272</v>
      </c>
      <c r="E60" s="1627"/>
      <c r="F60" s="720">
        <f>'FS3 Resultat'!K21</f>
        <v>0</v>
      </c>
      <c r="G60" s="720">
        <f>IF('FS3 Resultat'!I21&gt;1,F60,0)</f>
        <v>0</v>
      </c>
      <c r="H60" s="1175">
        <f>IF('FS3 Resultat'!I21&gt;2,G60,0)</f>
        <v>0</v>
      </c>
      <c r="I60" s="44"/>
      <c r="J60" s="1378"/>
      <c r="K60" s="1379"/>
      <c r="L60" s="1039"/>
      <c r="M60" s="1039"/>
      <c r="N60" s="1039"/>
      <c r="O60" s="751"/>
      <c r="P60" s="751"/>
      <c r="Q60" s="751"/>
      <c r="R60" s="751"/>
      <c r="S60" s="1020"/>
    </row>
    <row r="61" spans="1:19" ht="13.5" thickBot="1" x14ac:dyDescent="0.25">
      <c r="B61" s="655" t="s">
        <v>113</v>
      </c>
      <c r="C61" s="157" t="s">
        <v>600</v>
      </c>
      <c r="D61" s="1621" t="s">
        <v>742</v>
      </c>
      <c r="E61" s="1621"/>
      <c r="F61" s="711">
        <f>F62*F63*F64+F65+F66+F67+F68</f>
        <v>0</v>
      </c>
      <c r="G61" s="711">
        <f t="shared" ref="G61:H61" si="7">G62*G63*G64+G65+G66+G67+G68</f>
        <v>0</v>
      </c>
      <c r="H61" s="1161">
        <f t="shared" si="7"/>
        <v>0</v>
      </c>
      <c r="I61" s="44"/>
      <c r="J61" s="1083">
        <f>G$12</f>
        <v>2028</v>
      </c>
      <c r="K61" s="1082">
        <f>H$12</f>
        <v>2029</v>
      </c>
      <c r="L61" s="751"/>
      <c r="M61" s="751"/>
      <c r="N61" s="751"/>
      <c r="O61" s="751"/>
      <c r="P61" s="751"/>
      <c r="Q61" s="751"/>
      <c r="R61" s="751"/>
      <c r="S61" s="1020"/>
    </row>
    <row r="62" spans="1:19" x14ac:dyDescent="0.2">
      <c r="B62" s="656"/>
      <c r="C62" s="157"/>
      <c r="D62" s="343" t="s">
        <v>599</v>
      </c>
      <c r="E62" s="678"/>
      <c r="F62" s="874">
        <v>0</v>
      </c>
      <c r="G62" s="874">
        <f>F62*12/F$13+J62*F62*12/F$13</f>
        <v>0</v>
      </c>
      <c r="H62" s="1173">
        <f t="shared" ref="H62" si="8">G62 +G62*K62</f>
        <v>0</v>
      </c>
      <c r="I62" s="44"/>
      <c r="J62" s="962">
        <v>0.03</v>
      </c>
      <c r="K62" s="962">
        <f>J62</f>
        <v>0.03</v>
      </c>
      <c r="L62" s="751"/>
      <c r="M62" s="751"/>
      <c r="N62" s="751"/>
      <c r="O62" s="751"/>
      <c r="P62" s="751"/>
      <c r="Q62" s="751"/>
      <c r="R62" s="751"/>
      <c r="S62" s="1020"/>
    </row>
    <row r="63" spans="1:19" x14ac:dyDescent="0.2">
      <c r="B63" s="656"/>
      <c r="C63" s="157"/>
      <c r="D63" s="343" t="s">
        <v>675</v>
      </c>
      <c r="E63" s="678"/>
      <c r="F63" s="876">
        <v>0</v>
      </c>
      <c r="G63" s="876">
        <f>F63</f>
        <v>0</v>
      </c>
      <c r="H63" s="1176">
        <f>G63</f>
        <v>0</v>
      </c>
      <c r="I63" s="44"/>
      <c r="J63" s="1083">
        <f>G$12</f>
        <v>2028</v>
      </c>
      <c r="K63" s="1082">
        <f>H$12</f>
        <v>2029</v>
      </c>
      <c r="L63" s="751"/>
      <c r="M63" s="751"/>
      <c r="N63" s="751"/>
      <c r="O63" s="751"/>
      <c r="P63" s="751"/>
      <c r="Q63" s="751"/>
      <c r="R63" s="751"/>
      <c r="S63" s="1020"/>
    </row>
    <row r="64" spans="1:19" x14ac:dyDescent="0.2">
      <c r="B64" s="656"/>
      <c r="C64" s="157"/>
      <c r="D64" s="343" t="s">
        <v>676</v>
      </c>
      <c r="E64" s="678"/>
      <c r="F64" s="876">
        <v>0</v>
      </c>
      <c r="G64" s="723">
        <f t="shared" ref="G64:H68" si="9">F64 +F64*J64</f>
        <v>0</v>
      </c>
      <c r="H64" s="1177">
        <f t="shared" si="9"/>
        <v>0</v>
      </c>
      <c r="I64" s="44"/>
      <c r="J64" s="962">
        <v>0.03</v>
      </c>
      <c r="K64" s="962">
        <f>J64</f>
        <v>0.03</v>
      </c>
      <c r="L64" s="751"/>
      <c r="M64" s="751"/>
      <c r="N64" s="751"/>
      <c r="O64" s="751"/>
      <c r="P64" s="751"/>
      <c r="Q64" s="751"/>
      <c r="R64" s="751"/>
      <c r="S64" s="1020"/>
    </row>
    <row r="65" spans="1:19" x14ac:dyDescent="0.2">
      <c r="B65" s="656"/>
      <c r="C65" s="157"/>
      <c r="D65" s="343" t="s">
        <v>797</v>
      </c>
      <c r="E65" s="678"/>
      <c r="F65" s="874">
        <v>0</v>
      </c>
      <c r="G65" s="867">
        <f>F65*12/F$13+J65*F65*12/F$13</f>
        <v>0</v>
      </c>
      <c r="H65" s="1163">
        <f t="shared" si="9"/>
        <v>0</v>
      </c>
      <c r="I65" s="44"/>
      <c r="J65" s="962">
        <v>0.03</v>
      </c>
      <c r="K65" s="962">
        <f>J65</f>
        <v>0.03</v>
      </c>
      <c r="L65" s="751"/>
      <c r="M65" s="751"/>
      <c r="N65" s="751"/>
      <c r="O65" s="751"/>
      <c r="P65" s="751"/>
      <c r="Q65" s="751"/>
      <c r="R65" s="751"/>
      <c r="S65" s="1020"/>
    </row>
    <row r="66" spans="1:19" x14ac:dyDescent="0.2">
      <c r="B66" s="656"/>
      <c r="C66" s="157"/>
      <c r="D66" s="343" t="s">
        <v>830</v>
      </c>
      <c r="E66" s="678"/>
      <c r="F66" s="874">
        <v>0</v>
      </c>
      <c r="G66" s="867">
        <f>F66*12/F$13+J66*F66*12/F$13</f>
        <v>0</v>
      </c>
      <c r="H66" s="1163">
        <f t="shared" si="9"/>
        <v>0</v>
      </c>
      <c r="I66" s="44"/>
      <c r="J66" s="962">
        <v>0.03</v>
      </c>
      <c r="K66" s="962">
        <f>J66</f>
        <v>0.03</v>
      </c>
      <c r="L66" s="751"/>
      <c r="M66" s="751"/>
      <c r="N66" s="751"/>
      <c r="O66" s="751"/>
      <c r="P66" s="751"/>
      <c r="Q66" s="751"/>
      <c r="R66" s="751"/>
      <c r="S66" s="1020"/>
    </row>
    <row r="67" spans="1:19" x14ac:dyDescent="0.2">
      <c r="B67" s="656"/>
      <c r="C67" s="157"/>
      <c r="D67" s="1400" t="s">
        <v>777</v>
      </c>
      <c r="E67" s="1401"/>
      <c r="F67" s="1402">
        <v>0</v>
      </c>
      <c r="G67" s="1403">
        <f t="shared" ref="G67" si="10">F67*12/F$13+J67*F67*12/F$13</f>
        <v>0</v>
      </c>
      <c r="H67" s="1403">
        <f t="shared" si="9"/>
        <v>0</v>
      </c>
      <c r="I67" s="44"/>
      <c r="J67" s="1404">
        <v>0.03</v>
      </c>
      <c r="K67" s="1404">
        <f t="shared" ref="K67" si="11">J67</f>
        <v>0.03</v>
      </c>
      <c r="L67" s="751"/>
      <c r="M67" s="751"/>
      <c r="N67" s="751"/>
      <c r="O67" s="751"/>
      <c r="P67" s="751"/>
      <c r="Q67" s="751"/>
      <c r="R67" s="1360"/>
      <c r="S67" s="1406"/>
    </row>
    <row r="68" spans="1:19" ht="13.5" thickBot="1" x14ac:dyDescent="0.25">
      <c r="B68" s="656"/>
      <c r="C68" s="349"/>
      <c r="D68" s="335" t="s">
        <v>273</v>
      </c>
      <c r="E68" s="679"/>
      <c r="F68" s="869">
        <v>0</v>
      </c>
      <c r="G68" s="869">
        <f>F68*12/F$13+J68*F68*12/F$13</f>
        <v>0</v>
      </c>
      <c r="H68" s="1165">
        <f t="shared" si="9"/>
        <v>0</v>
      </c>
      <c r="I68" s="44"/>
      <c r="J68" s="962">
        <v>0.03</v>
      </c>
      <c r="K68" s="962">
        <f>J68</f>
        <v>0.03</v>
      </c>
      <c r="L68" s="751"/>
      <c r="M68" s="751"/>
      <c r="N68" s="751"/>
      <c r="O68" s="751"/>
      <c r="P68" s="751"/>
      <c r="Q68" s="751"/>
      <c r="R68" s="751"/>
      <c r="S68" s="1020"/>
    </row>
    <row r="69" spans="1:19" ht="13.5" thickBot="1" x14ac:dyDescent="0.25">
      <c r="B69" s="655" t="s">
        <v>114</v>
      </c>
      <c r="C69" s="682" t="s">
        <v>601</v>
      </c>
      <c r="D69" s="666" t="s">
        <v>727</v>
      </c>
      <c r="E69" s="342"/>
      <c r="F69" s="711">
        <f>SUM(F70:F73)</f>
        <v>0</v>
      </c>
      <c r="G69" s="711">
        <f>SUM(G70:G73)</f>
        <v>0</v>
      </c>
      <c r="H69" s="1161">
        <f>SUM(H70:H73)</f>
        <v>0</v>
      </c>
      <c r="I69" s="44"/>
      <c r="J69" s="1081">
        <f>G$12</f>
        <v>2028</v>
      </c>
      <c r="K69" s="1082">
        <f>H$12</f>
        <v>2029</v>
      </c>
      <c r="L69" s="751"/>
      <c r="M69" s="751"/>
      <c r="N69" s="751"/>
      <c r="O69" s="751"/>
      <c r="P69" s="751"/>
      <c r="Q69" s="751"/>
      <c r="R69" s="751"/>
      <c r="S69" s="1020"/>
    </row>
    <row r="70" spans="1:19" x14ac:dyDescent="0.2">
      <c r="B70" s="656"/>
      <c r="C70" s="157"/>
      <c r="D70" s="343" t="s">
        <v>738</v>
      </c>
      <c r="E70" s="343"/>
      <c r="F70" s="874">
        <v>0</v>
      </c>
      <c r="G70" s="874">
        <f>F70*12/F$13+J70*F70*12/F$13</f>
        <v>0</v>
      </c>
      <c r="H70" s="1173">
        <f t="shared" ref="H70:H73" si="12">G70 +G70*K70</f>
        <v>0</v>
      </c>
      <c r="I70" s="44"/>
      <c r="J70" s="962">
        <v>0.03</v>
      </c>
      <c r="K70" s="962">
        <f>J70</f>
        <v>0.03</v>
      </c>
      <c r="L70" s="751"/>
      <c r="M70" s="751"/>
      <c r="N70" s="751"/>
      <c r="O70" s="751"/>
      <c r="P70" s="751"/>
      <c r="Q70" s="751"/>
      <c r="R70" s="751"/>
      <c r="S70" s="1020"/>
    </row>
    <row r="71" spans="1:19" x14ac:dyDescent="0.2">
      <c r="B71" s="656"/>
      <c r="C71" s="157"/>
      <c r="D71" s="343" t="s">
        <v>274</v>
      </c>
      <c r="E71" s="343"/>
      <c r="F71" s="867">
        <v>0</v>
      </c>
      <c r="G71" s="867">
        <f>F71*12/F$13+J71*F71*12/F$13</f>
        <v>0</v>
      </c>
      <c r="H71" s="1163">
        <f t="shared" si="12"/>
        <v>0</v>
      </c>
      <c r="I71" s="44"/>
      <c r="J71" s="962">
        <v>0.03</v>
      </c>
      <c r="K71" s="962">
        <f>J71</f>
        <v>0.03</v>
      </c>
      <c r="L71" s="751"/>
      <c r="M71" s="751"/>
      <c r="N71" s="751"/>
      <c r="O71" s="751"/>
      <c r="P71" s="751"/>
      <c r="Q71" s="751"/>
      <c r="R71" s="751"/>
      <c r="S71" s="1020"/>
    </row>
    <row r="72" spans="1:19" x14ac:dyDescent="0.2">
      <c r="B72" s="656"/>
      <c r="C72" s="157"/>
      <c r="D72" s="343" t="s">
        <v>737</v>
      </c>
      <c r="E72" s="343"/>
      <c r="F72" s="867">
        <v>0</v>
      </c>
      <c r="G72" s="867">
        <f>F72*12/F$13+J72*F72*12/F$13</f>
        <v>0</v>
      </c>
      <c r="H72" s="1163">
        <f t="shared" si="12"/>
        <v>0</v>
      </c>
      <c r="I72" s="44"/>
      <c r="J72" s="962">
        <v>0.03</v>
      </c>
      <c r="K72" s="962">
        <f>J72</f>
        <v>0.03</v>
      </c>
      <c r="L72" s="751"/>
      <c r="M72" s="751"/>
      <c r="N72" s="751"/>
      <c r="O72" s="751"/>
      <c r="P72" s="751"/>
      <c r="Q72" s="751"/>
      <c r="R72" s="751"/>
      <c r="S72" s="1020"/>
    </row>
    <row r="73" spans="1:19" ht="13.5" thickBot="1" x14ac:dyDescent="0.25">
      <c r="B73" s="656"/>
      <c r="C73" s="349"/>
      <c r="D73" s="335" t="s">
        <v>739</v>
      </c>
      <c r="E73" s="335"/>
      <c r="F73" s="869">
        <v>0</v>
      </c>
      <c r="G73" s="867">
        <f>F73*12/F$13+J73*F73*12/F$13</f>
        <v>0</v>
      </c>
      <c r="H73" s="1163">
        <f t="shared" si="12"/>
        <v>0</v>
      </c>
      <c r="I73" s="44"/>
      <c r="J73" s="962">
        <v>0.03</v>
      </c>
      <c r="K73" s="962">
        <f>J73</f>
        <v>0.03</v>
      </c>
      <c r="L73" s="751"/>
      <c r="M73" s="751"/>
      <c r="N73" s="751"/>
      <c r="O73" s="751"/>
      <c r="P73" s="751"/>
      <c r="Q73" s="751"/>
      <c r="R73" s="751"/>
      <c r="S73" s="1020"/>
    </row>
    <row r="74" spans="1:19" ht="13.5" thickBot="1" x14ac:dyDescent="0.25">
      <c r="B74" s="655" t="s">
        <v>115</v>
      </c>
      <c r="C74" s="157" t="s">
        <v>602</v>
      </c>
      <c r="D74" s="666" t="s">
        <v>724</v>
      </c>
      <c r="E74" s="342"/>
      <c r="F74" s="711">
        <f>SUM(F75:F78)</f>
        <v>0</v>
      </c>
      <c r="G74" s="711">
        <f>SUM(G75:G78)</f>
        <v>0</v>
      </c>
      <c r="H74" s="1161">
        <f>SUM(H75:H78)</f>
        <v>0</v>
      </c>
      <c r="I74" s="44"/>
      <c r="J74" s="1081">
        <f>G$12</f>
        <v>2028</v>
      </c>
      <c r="K74" s="1082">
        <f>H$12</f>
        <v>2029</v>
      </c>
      <c r="L74" s="751"/>
      <c r="M74" s="751"/>
      <c r="N74" s="751"/>
      <c r="O74" s="751"/>
      <c r="P74" s="751"/>
      <c r="Q74" s="751"/>
      <c r="R74" s="751"/>
      <c r="S74" s="1020"/>
    </row>
    <row r="75" spans="1:19" x14ac:dyDescent="0.2">
      <c r="B75" s="656"/>
      <c r="C75" s="157"/>
      <c r="D75" s="343" t="s">
        <v>587</v>
      </c>
      <c r="E75" s="343"/>
      <c r="F75" s="874">
        <v>0</v>
      </c>
      <c r="G75" s="874">
        <f>F75*12/F$13+J75*F75*12/F$13</f>
        <v>0</v>
      </c>
      <c r="H75" s="1173">
        <f t="shared" ref="H75:H78" si="13">G75 +G75*K75</f>
        <v>0</v>
      </c>
      <c r="I75" s="44"/>
      <c r="J75" s="962">
        <v>0.03</v>
      </c>
      <c r="K75" s="962">
        <f>J75</f>
        <v>0.03</v>
      </c>
      <c r="L75" s="751"/>
      <c r="M75" s="751"/>
      <c r="N75" s="751"/>
      <c r="O75" s="751"/>
      <c r="P75" s="751"/>
      <c r="Q75" s="751"/>
      <c r="R75" s="751"/>
      <c r="S75" s="1020"/>
    </row>
    <row r="76" spans="1:19" x14ac:dyDescent="0.2">
      <c r="A76" s="162"/>
      <c r="B76" s="656"/>
      <c r="C76" s="157"/>
      <c r="D76" s="343" t="s">
        <v>275</v>
      </c>
      <c r="E76" s="343"/>
      <c r="F76" s="867">
        <v>0</v>
      </c>
      <c r="G76" s="867">
        <f>F76*12/F$13+J76*F76*12/F$13</f>
        <v>0</v>
      </c>
      <c r="H76" s="1163">
        <f t="shared" si="13"/>
        <v>0</v>
      </c>
      <c r="I76" s="44"/>
      <c r="J76" s="962">
        <v>0.03</v>
      </c>
      <c r="K76" s="962">
        <f>J76</f>
        <v>0.03</v>
      </c>
      <c r="L76" s="751"/>
      <c r="M76" s="751"/>
      <c r="N76" s="751"/>
      <c r="O76" s="751"/>
      <c r="P76" s="751"/>
      <c r="Q76" s="751"/>
      <c r="R76" s="751"/>
      <c r="S76" s="1020"/>
    </row>
    <row r="77" spans="1:19" x14ac:dyDescent="0.2">
      <c r="B77" s="656"/>
      <c r="C77" s="157"/>
      <c r="D77" s="343" t="s">
        <v>575</v>
      </c>
      <c r="E77" s="343"/>
      <c r="F77" s="867">
        <v>0</v>
      </c>
      <c r="G77" s="867">
        <f>F77*12/F$13+J77*F77*12/F$13</f>
        <v>0</v>
      </c>
      <c r="H77" s="1163">
        <f t="shared" si="13"/>
        <v>0</v>
      </c>
      <c r="I77" s="44"/>
      <c r="J77" s="962">
        <v>0.03</v>
      </c>
      <c r="K77" s="962">
        <f>J77</f>
        <v>0.03</v>
      </c>
      <c r="L77" s="751"/>
      <c r="M77" s="751"/>
      <c r="N77" s="751"/>
      <c r="O77" s="751"/>
      <c r="P77" s="751"/>
      <c r="Q77" s="751"/>
      <c r="R77" s="751"/>
      <c r="S77" s="1020"/>
    </row>
    <row r="78" spans="1:19" ht="13.5" thickBot="1" x14ac:dyDescent="0.25">
      <c r="A78" s="162"/>
      <c r="B78" s="656"/>
      <c r="C78" s="349"/>
      <c r="D78" s="674" t="s">
        <v>276</v>
      </c>
      <c r="E78" s="335"/>
      <c r="F78" s="869">
        <v>0</v>
      </c>
      <c r="G78" s="867">
        <f>F78*12/F$13+J78*F78*12/F$13</f>
        <v>0</v>
      </c>
      <c r="H78" s="1163">
        <f t="shared" si="13"/>
        <v>0</v>
      </c>
      <c r="I78" s="44"/>
      <c r="J78" s="962">
        <v>0.03</v>
      </c>
      <c r="K78" s="962">
        <f>J78</f>
        <v>0.03</v>
      </c>
      <c r="L78" s="751"/>
      <c r="M78" s="751"/>
      <c r="N78" s="751"/>
      <c r="O78" s="751"/>
      <c r="P78" s="751"/>
      <c r="Q78" s="751"/>
      <c r="R78" s="751"/>
      <c r="S78" s="1020"/>
    </row>
    <row r="79" spans="1:19" ht="13.5" thickBot="1" x14ac:dyDescent="0.25">
      <c r="A79" s="2"/>
      <c r="B79" s="655" t="s">
        <v>116</v>
      </c>
      <c r="C79" s="157" t="s">
        <v>603</v>
      </c>
      <c r="D79" s="1621" t="s">
        <v>725</v>
      </c>
      <c r="E79" s="1621"/>
      <c r="F79" s="711">
        <f>F82+F80+F81</f>
        <v>0</v>
      </c>
      <c r="G79" s="711">
        <f>G82+G80+G81</f>
        <v>0</v>
      </c>
      <c r="H79" s="1161">
        <f>H82+H80+H81</f>
        <v>0</v>
      </c>
      <c r="I79" s="5"/>
      <c r="J79" s="1081">
        <f>G$12</f>
        <v>2028</v>
      </c>
      <c r="K79" s="1082">
        <f>H$12</f>
        <v>2029</v>
      </c>
      <c r="L79" s="751"/>
      <c r="M79" s="751"/>
      <c r="N79" s="751"/>
      <c r="O79" s="751"/>
      <c r="P79" s="751"/>
      <c r="Q79" s="751"/>
      <c r="R79" s="751"/>
      <c r="S79" s="1020"/>
    </row>
    <row r="80" spans="1:19" x14ac:dyDescent="0.2">
      <c r="A80" s="162"/>
      <c r="B80" s="656"/>
      <c r="C80" s="157"/>
      <c r="D80" s="1620" t="s">
        <v>281</v>
      </c>
      <c r="E80" s="1620"/>
      <c r="F80" s="874">
        <v>0</v>
      </c>
      <c r="G80" s="874">
        <f>F80*12/F$13+J80*F80*12/F$13</f>
        <v>0</v>
      </c>
      <c r="H80" s="1173">
        <f t="shared" ref="H80:H82" si="14">G80 +G80*K80</f>
        <v>0</v>
      </c>
      <c r="I80" s="17"/>
      <c r="J80" s="962">
        <v>0.03</v>
      </c>
      <c r="K80" s="962">
        <f>J80</f>
        <v>0.03</v>
      </c>
      <c r="L80" s="751"/>
      <c r="M80" s="751"/>
      <c r="N80" s="751"/>
      <c r="O80" s="751"/>
      <c r="P80" s="751"/>
      <c r="Q80" s="751"/>
      <c r="R80" s="751"/>
      <c r="S80" s="1020"/>
    </row>
    <row r="81" spans="1:19" x14ac:dyDescent="0.2">
      <c r="A81" s="162"/>
      <c r="B81" s="656"/>
      <c r="C81" s="157"/>
      <c r="D81" s="1620" t="s">
        <v>282</v>
      </c>
      <c r="E81" s="1620"/>
      <c r="F81" s="867">
        <v>0</v>
      </c>
      <c r="G81" s="867">
        <f>F81*12/F$13+J81*F81*12/F$13</f>
        <v>0</v>
      </c>
      <c r="H81" s="1163">
        <f t="shared" si="14"/>
        <v>0</v>
      </c>
      <c r="I81" s="17"/>
      <c r="J81" s="962">
        <v>0.03</v>
      </c>
      <c r="K81" s="962">
        <f>J81</f>
        <v>0.03</v>
      </c>
      <c r="L81" s="751"/>
      <c r="M81" s="751"/>
      <c r="N81" s="751"/>
      <c r="O81" s="751"/>
      <c r="P81" s="751"/>
      <c r="Q81" s="751"/>
      <c r="R81" s="751"/>
      <c r="S81" s="1020"/>
    </row>
    <row r="82" spans="1:19" ht="13.5" thickBot="1" x14ac:dyDescent="0.25">
      <c r="B82" s="656" t="s">
        <v>0</v>
      </c>
      <c r="C82" s="349"/>
      <c r="D82" s="1617" t="s">
        <v>283</v>
      </c>
      <c r="E82" s="1617"/>
      <c r="F82" s="869">
        <v>0</v>
      </c>
      <c r="G82" s="869">
        <f>F82*12/F$13+J82*F82*12/F$13</f>
        <v>0</v>
      </c>
      <c r="H82" s="1165">
        <f t="shared" si="14"/>
        <v>0</v>
      </c>
      <c r="I82" s="44"/>
      <c r="J82" s="962">
        <v>0.03</v>
      </c>
      <c r="K82" s="962">
        <f>J82</f>
        <v>0.03</v>
      </c>
      <c r="L82" s="751"/>
      <c r="M82" s="751"/>
      <c r="N82" s="751"/>
      <c r="O82" s="751"/>
      <c r="P82" s="751"/>
      <c r="Q82" s="751"/>
      <c r="R82" s="751"/>
      <c r="S82" s="1020"/>
    </row>
    <row r="83" spans="1:19" ht="13.5" thickBot="1" x14ac:dyDescent="0.25">
      <c r="A83" s="162"/>
      <c r="B83" s="655" t="s">
        <v>117</v>
      </c>
      <c r="C83" s="157" t="s">
        <v>604</v>
      </c>
      <c r="D83" s="666" t="s">
        <v>726</v>
      </c>
      <c r="E83" s="342"/>
      <c r="F83" s="711">
        <f>F84*F85+F87*F86</f>
        <v>0</v>
      </c>
      <c r="G83" s="711">
        <f>G84*G85+G87*G86</f>
        <v>0</v>
      </c>
      <c r="H83" s="1161">
        <f>H84*H85+H87*H86</f>
        <v>0</v>
      </c>
      <c r="I83" s="44"/>
      <c r="J83" s="701"/>
      <c r="K83" s="751"/>
      <c r="L83" s="751"/>
      <c r="M83" s="751"/>
      <c r="N83" s="751"/>
      <c r="O83" s="751"/>
      <c r="P83" s="751"/>
      <c r="Q83" s="751"/>
      <c r="R83" s="751"/>
      <c r="S83" s="1020"/>
    </row>
    <row r="84" spans="1:19" x14ac:dyDescent="0.2">
      <c r="A84" s="2"/>
      <c r="B84" s="656" t="s">
        <v>0</v>
      </c>
      <c r="C84" s="157"/>
      <c r="D84" s="343" t="s">
        <v>277</v>
      </c>
      <c r="E84" s="343"/>
      <c r="F84" s="874">
        <v>0</v>
      </c>
      <c r="G84" s="874">
        <f>F84*12/F$13+J84*F84*12/F$13</f>
        <v>0</v>
      </c>
      <c r="H84" s="1173">
        <f t="shared" ref="G84:H86" si="15">G84</f>
        <v>0</v>
      </c>
      <c r="I84" s="44"/>
      <c r="J84" s="701"/>
      <c r="K84" s="751"/>
      <c r="L84" s="751"/>
      <c r="M84" s="751"/>
      <c r="N84" s="751"/>
      <c r="O84" s="751"/>
      <c r="P84" s="751"/>
      <c r="Q84" s="751"/>
      <c r="R84" s="751"/>
      <c r="S84" s="1020"/>
    </row>
    <row r="85" spans="1:19" x14ac:dyDescent="0.2">
      <c r="A85" s="2"/>
      <c r="B85" s="656" t="s">
        <v>0</v>
      </c>
      <c r="C85" s="157"/>
      <c r="D85" s="343" t="s">
        <v>278</v>
      </c>
      <c r="E85" s="343"/>
      <c r="F85" s="877">
        <v>0.55000000000000004</v>
      </c>
      <c r="G85" s="877">
        <f t="shared" si="15"/>
        <v>0.55000000000000004</v>
      </c>
      <c r="H85" s="1178">
        <f t="shared" si="15"/>
        <v>0.55000000000000004</v>
      </c>
      <c r="I85" s="49"/>
      <c r="J85" s="701"/>
      <c r="K85" s="751"/>
      <c r="L85" s="751"/>
      <c r="M85" s="751"/>
      <c r="N85" s="751"/>
      <c r="O85" s="751"/>
      <c r="P85" s="751"/>
      <c r="Q85" s="751"/>
      <c r="R85" s="751"/>
      <c r="S85" s="1020"/>
    </row>
    <row r="86" spans="1:19" x14ac:dyDescent="0.2">
      <c r="A86" s="162"/>
      <c r="B86" s="656" t="s">
        <v>0</v>
      </c>
      <c r="C86" s="157"/>
      <c r="D86" s="343" t="s">
        <v>279</v>
      </c>
      <c r="E86" s="343"/>
      <c r="F86" s="867">
        <v>0</v>
      </c>
      <c r="G86" s="867">
        <f t="shared" si="15"/>
        <v>0</v>
      </c>
      <c r="H86" s="1163">
        <f t="shared" si="15"/>
        <v>0</v>
      </c>
      <c r="I86" s="44"/>
      <c r="J86" s="701"/>
      <c r="K86" s="751"/>
      <c r="L86" s="751"/>
      <c r="M86" s="751"/>
      <c r="N86" s="751"/>
      <c r="O86" s="751"/>
      <c r="P86" s="751"/>
      <c r="Q86" s="751"/>
      <c r="R86" s="751"/>
      <c r="S86" s="1020"/>
    </row>
    <row r="87" spans="1:19" ht="13.5" thickBot="1" x14ac:dyDescent="0.25">
      <c r="B87" s="656" t="s">
        <v>0</v>
      </c>
      <c r="C87" s="349"/>
      <c r="D87" s="335" t="s">
        <v>280</v>
      </c>
      <c r="E87" s="335"/>
      <c r="F87" s="878">
        <v>0</v>
      </c>
      <c r="G87" s="879">
        <f>F87</f>
        <v>0</v>
      </c>
      <c r="H87" s="1179">
        <f>G87</f>
        <v>0</v>
      </c>
      <c r="I87" s="44"/>
      <c r="J87" s="1081">
        <f>G$12</f>
        <v>2028</v>
      </c>
      <c r="K87" s="1082">
        <f>H$12</f>
        <v>2029</v>
      </c>
      <c r="L87" s="751"/>
      <c r="M87" s="751"/>
      <c r="N87" s="751"/>
      <c r="O87" s="751"/>
      <c r="P87" s="751"/>
      <c r="Q87" s="751"/>
      <c r="R87" s="751"/>
      <c r="S87" s="1020"/>
    </row>
    <row r="88" spans="1:19" ht="13.5" thickBot="1" x14ac:dyDescent="0.25">
      <c r="A88" s="162"/>
      <c r="B88" s="655" t="s">
        <v>118</v>
      </c>
      <c r="C88" s="350" t="s">
        <v>605</v>
      </c>
      <c r="D88" s="1613" t="s">
        <v>728</v>
      </c>
      <c r="E88" s="1613"/>
      <c r="F88" s="880">
        <v>0</v>
      </c>
      <c r="G88" s="880">
        <f>F88*12/F$13+J88*F88*12/F$13</f>
        <v>0</v>
      </c>
      <c r="H88" s="1180">
        <f>G88 +G88*K88</f>
        <v>0</v>
      </c>
      <c r="I88" s="17"/>
      <c r="J88" s="962">
        <v>0.03</v>
      </c>
      <c r="K88" s="962">
        <f>J88</f>
        <v>0.03</v>
      </c>
      <c r="L88" s="751"/>
      <c r="M88" s="751"/>
      <c r="N88" s="751"/>
      <c r="O88" s="751"/>
      <c r="P88" s="751"/>
      <c r="Q88" s="751"/>
      <c r="R88" s="751"/>
      <c r="S88" s="1020"/>
    </row>
    <row r="89" spans="1:19" ht="13.5" thickBot="1" x14ac:dyDescent="0.25">
      <c r="A89" s="2"/>
      <c r="B89" s="655" t="s">
        <v>119</v>
      </c>
      <c r="C89" s="157" t="s">
        <v>606</v>
      </c>
      <c r="D89" s="1621" t="s">
        <v>729</v>
      </c>
      <c r="E89" s="1621"/>
      <c r="F89" s="711">
        <f>SUM(F90:F94)</f>
        <v>0</v>
      </c>
      <c r="G89" s="711">
        <f>SUM(G90:G94)</f>
        <v>0</v>
      </c>
      <c r="H89" s="1161">
        <f>SUM(H90:H94)</f>
        <v>0</v>
      </c>
      <c r="I89" s="17"/>
      <c r="J89" s="1081">
        <f>G$12</f>
        <v>2028</v>
      </c>
      <c r="K89" s="1082">
        <f>H$12</f>
        <v>2029</v>
      </c>
      <c r="L89" s="751"/>
      <c r="M89" s="751"/>
      <c r="N89" s="751"/>
      <c r="O89" s="751"/>
      <c r="P89" s="751"/>
      <c r="Q89" s="751"/>
      <c r="R89" s="751"/>
      <c r="S89" s="1020"/>
    </row>
    <row r="90" spans="1:19" x14ac:dyDescent="0.2">
      <c r="B90" s="656"/>
      <c r="C90" s="157"/>
      <c r="D90" s="1620" t="s">
        <v>284</v>
      </c>
      <c r="E90" s="1620"/>
      <c r="F90" s="874">
        <v>0</v>
      </c>
      <c r="G90" s="874">
        <f>F90*12/F$13+J90*F90*12/F$13</f>
        <v>0</v>
      </c>
      <c r="H90" s="1173">
        <f t="shared" ref="H90:H94" si="16">G90 +G90*K90</f>
        <v>0</v>
      </c>
      <c r="I90" s="17"/>
      <c r="J90" s="962">
        <v>0.03</v>
      </c>
      <c r="K90" s="962">
        <f>J90</f>
        <v>0.03</v>
      </c>
      <c r="L90" s="751"/>
      <c r="M90" s="751"/>
      <c r="N90" s="751"/>
      <c r="O90" s="751"/>
      <c r="P90" s="751"/>
      <c r="Q90" s="751"/>
      <c r="R90" s="751"/>
      <c r="S90" s="1020"/>
    </row>
    <row r="91" spans="1:19" x14ac:dyDescent="0.2">
      <c r="A91" s="162"/>
      <c r="B91" s="656"/>
      <c r="C91" s="157"/>
      <c r="D91" s="1620" t="s">
        <v>285</v>
      </c>
      <c r="E91" s="1620"/>
      <c r="F91" s="867">
        <v>0</v>
      </c>
      <c r="G91" s="867">
        <f>F91*12/F$13+J91*F91*12/F$13</f>
        <v>0</v>
      </c>
      <c r="H91" s="1163">
        <f t="shared" si="16"/>
        <v>0</v>
      </c>
      <c r="I91" s="17"/>
      <c r="J91" s="962">
        <v>0.03</v>
      </c>
      <c r="K91" s="962">
        <f>J91</f>
        <v>0.03</v>
      </c>
      <c r="L91" s="751"/>
      <c r="M91" s="751"/>
      <c r="N91" s="751"/>
      <c r="O91" s="751"/>
      <c r="P91" s="751"/>
      <c r="Q91" s="751"/>
      <c r="R91" s="751"/>
      <c r="S91" s="1020"/>
    </row>
    <row r="92" spans="1:19" x14ac:dyDescent="0.2">
      <c r="B92" s="656"/>
      <c r="C92" s="157"/>
      <c r="D92" s="1620" t="s">
        <v>740</v>
      </c>
      <c r="E92" s="1620"/>
      <c r="F92" s="867">
        <v>0</v>
      </c>
      <c r="G92" s="867">
        <f>F92*12/F$13+J92*F92*12/F$13</f>
        <v>0</v>
      </c>
      <c r="H92" s="1163">
        <f t="shared" si="16"/>
        <v>0</v>
      </c>
      <c r="I92" s="17"/>
      <c r="J92" s="962">
        <v>0.03</v>
      </c>
      <c r="K92" s="962">
        <f>J92</f>
        <v>0.03</v>
      </c>
      <c r="L92" s="751"/>
      <c r="M92" s="751"/>
      <c r="N92" s="751"/>
      <c r="O92" s="751"/>
      <c r="P92" s="751"/>
      <c r="Q92" s="751"/>
      <c r="R92" s="751"/>
      <c r="S92" s="1020"/>
    </row>
    <row r="93" spans="1:19" x14ac:dyDescent="0.2">
      <c r="A93" s="162"/>
      <c r="B93" s="656"/>
      <c r="C93" s="157"/>
      <c r="D93" s="1620" t="s">
        <v>286</v>
      </c>
      <c r="E93" s="1620"/>
      <c r="F93" s="867">
        <v>0</v>
      </c>
      <c r="G93" s="867">
        <f>F93*12/F$13+J93*F93*12/F$13</f>
        <v>0</v>
      </c>
      <c r="H93" s="1163">
        <f t="shared" si="16"/>
        <v>0</v>
      </c>
      <c r="I93" s="17"/>
      <c r="J93" s="962">
        <v>0.03</v>
      </c>
      <c r="K93" s="962">
        <f>J93</f>
        <v>0.03</v>
      </c>
      <c r="L93" s="751"/>
      <c r="M93" s="751"/>
      <c r="N93" s="751"/>
      <c r="O93" s="751"/>
      <c r="P93" s="751"/>
      <c r="Q93" s="751"/>
      <c r="R93" s="751"/>
      <c r="S93" s="1020"/>
    </row>
    <row r="94" spans="1:19" ht="13.5" thickBot="1" x14ac:dyDescent="0.25">
      <c r="A94" s="2"/>
      <c r="B94" s="656"/>
      <c r="C94" s="349">
        <v>0</v>
      </c>
      <c r="D94" s="1617" t="s">
        <v>287</v>
      </c>
      <c r="E94" s="1617"/>
      <c r="F94" s="869">
        <v>0</v>
      </c>
      <c r="G94" s="867">
        <f>F94*12/F$13+J94*F94*12/F$13</f>
        <v>0</v>
      </c>
      <c r="H94" s="1163">
        <f t="shared" si="16"/>
        <v>0</v>
      </c>
      <c r="I94" s="5"/>
      <c r="J94" s="962">
        <v>0.03</v>
      </c>
      <c r="K94" s="962">
        <f>J94</f>
        <v>0.03</v>
      </c>
      <c r="L94" s="751"/>
      <c r="M94" s="751"/>
      <c r="N94" s="751"/>
      <c r="O94" s="751"/>
      <c r="P94" s="751"/>
      <c r="Q94" s="751"/>
      <c r="R94" s="751"/>
      <c r="S94" s="1020"/>
    </row>
    <row r="95" spans="1:19" ht="13.5" thickBot="1" x14ac:dyDescent="0.25">
      <c r="A95" s="162"/>
      <c r="B95" s="655" t="s">
        <v>120</v>
      </c>
      <c r="C95" s="157" t="s">
        <v>607</v>
      </c>
      <c r="D95" s="1621" t="s">
        <v>743</v>
      </c>
      <c r="E95" s="1621"/>
      <c r="F95" s="711">
        <f>SUM(F96:F98)</f>
        <v>0</v>
      </c>
      <c r="G95" s="711">
        <f>SUM(G96:G98)</f>
        <v>0</v>
      </c>
      <c r="H95" s="1161">
        <f>SUM(H96:H98)</f>
        <v>0</v>
      </c>
      <c r="I95" s="5"/>
      <c r="J95" s="1081">
        <f>G$12</f>
        <v>2028</v>
      </c>
      <c r="K95" s="1082">
        <f>H$12</f>
        <v>2029</v>
      </c>
      <c r="L95" s="751"/>
      <c r="M95" s="751"/>
      <c r="N95" s="751"/>
      <c r="O95" s="751"/>
      <c r="P95" s="751"/>
      <c r="Q95" s="751"/>
      <c r="R95" s="751"/>
      <c r="S95" s="1020"/>
    </row>
    <row r="96" spans="1:19" x14ac:dyDescent="0.2">
      <c r="B96" s="656"/>
      <c r="C96" s="157"/>
      <c r="D96" s="1620" t="s">
        <v>800</v>
      </c>
      <c r="E96" s="1620"/>
      <c r="F96" s="874">
        <v>0</v>
      </c>
      <c r="G96" s="874">
        <f>F96*12/F$13+J96*F96*12/F$13</f>
        <v>0</v>
      </c>
      <c r="H96" s="1173">
        <f>G96 +G96*K96</f>
        <v>0</v>
      </c>
      <c r="I96" s="5"/>
      <c r="J96" s="962">
        <v>0.03</v>
      </c>
      <c r="K96" s="962">
        <f>J96</f>
        <v>0.03</v>
      </c>
      <c r="L96" s="751"/>
      <c r="M96" s="751"/>
      <c r="N96" s="751"/>
      <c r="O96" s="751"/>
      <c r="P96" s="751"/>
      <c r="Q96" s="751"/>
      <c r="R96" s="751"/>
      <c r="S96" s="1020"/>
    </row>
    <row r="97" spans="1:20" x14ac:dyDescent="0.2">
      <c r="B97" s="656"/>
      <c r="C97" s="157"/>
      <c r="D97" s="1603" t="s">
        <v>802</v>
      </c>
      <c r="E97" s="1623"/>
      <c r="F97" s="1402">
        <v>0</v>
      </c>
      <c r="G97" s="874">
        <f>F97*12/F$13+J97*F97*12/F$13</f>
        <v>0</v>
      </c>
      <c r="H97" s="1173">
        <f t="shared" ref="H97" si="17">G97 +G97*K97</f>
        <v>0</v>
      </c>
      <c r="I97" s="5"/>
      <c r="J97" s="962">
        <v>0.03</v>
      </c>
      <c r="K97" s="962">
        <f>J97</f>
        <v>0.03</v>
      </c>
      <c r="L97" s="751"/>
      <c r="M97" s="751"/>
      <c r="N97" s="751"/>
      <c r="O97" s="751"/>
      <c r="P97" s="751"/>
      <c r="Q97" s="751"/>
      <c r="R97" s="751"/>
      <c r="S97" s="1020"/>
    </row>
    <row r="98" spans="1:20" ht="13.5" thickBot="1" x14ac:dyDescent="0.25">
      <c r="A98" s="162"/>
      <c r="B98" s="656"/>
      <c r="C98" s="349"/>
      <c r="D98" s="1617" t="s">
        <v>801</v>
      </c>
      <c r="E98" s="1617"/>
      <c r="F98" s="869">
        <v>0</v>
      </c>
      <c r="G98" s="867">
        <f>F98*12/F$13+J98*F98*12/F$13</f>
        <v>0</v>
      </c>
      <c r="H98" s="1163">
        <f>G98 +G98*K98</f>
        <v>0</v>
      </c>
      <c r="I98" s="5"/>
      <c r="J98" s="962">
        <v>0.03</v>
      </c>
      <c r="K98" s="962">
        <f>J98</f>
        <v>0.03</v>
      </c>
      <c r="L98" s="751"/>
      <c r="M98" s="751"/>
      <c r="N98" s="751"/>
      <c r="O98" s="751"/>
      <c r="P98" s="751"/>
      <c r="Q98" s="751"/>
      <c r="R98" s="751"/>
      <c r="S98" s="1020"/>
    </row>
    <row r="99" spans="1:20" ht="12.75" customHeight="1" thickBot="1" x14ac:dyDescent="0.25">
      <c r="A99" s="2"/>
      <c r="B99" s="655" t="s">
        <v>121</v>
      </c>
      <c r="C99" s="157" t="s">
        <v>608</v>
      </c>
      <c r="D99" s="1621" t="s">
        <v>731</v>
      </c>
      <c r="E99" s="1621"/>
      <c r="F99" s="711">
        <f>SUM(F100:F103)</f>
        <v>0</v>
      </c>
      <c r="G99" s="711">
        <f>SUM(G100:G103)</f>
        <v>0</v>
      </c>
      <c r="H99" s="1161">
        <f>SUM(H100:H103)</f>
        <v>0</v>
      </c>
      <c r="I99" s="5"/>
      <c r="J99" s="1081">
        <f>G$12</f>
        <v>2028</v>
      </c>
      <c r="K99" s="1082">
        <f>H$12</f>
        <v>2029</v>
      </c>
      <c r="L99" s="751"/>
      <c r="M99" s="751"/>
      <c r="N99" s="751"/>
      <c r="O99" s="751"/>
      <c r="P99" s="751"/>
      <c r="Q99" s="751"/>
      <c r="R99" s="751"/>
      <c r="S99" s="1020"/>
    </row>
    <row r="100" spans="1:20" x14ac:dyDescent="0.2">
      <c r="B100" s="656"/>
      <c r="C100" s="157"/>
      <c r="D100" s="1620" t="s">
        <v>288</v>
      </c>
      <c r="E100" s="1620"/>
      <c r="F100" s="874">
        <v>0</v>
      </c>
      <c r="G100" s="874">
        <f>F100*12/F$13+J100*F100*12/F$13</f>
        <v>0</v>
      </c>
      <c r="H100" s="1173">
        <f t="shared" ref="H100:H103" si="18">G100 +G100*K100</f>
        <v>0</v>
      </c>
      <c r="I100" s="5"/>
      <c r="J100" s="962">
        <v>0.03</v>
      </c>
      <c r="K100" s="962">
        <f>J100</f>
        <v>0.03</v>
      </c>
      <c r="L100" s="751"/>
      <c r="M100" s="751"/>
      <c r="N100" s="751"/>
      <c r="O100" s="751"/>
      <c r="P100" s="751"/>
      <c r="Q100" s="751"/>
      <c r="R100" s="751"/>
      <c r="S100" s="1020"/>
    </row>
    <row r="101" spans="1:20" x14ac:dyDescent="0.2">
      <c r="A101" s="162"/>
      <c r="B101" s="656"/>
      <c r="C101" s="157"/>
      <c r="D101" s="1620" t="s">
        <v>289</v>
      </c>
      <c r="E101" s="1620"/>
      <c r="F101" s="867">
        <v>0</v>
      </c>
      <c r="G101" s="867">
        <f>F101*12/F$13+J101*F101*12/F$13</f>
        <v>0</v>
      </c>
      <c r="H101" s="1163">
        <f t="shared" si="18"/>
        <v>0</v>
      </c>
      <c r="I101" s="5"/>
      <c r="J101" s="962">
        <v>0.03</v>
      </c>
      <c r="K101" s="962">
        <f>J101</f>
        <v>0.03</v>
      </c>
      <c r="L101" s="751"/>
      <c r="M101" s="751"/>
      <c r="N101" s="751"/>
      <c r="O101" s="751"/>
      <c r="P101" s="751"/>
      <c r="Q101" s="751"/>
      <c r="R101" s="751"/>
      <c r="S101" s="1020"/>
    </row>
    <row r="102" spans="1:20" x14ac:dyDescent="0.2">
      <c r="A102" s="162"/>
      <c r="B102" s="656"/>
      <c r="C102" s="157"/>
      <c r="D102" s="1603" t="s">
        <v>825</v>
      </c>
      <c r="E102" s="1623"/>
      <c r="F102" s="1403">
        <v>0</v>
      </c>
      <c r="G102" s="867">
        <f>F102*12/F$13+J102*F102*12/F$13</f>
        <v>0</v>
      </c>
      <c r="H102" s="1163">
        <f t="shared" si="18"/>
        <v>0</v>
      </c>
      <c r="I102" s="5"/>
      <c r="J102" s="962">
        <v>0.03</v>
      </c>
      <c r="K102" s="962">
        <f>J102</f>
        <v>0.03</v>
      </c>
      <c r="L102" s="751"/>
      <c r="M102" s="751"/>
      <c r="N102" s="751"/>
      <c r="O102" s="751"/>
      <c r="P102" s="751"/>
      <c r="Q102" s="751"/>
      <c r="R102" s="751"/>
      <c r="S102" s="1020"/>
    </row>
    <row r="103" spans="1:20" ht="13.5" thickBot="1" x14ac:dyDescent="0.25">
      <c r="B103" s="656"/>
      <c r="C103" s="349"/>
      <c r="D103" s="1617" t="s">
        <v>826</v>
      </c>
      <c r="E103" s="1617"/>
      <c r="F103" s="869">
        <v>0</v>
      </c>
      <c r="G103" s="867">
        <f>F103*12/F$13+J103*F103*12/F$13</f>
        <v>0</v>
      </c>
      <c r="H103" s="1163">
        <f t="shared" si="18"/>
        <v>0</v>
      </c>
      <c r="I103" s="5"/>
      <c r="J103" s="962">
        <v>0.03</v>
      </c>
      <c r="K103" s="962">
        <f>J103</f>
        <v>0.03</v>
      </c>
      <c r="L103" s="751"/>
      <c r="M103" s="751"/>
      <c r="N103" s="751"/>
      <c r="O103" s="751"/>
      <c r="P103" s="751"/>
      <c r="Q103" s="751"/>
      <c r="R103" s="1374"/>
      <c r="S103" s="1375"/>
    </row>
    <row r="104" spans="1:20" ht="13.5" thickBot="1" x14ac:dyDescent="0.25">
      <c r="A104" s="162"/>
      <c r="B104" s="655" t="s">
        <v>122</v>
      </c>
      <c r="C104" s="157" t="s">
        <v>609</v>
      </c>
      <c r="D104" s="1621" t="s">
        <v>732</v>
      </c>
      <c r="E104" s="1621"/>
      <c r="F104" s="711">
        <f>SUM(F105:F108)</f>
        <v>0</v>
      </c>
      <c r="G104" s="711">
        <f t="shared" ref="G104:H104" si="19">SUM(G105:G108)</f>
        <v>0</v>
      </c>
      <c r="H104" s="711">
        <f t="shared" si="19"/>
        <v>0</v>
      </c>
      <c r="I104" s="5"/>
      <c r="J104" s="1081">
        <f>G$12</f>
        <v>2028</v>
      </c>
      <c r="K104" s="1082">
        <f>H$12</f>
        <v>2029</v>
      </c>
      <c r="L104" s="751"/>
      <c r="M104" s="751"/>
      <c r="N104" s="751"/>
      <c r="O104" s="751"/>
      <c r="P104" s="751"/>
      <c r="Q104" s="751"/>
      <c r="R104" s="751"/>
      <c r="S104" s="1020"/>
    </row>
    <row r="105" spans="1:20" x14ac:dyDescent="0.2">
      <c r="B105" s="656"/>
      <c r="C105" s="157"/>
      <c r="D105" s="1620" t="s">
        <v>799</v>
      </c>
      <c r="E105" s="1620"/>
      <c r="F105" s="874">
        <v>0</v>
      </c>
      <c r="G105" s="874">
        <f>F105*12/F$13+J105*F105*12/F$13</f>
        <v>0</v>
      </c>
      <c r="H105" s="1173">
        <f t="shared" ref="H105:H106" si="20">G105 +G105*K105</f>
        <v>0</v>
      </c>
      <c r="I105" s="5"/>
      <c r="J105" s="962">
        <v>0.03</v>
      </c>
      <c r="K105" s="962">
        <f>J105</f>
        <v>0.03</v>
      </c>
      <c r="L105" s="751"/>
      <c r="M105" s="751"/>
      <c r="N105" s="751"/>
      <c r="O105" s="751"/>
      <c r="P105" s="751"/>
      <c r="Q105" s="751"/>
      <c r="R105" s="1360"/>
      <c r="S105" s="1020"/>
      <c r="T105" s="381"/>
    </row>
    <row r="106" spans="1:20" x14ac:dyDescent="0.2">
      <c r="B106" s="656"/>
      <c r="C106" s="157"/>
      <c r="D106" s="1620" t="s">
        <v>798</v>
      </c>
      <c r="E106" s="1620"/>
      <c r="F106" s="867">
        <v>0</v>
      </c>
      <c r="G106" s="867">
        <f>F106*12/F$13+J106*F106*12/F$13</f>
        <v>0</v>
      </c>
      <c r="H106" s="1163">
        <f t="shared" si="20"/>
        <v>0</v>
      </c>
      <c r="I106" s="5"/>
      <c r="J106" s="962">
        <v>0.03</v>
      </c>
      <c r="K106" s="962">
        <f>J106</f>
        <v>0.03</v>
      </c>
      <c r="L106" s="751"/>
      <c r="M106" s="751"/>
      <c r="N106" s="751"/>
      <c r="O106" s="751"/>
      <c r="P106" s="751"/>
      <c r="Q106" s="751"/>
      <c r="R106" s="1360"/>
      <c r="S106" s="1020"/>
      <c r="T106" s="381"/>
    </row>
    <row r="107" spans="1:20" x14ac:dyDescent="0.2">
      <c r="B107" s="656"/>
      <c r="C107" s="157"/>
      <c r="D107" s="1620" t="s">
        <v>290</v>
      </c>
      <c r="E107" s="1620"/>
      <c r="F107" s="881">
        <v>0</v>
      </c>
      <c r="G107" s="867">
        <f>F107*12/F$13+J107*F107*12/F$13</f>
        <v>0</v>
      </c>
      <c r="H107" s="1163">
        <f t="shared" ref="H107:H108" si="21">G107 +G107*K107</f>
        <v>0</v>
      </c>
      <c r="I107" s="5"/>
      <c r="J107" s="962">
        <v>0.03</v>
      </c>
      <c r="K107" s="962">
        <f>J107</f>
        <v>0.03</v>
      </c>
      <c r="L107" s="751"/>
      <c r="M107" s="751"/>
      <c r="N107" s="751"/>
      <c r="O107" s="751"/>
      <c r="P107" s="751"/>
      <c r="Q107" s="751"/>
      <c r="R107" s="751"/>
      <c r="S107" s="1020"/>
    </row>
    <row r="108" spans="1:20" ht="13.5" thickBot="1" x14ac:dyDescent="0.25">
      <c r="B108" s="656"/>
      <c r="C108" s="349"/>
      <c r="D108" s="1617" t="s">
        <v>291</v>
      </c>
      <c r="E108" s="1617"/>
      <c r="F108" s="869">
        <v>0</v>
      </c>
      <c r="G108" s="867">
        <f>F108*12/F$13+J108*F108*12/F$13</f>
        <v>0</v>
      </c>
      <c r="H108" s="1163">
        <f t="shared" si="21"/>
        <v>0</v>
      </c>
      <c r="I108" s="5"/>
      <c r="J108" s="962">
        <v>0.03</v>
      </c>
      <c r="K108" s="962">
        <f>J108</f>
        <v>0.03</v>
      </c>
      <c r="L108" s="751"/>
      <c r="M108" s="751"/>
      <c r="N108" s="751"/>
      <c r="O108" s="751"/>
      <c r="P108" s="751"/>
      <c r="Q108" s="751"/>
      <c r="R108" s="751"/>
      <c r="S108" s="1020"/>
    </row>
    <row r="109" spans="1:20" ht="12.75" customHeight="1" thickBot="1" x14ac:dyDescent="0.25">
      <c r="B109" s="655" t="s">
        <v>123</v>
      </c>
      <c r="C109" s="157" t="s">
        <v>610</v>
      </c>
      <c r="D109" s="1621" t="s">
        <v>744</v>
      </c>
      <c r="E109" s="1621"/>
      <c r="F109" s="711">
        <f>SUM(F110:F113)</f>
        <v>0</v>
      </c>
      <c r="G109" s="711">
        <f>SUM(G110:G113)</f>
        <v>0</v>
      </c>
      <c r="H109" s="1161">
        <f>SUM(H110:H113)</f>
        <v>0</v>
      </c>
      <c r="I109" s="5"/>
      <c r="J109" s="1081">
        <f>G$12</f>
        <v>2028</v>
      </c>
      <c r="K109" s="1082">
        <f>H$12</f>
        <v>2029</v>
      </c>
      <c r="L109" s="751"/>
      <c r="M109" s="751"/>
      <c r="N109" s="751"/>
      <c r="O109" s="751"/>
      <c r="P109" s="751"/>
      <c r="Q109" s="751"/>
      <c r="R109" s="751"/>
      <c r="S109" s="1020"/>
    </row>
    <row r="110" spans="1:20" x14ac:dyDescent="0.2">
      <c r="B110" s="656"/>
      <c r="C110" s="157"/>
      <c r="D110" s="1620" t="s">
        <v>292</v>
      </c>
      <c r="E110" s="1620"/>
      <c r="F110" s="874">
        <v>0</v>
      </c>
      <c r="G110" s="874">
        <f>F110*12/F$13+J110*F110*12/F$13</f>
        <v>0</v>
      </c>
      <c r="H110" s="1173">
        <f t="shared" ref="H110:H113" si="22">G110 +G110*K110</f>
        <v>0</v>
      </c>
      <c r="I110" s="5"/>
      <c r="J110" s="962">
        <v>0.03</v>
      </c>
      <c r="K110" s="962">
        <f>J110</f>
        <v>0.03</v>
      </c>
      <c r="L110" s="751"/>
      <c r="M110" s="751"/>
      <c r="N110" s="751"/>
      <c r="O110" s="751"/>
      <c r="P110" s="751"/>
      <c r="Q110" s="751"/>
      <c r="R110" s="751"/>
      <c r="S110" s="1020"/>
    </row>
    <row r="111" spans="1:20" x14ac:dyDescent="0.2">
      <c r="B111" s="656"/>
      <c r="C111" s="157"/>
      <c r="D111" s="1620" t="s">
        <v>293</v>
      </c>
      <c r="E111" s="1620"/>
      <c r="F111" s="867">
        <v>0</v>
      </c>
      <c r="G111" s="867">
        <f>F111*12/F$13+J111*F111*12/F$13</f>
        <v>0</v>
      </c>
      <c r="H111" s="1163">
        <f t="shared" si="22"/>
        <v>0</v>
      </c>
      <c r="I111" s="5"/>
      <c r="J111" s="962">
        <v>0.03</v>
      </c>
      <c r="K111" s="962">
        <f>J111</f>
        <v>0.03</v>
      </c>
      <c r="L111" s="751"/>
      <c r="M111" s="751"/>
      <c r="N111" s="751"/>
      <c r="O111" s="751"/>
      <c r="P111" s="751"/>
      <c r="Q111" s="751"/>
      <c r="R111" s="751"/>
      <c r="S111" s="1020"/>
    </row>
    <row r="112" spans="1:20" x14ac:dyDescent="0.2">
      <c r="B112" s="656"/>
      <c r="C112" s="157"/>
      <c r="D112" s="1620" t="s">
        <v>831</v>
      </c>
      <c r="E112" s="1620"/>
      <c r="F112" s="867">
        <v>0</v>
      </c>
      <c r="G112" s="867">
        <f>F112*12/F$13+J112*F112*12/F$13</f>
        <v>0</v>
      </c>
      <c r="H112" s="1163">
        <f t="shared" si="22"/>
        <v>0</v>
      </c>
      <c r="I112" s="5"/>
      <c r="J112" s="962">
        <v>0.03</v>
      </c>
      <c r="K112" s="962">
        <f>J112</f>
        <v>0.03</v>
      </c>
      <c r="L112" s="751"/>
      <c r="M112" s="751"/>
      <c r="N112" s="751"/>
      <c r="O112" s="751"/>
      <c r="P112" s="751"/>
      <c r="Q112" s="751"/>
      <c r="R112" s="751"/>
      <c r="S112" s="1020"/>
    </row>
    <row r="113" spans="2:19" ht="13.5" thickBot="1" x14ac:dyDescent="0.25">
      <c r="B113" s="656"/>
      <c r="C113" s="349">
        <v>0</v>
      </c>
      <c r="D113" s="1617" t="s">
        <v>294</v>
      </c>
      <c r="E113" s="1617"/>
      <c r="F113" s="869">
        <v>0</v>
      </c>
      <c r="G113" s="867">
        <f>F113*12/F$13+J113*F113*12/F$13</f>
        <v>0</v>
      </c>
      <c r="H113" s="1163">
        <f t="shared" si="22"/>
        <v>0</v>
      </c>
      <c r="I113" s="3"/>
      <c r="J113" s="962">
        <v>0.03</v>
      </c>
      <c r="K113" s="962">
        <f>J113</f>
        <v>0.03</v>
      </c>
      <c r="L113" s="751"/>
      <c r="M113" s="751"/>
      <c r="N113" s="751"/>
      <c r="O113" s="751"/>
      <c r="P113" s="751"/>
      <c r="Q113" s="751"/>
      <c r="R113" s="751"/>
      <c r="S113" s="1020"/>
    </row>
    <row r="114" spans="2:19" ht="13.5" thickBot="1" x14ac:dyDescent="0.25">
      <c r="B114" s="655" t="s">
        <v>130</v>
      </c>
      <c r="C114" s="157" t="s">
        <v>611</v>
      </c>
      <c r="D114" s="1621" t="s">
        <v>745</v>
      </c>
      <c r="E114" s="1621"/>
      <c r="F114" s="711">
        <f>SUM(F115:F116)</f>
        <v>0</v>
      </c>
      <c r="G114" s="711">
        <f>SUM(G115:G116)</f>
        <v>0</v>
      </c>
      <c r="H114" s="1161">
        <f>SUM(H115:H116)</f>
        <v>0</v>
      </c>
      <c r="I114" s="3"/>
      <c r="J114" s="1081">
        <f>G$12</f>
        <v>2028</v>
      </c>
      <c r="K114" s="1082">
        <f>H$12</f>
        <v>2029</v>
      </c>
      <c r="L114" s="751"/>
      <c r="M114" s="751"/>
      <c r="N114" s="751"/>
      <c r="O114" s="751"/>
      <c r="P114" s="751"/>
      <c r="Q114" s="751"/>
      <c r="R114" s="751"/>
      <c r="S114" s="1020"/>
    </row>
    <row r="115" spans="2:19" x14ac:dyDescent="0.2">
      <c r="B115" s="656"/>
      <c r="C115" s="157"/>
      <c r="D115" s="1620" t="s">
        <v>295</v>
      </c>
      <c r="E115" s="1620"/>
      <c r="F115" s="874">
        <v>0</v>
      </c>
      <c r="G115" s="874">
        <f t="shared" ref="G115:G120" si="23">F115*12/F$13+J115*F115*12/F$13</f>
        <v>0</v>
      </c>
      <c r="H115" s="1181">
        <f t="shared" ref="H115:H119" si="24">G115 +G115*K115</f>
        <v>0</v>
      </c>
      <c r="I115" s="3"/>
      <c r="J115" s="962">
        <v>0.03</v>
      </c>
      <c r="K115" s="962">
        <f>J115</f>
        <v>0.03</v>
      </c>
      <c r="L115" s="751"/>
      <c r="M115" s="751"/>
      <c r="N115" s="751"/>
      <c r="O115" s="751"/>
      <c r="P115" s="751"/>
      <c r="Q115" s="751"/>
      <c r="R115" s="751"/>
      <c r="S115" s="1020"/>
    </row>
    <row r="116" spans="2:19" ht="13.5" thickBot="1" x14ac:dyDescent="0.25">
      <c r="B116" s="656"/>
      <c r="C116" s="349"/>
      <c r="D116" s="1617" t="s">
        <v>296</v>
      </c>
      <c r="E116" s="1617"/>
      <c r="F116" s="881">
        <v>0</v>
      </c>
      <c r="G116" s="881">
        <f t="shared" si="23"/>
        <v>0</v>
      </c>
      <c r="H116" s="1182">
        <f t="shared" si="24"/>
        <v>0</v>
      </c>
      <c r="I116" s="3"/>
      <c r="J116" s="962">
        <v>0.03</v>
      </c>
      <c r="K116" s="962">
        <f>J116</f>
        <v>0.03</v>
      </c>
      <c r="L116" s="751"/>
      <c r="M116" s="751"/>
      <c r="N116" s="751"/>
      <c r="O116" s="751"/>
      <c r="P116" s="751"/>
      <c r="Q116" s="751"/>
      <c r="R116" s="751"/>
      <c r="S116" s="1020"/>
    </row>
    <row r="117" spans="2:19" ht="13.5" thickBot="1" x14ac:dyDescent="0.25">
      <c r="B117" s="655" t="s">
        <v>173</v>
      </c>
      <c r="C117" s="350" t="s">
        <v>612</v>
      </c>
      <c r="D117" s="1613" t="s">
        <v>746</v>
      </c>
      <c r="E117" s="1614"/>
      <c r="F117" s="880">
        <v>0</v>
      </c>
      <c r="G117" s="880">
        <f t="shared" si="23"/>
        <v>0</v>
      </c>
      <c r="H117" s="1180">
        <f t="shared" si="24"/>
        <v>0</v>
      </c>
      <c r="I117" s="3"/>
      <c r="J117" s="962">
        <v>0.03</v>
      </c>
      <c r="K117" s="962">
        <f>J117</f>
        <v>0.03</v>
      </c>
      <c r="L117" s="751"/>
      <c r="M117" s="751"/>
      <c r="N117" s="751"/>
      <c r="O117" s="751"/>
      <c r="P117" s="751"/>
      <c r="Q117" s="751"/>
      <c r="R117" s="751"/>
      <c r="S117" s="1020"/>
    </row>
    <row r="118" spans="2:19" ht="13.5" thickBot="1" x14ac:dyDescent="0.25">
      <c r="B118" s="655" t="s">
        <v>171</v>
      </c>
      <c r="C118" s="350" t="s">
        <v>613</v>
      </c>
      <c r="D118" s="1613" t="s">
        <v>736</v>
      </c>
      <c r="E118" s="1614"/>
      <c r="F118" s="880">
        <v>0</v>
      </c>
      <c r="G118" s="880">
        <f t="shared" si="23"/>
        <v>0</v>
      </c>
      <c r="H118" s="1180">
        <f t="shared" si="24"/>
        <v>0</v>
      </c>
      <c r="I118" s="3"/>
      <c r="J118" s="962">
        <v>0.03</v>
      </c>
      <c r="K118" s="962">
        <f>J118</f>
        <v>0.03</v>
      </c>
      <c r="L118" s="751"/>
      <c r="M118" s="751"/>
      <c r="N118" s="751"/>
      <c r="O118" s="751"/>
      <c r="P118" s="751"/>
      <c r="Q118" s="751"/>
      <c r="R118" s="751"/>
      <c r="S118" s="1020"/>
    </row>
    <row r="119" spans="2:19" ht="13.5" thickBot="1" x14ac:dyDescent="0.25">
      <c r="B119" s="655" t="s">
        <v>172</v>
      </c>
      <c r="C119" s="350" t="s">
        <v>614</v>
      </c>
      <c r="D119" s="1618" t="s">
        <v>645</v>
      </c>
      <c r="E119" s="1619"/>
      <c r="F119" s="882">
        <v>0</v>
      </c>
      <c r="G119" s="880">
        <f t="shared" si="23"/>
        <v>0</v>
      </c>
      <c r="H119" s="1183">
        <f t="shared" si="24"/>
        <v>0</v>
      </c>
      <c r="I119" s="3"/>
      <c r="J119" s="884">
        <v>0.03</v>
      </c>
      <c r="K119" s="884">
        <f>J119</f>
        <v>0.03</v>
      </c>
      <c r="L119" s="751"/>
      <c r="M119" s="751"/>
      <c r="N119" s="751"/>
      <c r="O119" s="751"/>
      <c r="P119" s="751"/>
      <c r="Q119" s="751"/>
      <c r="R119" s="751"/>
      <c r="S119" s="1020"/>
    </row>
    <row r="120" spans="2:19" ht="13.5" thickBot="1" x14ac:dyDescent="0.25">
      <c r="B120" s="656"/>
      <c r="C120" s="350" t="s">
        <v>615</v>
      </c>
      <c r="D120" s="698" t="s">
        <v>769</v>
      </c>
      <c r="E120" s="699"/>
      <c r="F120" s="880">
        <v>0</v>
      </c>
      <c r="G120" s="883">
        <f t="shared" si="23"/>
        <v>0</v>
      </c>
      <c r="H120" s="1183">
        <f t="shared" ref="H120" si="25">G120 +G120*K120</f>
        <v>0</v>
      </c>
      <c r="I120" s="3"/>
      <c r="J120" s="962">
        <v>0.03</v>
      </c>
      <c r="K120" s="962">
        <f t="shared" ref="K120" si="26">J120</f>
        <v>0.03</v>
      </c>
      <c r="L120" s="701"/>
      <c r="M120" s="751"/>
      <c r="N120" s="751"/>
      <c r="O120" s="751"/>
      <c r="P120" s="751"/>
      <c r="Q120" s="751"/>
      <c r="R120" s="751"/>
      <c r="S120" s="1020"/>
    </row>
    <row r="121" spans="2:19" ht="13.5" thickBot="1" x14ac:dyDescent="0.25">
      <c r="B121" s="655" t="s">
        <v>174</v>
      </c>
      <c r="C121" s="350" t="s">
        <v>616</v>
      </c>
      <c r="D121" s="1291" t="s">
        <v>694</v>
      </c>
      <c r="E121" s="699"/>
      <c r="F121" s="880">
        <v>0</v>
      </c>
      <c r="G121" s="1292"/>
      <c r="H121" s="1292"/>
      <c r="I121" s="3"/>
      <c r="J121" s="1380"/>
      <c r="K121" s="1381"/>
      <c r="L121" s="1014"/>
      <c r="M121" s="1014"/>
      <c r="N121" s="1014"/>
      <c r="O121" s="1014"/>
      <c r="P121" s="1014"/>
      <c r="Q121" s="1014"/>
      <c r="R121" s="1014"/>
      <c r="S121" s="1023"/>
    </row>
    <row r="122" spans="2:19" ht="13.5" thickBot="1" x14ac:dyDescent="0.25">
      <c r="B122" s="659"/>
      <c r="C122" s="350" t="s">
        <v>617</v>
      </c>
      <c r="D122" s="351" t="s">
        <v>302</v>
      </c>
      <c r="E122" s="347"/>
      <c r="F122" s="724">
        <f>-'FS3 Resultat'!F51</f>
        <v>0</v>
      </c>
      <c r="G122" s="724">
        <f>-'FS3 Resultat'!H51</f>
        <v>0</v>
      </c>
      <c r="H122" s="1184">
        <f>-'FS3 Resultat'!K51</f>
        <v>0</v>
      </c>
      <c r="I122" s="5"/>
      <c r="J122" s="407"/>
      <c r="K122" s="1058"/>
      <c r="L122" s="355"/>
      <c r="M122" s="355"/>
      <c r="N122" s="355"/>
      <c r="O122" s="355"/>
      <c r="P122" s="355"/>
      <c r="Q122" s="355"/>
      <c r="R122" s="355"/>
      <c r="S122" s="355"/>
    </row>
    <row r="123" spans="2:19" ht="13.5" thickBot="1" x14ac:dyDescent="0.25">
      <c r="B123" s="656"/>
      <c r="C123" s="350" t="s">
        <v>618</v>
      </c>
      <c r="D123" s="1857" t="s">
        <v>522</v>
      </c>
      <c r="E123" s="1857"/>
      <c r="F123" s="725">
        <f>F26+F28+F29+F36+F41+F47+F61+F69+F74+F79+F88+F89+F95+F99+F104+F109+F114+F117+F118+F119+F83+F59+F122+F120+F121</f>
        <v>0</v>
      </c>
      <c r="G123" s="725">
        <f>G26+G28+G29+G36+G41+G47+G61+G69+G74+G79+G88+G89+G95+G99+G104+G109+G114+G117+G118+G119+G83+G59+G122+G120+G121</f>
        <v>0</v>
      </c>
      <c r="H123" s="1185">
        <f>H26+H28+H29+H36+H41+H47+H61+H69+H74+H79+H88+H89+H95+H99+H104+H109+H114+H117+H118+H119+H83+H59+H122+H120+H121</f>
        <v>0</v>
      </c>
      <c r="I123" s="17"/>
      <c r="J123" s="407"/>
      <c r="K123" s="355"/>
      <c r="L123" s="355"/>
      <c r="M123" s="355"/>
      <c r="N123" s="355"/>
      <c r="O123" s="355"/>
      <c r="P123" s="355"/>
      <c r="Q123" s="355"/>
      <c r="R123" s="355"/>
      <c r="S123" s="355"/>
    </row>
    <row r="124" spans="2:19" ht="13.5" thickBot="1" x14ac:dyDescent="0.25">
      <c r="B124" s="656"/>
      <c r="C124" s="350" t="s">
        <v>619</v>
      </c>
      <c r="D124" s="1611" t="s">
        <v>536</v>
      </c>
      <c r="E124" s="1612"/>
      <c r="F124" s="727">
        <f>F125/F13</f>
        <v>0</v>
      </c>
      <c r="G124" s="727">
        <f>G125/G13</f>
        <v>0</v>
      </c>
      <c r="H124" s="1186">
        <f>H125/H13</f>
        <v>0</v>
      </c>
      <c r="I124" s="17"/>
      <c r="J124" s="407"/>
      <c r="K124" s="355"/>
      <c r="L124" s="355"/>
      <c r="M124" s="355"/>
      <c r="N124" s="355"/>
      <c r="O124" s="355"/>
      <c r="P124" s="355"/>
      <c r="Q124" s="355"/>
      <c r="R124" s="355"/>
      <c r="S124" s="355"/>
    </row>
    <row r="125" spans="2:19" ht="13.5" thickBot="1" x14ac:dyDescent="0.25">
      <c r="B125" s="657" t="s">
        <v>0</v>
      </c>
      <c r="C125" s="349" t="s">
        <v>620</v>
      </c>
      <c r="D125" s="1637" t="s">
        <v>523</v>
      </c>
      <c r="E125" s="1637"/>
      <c r="F125" s="726">
        <f>F123+F23</f>
        <v>0</v>
      </c>
      <c r="G125" s="726">
        <f>G123+G23</f>
        <v>0</v>
      </c>
      <c r="H125" s="1187">
        <f>H123+H23</f>
        <v>0</v>
      </c>
      <c r="I125" s="5"/>
      <c r="J125" s="407"/>
      <c r="K125" s="355"/>
      <c r="L125" s="355"/>
      <c r="M125" s="355"/>
      <c r="N125" s="355"/>
      <c r="O125" s="355"/>
      <c r="P125" s="355"/>
      <c r="Q125" s="355"/>
      <c r="R125" s="355"/>
      <c r="S125" s="355"/>
    </row>
    <row r="126" spans="2:19" ht="6" customHeight="1" x14ac:dyDescent="0.2">
      <c r="B126" s="657"/>
      <c r="C126" s="682"/>
      <c r="D126" s="1142"/>
      <c r="E126" s="1142"/>
      <c r="F126" s="1090"/>
      <c r="G126" s="1090"/>
      <c r="H126" s="1143"/>
      <c r="I126" s="408"/>
      <c r="J126" s="407"/>
      <c r="K126" s="355"/>
      <c r="L126" s="355"/>
      <c r="M126" s="355"/>
      <c r="N126" s="355"/>
      <c r="O126" s="355"/>
      <c r="P126" s="355"/>
      <c r="Q126" s="355"/>
      <c r="R126" s="355"/>
      <c r="S126" s="355"/>
    </row>
    <row r="127" spans="2:19" x14ac:dyDescent="0.2">
      <c r="B127" s="656" t="s">
        <v>0</v>
      </c>
      <c r="C127" s="1304" t="s">
        <v>621</v>
      </c>
      <c r="D127" s="1854" t="s">
        <v>413</v>
      </c>
      <c r="E127" s="1858"/>
      <c r="F127" s="1144">
        <f>'FS2 Försäljning '!C238-'FS2 Försäljning '!C239</f>
        <v>0</v>
      </c>
      <c r="G127" s="1144">
        <f>'FS2 Försäljning '!D238-'FS2 Försäljning '!D239</f>
        <v>0</v>
      </c>
      <c r="H127" s="1145">
        <f>'FS2 Försäljning '!E238-'FS2 Försäljning '!E239</f>
        <v>0</v>
      </c>
      <c r="I127" s="5"/>
      <c r="J127" s="407" t="s">
        <v>0</v>
      </c>
      <c r="K127" s="355"/>
      <c r="L127" s="355"/>
      <c r="M127" s="355"/>
      <c r="N127" s="355"/>
      <c r="O127" s="355"/>
      <c r="P127" s="355"/>
      <c r="Q127" s="355"/>
      <c r="R127" s="355"/>
      <c r="S127" s="355"/>
    </row>
    <row r="128" spans="2:19" x14ac:dyDescent="0.2">
      <c r="B128" s="656"/>
      <c r="C128" s="1304" t="s">
        <v>622</v>
      </c>
      <c r="D128" s="1605" t="s">
        <v>297</v>
      </c>
      <c r="E128" s="1861"/>
      <c r="F128" s="750">
        <f>F127-F125</f>
        <v>0</v>
      </c>
      <c r="G128" s="750">
        <f>G127-G125</f>
        <v>0</v>
      </c>
      <c r="H128" s="1146">
        <f>H127-H125</f>
        <v>0</v>
      </c>
      <c r="I128" s="43"/>
      <c r="J128" s="1064"/>
      <c r="K128" s="355"/>
      <c r="L128" s="355"/>
      <c r="M128" s="355"/>
      <c r="N128" s="355"/>
      <c r="O128" s="355"/>
      <c r="P128" s="355"/>
      <c r="Q128" s="355"/>
      <c r="R128" s="355"/>
      <c r="S128" s="355"/>
    </row>
    <row r="129" spans="2:19" x14ac:dyDescent="0.2">
      <c r="B129" s="658"/>
      <c r="C129" s="1303" t="s">
        <v>623</v>
      </c>
      <c r="D129" s="1859" t="s">
        <v>298</v>
      </c>
      <c r="E129" s="1860"/>
      <c r="F129" s="1147">
        <f>IF(F127=0,0,F128/F127)</f>
        <v>0</v>
      </c>
      <c r="G129" s="1147">
        <f>IF(G127=0,0,G128/G127)</f>
        <v>0</v>
      </c>
      <c r="H129" s="1148">
        <f>IF(H127=0,0,H128/H127)</f>
        <v>0</v>
      </c>
      <c r="I129" s="43"/>
      <c r="J129" s="407" t="s">
        <v>0</v>
      </c>
      <c r="K129" s="355"/>
      <c r="L129" s="355"/>
      <c r="M129" s="355"/>
      <c r="N129" s="355"/>
      <c r="O129" s="355"/>
      <c r="P129" s="355"/>
      <c r="Q129" s="355"/>
      <c r="R129" s="355"/>
      <c r="S129" s="355"/>
    </row>
    <row r="130" spans="2:19" ht="6" customHeight="1" x14ac:dyDescent="0.2">
      <c r="B130" s="658"/>
      <c r="C130" s="792"/>
      <c r="D130" s="396"/>
      <c r="E130" s="396"/>
      <c r="F130" s="1091"/>
      <c r="G130" s="1091"/>
      <c r="H130" s="1091"/>
      <c r="I130" s="43"/>
      <c r="J130" s="407"/>
      <c r="K130" s="355"/>
      <c r="L130" s="355"/>
      <c r="M130" s="355"/>
      <c r="N130" s="355"/>
      <c r="O130" s="355"/>
      <c r="P130" s="355"/>
      <c r="Q130" s="355"/>
      <c r="R130" s="355"/>
      <c r="S130" s="355"/>
    </row>
    <row r="131" spans="2:19" x14ac:dyDescent="0.2">
      <c r="B131" s="657"/>
      <c r="C131" s="1304" t="s">
        <v>624</v>
      </c>
      <c r="D131" s="1854" t="s">
        <v>299</v>
      </c>
      <c r="E131" s="1854"/>
      <c r="F131" s="1149">
        <f>'FS2 Försäljning '!C238</f>
        <v>0</v>
      </c>
      <c r="G131" s="1149">
        <f>'FS2 Försäljning '!D238</f>
        <v>0</v>
      </c>
      <c r="H131" s="1150">
        <f>'FS2 Försäljning '!E238</f>
        <v>0</v>
      </c>
      <c r="I131" s="5"/>
      <c r="J131" s="355"/>
      <c r="K131" s="355"/>
      <c r="L131" s="355"/>
      <c r="M131" s="355"/>
      <c r="N131" s="355"/>
      <c r="O131" s="355"/>
      <c r="P131" s="355"/>
      <c r="Q131" s="355"/>
      <c r="R131" s="355"/>
      <c r="S131" s="355"/>
    </row>
    <row r="132" spans="2:19" x14ac:dyDescent="0.2">
      <c r="B132" s="659"/>
      <c r="C132" s="1304" t="s">
        <v>625</v>
      </c>
      <c r="D132" s="1623" t="s">
        <v>300</v>
      </c>
      <c r="E132" s="1855"/>
      <c r="F132" s="722">
        <f>-'FS3 Resultat'!F42</f>
        <v>0</v>
      </c>
      <c r="G132" s="722">
        <f>-'FS3 Resultat'!H42</f>
        <v>0</v>
      </c>
      <c r="H132" s="1151">
        <f>-'FS3 Resultat'!K42</f>
        <v>0</v>
      </c>
      <c r="I132" s="17"/>
      <c r="J132" s="140"/>
      <c r="K132" s="140"/>
      <c r="L132" s="140"/>
      <c r="M132" s="140"/>
      <c r="N132" s="140"/>
      <c r="O132" s="140"/>
      <c r="P132" s="140"/>
      <c r="Q132" s="140"/>
    </row>
    <row r="133" spans="2:19" x14ac:dyDescent="0.2">
      <c r="B133" s="660"/>
      <c r="C133" s="1306" t="s">
        <v>626</v>
      </c>
      <c r="D133" s="1856" t="s">
        <v>301</v>
      </c>
      <c r="E133" s="1856"/>
      <c r="F133" s="1152">
        <f>F131+F132</f>
        <v>0</v>
      </c>
      <c r="G133" s="1152">
        <f>G131+G132</f>
        <v>0</v>
      </c>
      <c r="H133" s="1153">
        <f>H131+H132</f>
        <v>0</v>
      </c>
      <c r="I133" s="5"/>
      <c r="J133" s="140"/>
      <c r="K133" s="140"/>
      <c r="L133" s="140"/>
      <c r="M133" s="140"/>
      <c r="N133" s="140"/>
      <c r="O133" s="140"/>
      <c r="P133" s="140"/>
      <c r="Q133" s="140"/>
    </row>
    <row r="135" spans="2:19" x14ac:dyDescent="0.2">
      <c r="C135" s="60"/>
      <c r="D135" s="161"/>
    </row>
    <row r="136" spans="2:19" x14ac:dyDescent="0.2">
      <c r="B136" s="353" t="s">
        <v>306</v>
      </c>
      <c r="C136" s="60"/>
      <c r="D136" s="161"/>
      <c r="F136" s="50"/>
      <c r="G136" s="50"/>
      <c r="H136" s="50"/>
    </row>
    <row r="137" spans="2:19" x14ac:dyDescent="0.2">
      <c r="B137" s="102" t="s">
        <v>307</v>
      </c>
      <c r="C137" s="60"/>
      <c r="D137" s="161"/>
    </row>
    <row r="138" spans="2:19" x14ac:dyDescent="0.2">
      <c r="B138" s="102" t="s">
        <v>308</v>
      </c>
      <c r="C138" s="60"/>
      <c r="D138" s="161"/>
    </row>
    <row r="139" spans="2:19" x14ac:dyDescent="0.2">
      <c r="C139" s="60"/>
      <c r="D139" s="8"/>
    </row>
    <row r="140" spans="2:19" x14ac:dyDescent="0.2">
      <c r="D140" s="317"/>
    </row>
    <row r="141" spans="2:19" x14ac:dyDescent="0.2">
      <c r="D141" s="8"/>
    </row>
    <row r="142" spans="2:19" x14ac:dyDescent="0.2">
      <c r="D142" s="8"/>
    </row>
    <row r="143" spans="2:19" x14ac:dyDescent="0.2">
      <c r="D143" s="8"/>
    </row>
    <row r="144" spans="2:19" x14ac:dyDescent="0.2">
      <c r="D144" s="317"/>
    </row>
    <row r="145" spans="6:6" x14ac:dyDescent="0.2">
      <c r="F145" s="50"/>
    </row>
  </sheetData>
  <sheetProtection algorithmName="SHA-512" hashValue="0rHo3ZJNOvAfb/zPBGkVp0Jxdr/o4g3r0OWNI1jFoQwErfSCPtLTeg4u0NlijLY588+4aoniFwZzvvSSTWFmYg==" saltValue="GZmTQwe1Y7p1PLACCRHUeg==" spinCount="100000" sheet="1" objects="1" scenarios="1"/>
  <mergeCells count="73">
    <mergeCell ref="D102:E102"/>
    <mergeCell ref="D131:E131"/>
    <mergeCell ref="D132:E132"/>
    <mergeCell ref="D133:E133"/>
    <mergeCell ref="D123:E123"/>
    <mergeCell ref="D124:E124"/>
    <mergeCell ref="D125:E125"/>
    <mergeCell ref="D127:E127"/>
    <mergeCell ref="D129:E129"/>
    <mergeCell ref="D128:E128"/>
    <mergeCell ref="D115:E115"/>
    <mergeCell ref="D116:E116"/>
    <mergeCell ref="D117:E117"/>
    <mergeCell ref="D118:E118"/>
    <mergeCell ref="D119:E119"/>
    <mergeCell ref="D110:E110"/>
    <mergeCell ref="D111:E111"/>
    <mergeCell ref="D112:E112"/>
    <mergeCell ref="D113:E113"/>
    <mergeCell ref="D114:E114"/>
    <mergeCell ref="D103:E103"/>
    <mergeCell ref="D104:E104"/>
    <mergeCell ref="D107:E107"/>
    <mergeCell ref="D108:E108"/>
    <mergeCell ref="D109:E109"/>
    <mergeCell ref="D105:E105"/>
    <mergeCell ref="D106:E106"/>
    <mergeCell ref="D96:E96"/>
    <mergeCell ref="D98:E98"/>
    <mergeCell ref="D99:E99"/>
    <mergeCell ref="D100:E100"/>
    <mergeCell ref="D101:E101"/>
    <mergeCell ref="D97:E97"/>
    <mergeCell ref="D91:E91"/>
    <mergeCell ref="D92:E92"/>
    <mergeCell ref="D93:E93"/>
    <mergeCell ref="D94:E94"/>
    <mergeCell ref="D95:E95"/>
    <mergeCell ref="D32:E32"/>
    <mergeCell ref="D81:E81"/>
    <mergeCell ref="N2:O2"/>
    <mergeCell ref="K2:L2"/>
    <mergeCell ref="C9:D9"/>
    <mergeCell ref="C2:H2"/>
    <mergeCell ref="J10:N10"/>
    <mergeCell ref="C4:H4"/>
    <mergeCell ref="E9:H9"/>
    <mergeCell ref="J14:K14"/>
    <mergeCell ref="J37:K37"/>
    <mergeCell ref="D36:E36"/>
    <mergeCell ref="D37:E37"/>
    <mergeCell ref="C11:E12"/>
    <mergeCell ref="D14:E14"/>
    <mergeCell ref="B11:B12"/>
    <mergeCell ref="D27:E27"/>
    <mergeCell ref="D15:E15"/>
    <mergeCell ref="D20:E20"/>
    <mergeCell ref="D26:E26"/>
    <mergeCell ref="D38:E38"/>
    <mergeCell ref="D39:E39"/>
    <mergeCell ref="D58:E58"/>
    <mergeCell ref="D79:E79"/>
    <mergeCell ref="D61:E61"/>
    <mergeCell ref="D40:E40"/>
    <mergeCell ref="D56:E56"/>
    <mergeCell ref="D57:E57"/>
    <mergeCell ref="D82:E82"/>
    <mergeCell ref="D88:E88"/>
    <mergeCell ref="D89:E89"/>
    <mergeCell ref="D90:E90"/>
    <mergeCell ref="D46:E46"/>
    <mergeCell ref="D60:E60"/>
    <mergeCell ref="D80:E80"/>
  </mergeCells>
  <hyperlinks>
    <hyperlink ref="D28" location="Lönekostnader!A1" display="Penninglönekostnader (ArPL - anställda och ArPL - företagare)" xr:uid="{00000000-0004-0000-0900-000000000000}"/>
  </hyperlinks>
  <printOptions horizontalCentered="1"/>
  <pageMargins left="0.23622047244094491" right="0.23622047244094491" top="0.74803149606299213" bottom="0.74803149606299213" header="0.31496062992125984" footer="0.31496062992125984"/>
  <pageSetup paperSize="9" scale="85" orientation="portrait" r:id="rId1"/>
  <headerFooter>
    <oddFooter xml:space="preserve">&amp;C&amp;8FT5 Nyföretagets ekonomiplan </oddFooter>
  </headerFooter>
  <rowBreaks count="1" manualBreakCount="1">
    <brk id="68" min="2" max="18" man="1"/>
  </rowBreaks>
  <colBreaks count="1" manualBreakCount="1">
    <brk id="8" min="3" max="127" man="1"/>
  </col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ul11">
    <tabColor theme="4" tint="0.59999389629810485"/>
  </sheetPr>
  <dimension ref="A1:W244"/>
  <sheetViews>
    <sheetView showGridLines="0" showZeros="0" zoomScaleNormal="100" workbookViewId="0">
      <selection activeCell="M31" sqref="M31"/>
    </sheetView>
  </sheetViews>
  <sheetFormatPr defaultRowHeight="12.75" x14ac:dyDescent="0.2"/>
  <cols>
    <col min="1" max="1" width="6.7109375" customWidth="1"/>
    <col min="2" max="2" width="33.140625" customWidth="1"/>
    <col min="3" max="5" width="11.7109375" customWidth="1"/>
    <col min="6" max="6" width="21.28515625" style="366" customWidth="1"/>
    <col min="7" max="8" width="5.7109375" customWidth="1"/>
    <col min="9" max="9" width="10.140625" customWidth="1"/>
    <col min="10" max="10" width="5.140625" customWidth="1"/>
    <col min="12" max="12" width="11.28515625" customWidth="1"/>
    <col min="13" max="13" width="11" customWidth="1"/>
    <col min="23" max="23" width="5.28515625" customWidth="1"/>
  </cols>
  <sheetData>
    <row r="1" spans="1:23" x14ac:dyDescent="0.2">
      <c r="B1" s="1649"/>
      <c r="C1" s="1649"/>
      <c r="D1" s="1649"/>
      <c r="E1" s="1649"/>
      <c r="F1" s="1649"/>
      <c r="G1" s="1649"/>
      <c r="H1" s="1649"/>
      <c r="I1" s="40"/>
    </row>
    <row r="2" spans="1:23" ht="15" customHeight="1" x14ac:dyDescent="0.2">
      <c r="B2" s="1849" t="s">
        <v>391</v>
      </c>
      <c r="C2" s="1849"/>
      <c r="D2" s="1849"/>
      <c r="E2" s="1849"/>
      <c r="F2" s="1849"/>
      <c r="G2" s="1849"/>
      <c r="H2" s="1849"/>
      <c r="I2" s="1849"/>
      <c r="J2" s="422"/>
      <c r="K2" s="422"/>
      <c r="L2" s="422"/>
      <c r="M2" s="19"/>
      <c r="N2" s="19"/>
      <c r="O2" s="19"/>
      <c r="P2" s="19"/>
      <c r="Q2" s="19"/>
      <c r="R2" s="19"/>
      <c r="S2" s="19"/>
      <c r="T2" s="19"/>
      <c r="U2" s="19"/>
      <c r="V2" s="19"/>
      <c r="W2" s="19"/>
    </row>
    <row r="3" spans="1:23" ht="15" customHeight="1" x14ac:dyDescent="0.2">
      <c r="K3" s="1862" t="s">
        <v>239</v>
      </c>
      <c r="L3" s="1862"/>
      <c r="M3" s="19"/>
      <c r="N3" s="1862" t="s">
        <v>240</v>
      </c>
      <c r="O3" s="1862"/>
      <c r="P3" s="1862"/>
      <c r="Q3" s="19"/>
      <c r="R3" s="19"/>
      <c r="S3" s="19"/>
      <c r="T3" s="19"/>
      <c r="U3" s="19"/>
      <c r="V3" s="19"/>
      <c r="W3" s="19"/>
    </row>
    <row r="4" spans="1:23" ht="15" customHeight="1" x14ac:dyDescent="0.2">
      <c r="B4" s="1851" t="s">
        <v>395</v>
      </c>
      <c r="C4" s="1851"/>
      <c r="D4" s="1851"/>
      <c r="E4" s="1851"/>
      <c r="F4" s="1851"/>
      <c r="G4" s="1851"/>
      <c r="H4" s="1851"/>
      <c r="I4" s="1851"/>
      <c r="M4" s="19"/>
      <c r="N4" s="19"/>
      <c r="O4" s="19"/>
      <c r="P4" s="19"/>
      <c r="Q4" s="19"/>
      <c r="R4" s="19"/>
      <c r="S4" s="19"/>
      <c r="T4" s="19"/>
      <c r="U4" s="19"/>
      <c r="V4" s="19"/>
      <c r="W4" s="19"/>
    </row>
    <row r="5" spans="1:23" ht="15" customHeight="1" x14ac:dyDescent="0.25">
      <c r="B5" s="101" t="str">
        <f>'K1 Kostnader'!C5</f>
        <v>Tjänsten erbjuds av</v>
      </c>
      <c r="F5" s="1270"/>
      <c r="G5" s="12"/>
      <c r="J5" s="19"/>
      <c r="K5" s="19"/>
      <c r="L5" s="19"/>
      <c r="M5" s="19"/>
      <c r="N5" s="19"/>
      <c r="O5" s="19"/>
      <c r="P5" s="19"/>
      <c r="Q5" s="19"/>
      <c r="R5" s="19"/>
      <c r="S5" s="19"/>
      <c r="T5" s="19"/>
      <c r="U5" s="19"/>
      <c r="V5" s="19"/>
      <c r="W5" s="19"/>
    </row>
    <row r="6" spans="1:23" ht="12" customHeight="1" x14ac:dyDescent="0.25">
      <c r="B6" s="1652" t="str">
        <f>Startsidan!G35</f>
        <v>Business Kristinestad och Dynamo Närpes</v>
      </c>
      <c r="C6" s="1652"/>
      <c r="D6" s="1652"/>
      <c r="E6" s="1652"/>
      <c r="F6" s="1270"/>
      <c r="G6" s="12"/>
      <c r="J6" s="19"/>
      <c r="K6" s="19"/>
      <c r="L6" s="19"/>
      <c r="M6" s="19"/>
      <c r="N6" s="19"/>
      <c r="O6" s="19"/>
      <c r="P6" s="19"/>
      <c r="Q6" s="19"/>
      <c r="R6" s="19"/>
      <c r="S6" s="19"/>
      <c r="T6" s="19"/>
      <c r="U6" s="19"/>
      <c r="V6" s="19"/>
      <c r="W6" s="19"/>
    </row>
    <row r="7" spans="1:23" ht="12" customHeight="1" x14ac:dyDescent="0.25">
      <c r="B7" s="487"/>
      <c r="C7" s="487"/>
      <c r="D7" s="487"/>
      <c r="E7" s="487"/>
      <c r="F7" s="1270"/>
      <c r="G7" s="12"/>
      <c r="J7" s="19"/>
      <c r="K7" s="19"/>
      <c r="L7" s="19"/>
      <c r="M7" s="19"/>
      <c r="N7" s="19"/>
      <c r="O7" s="19"/>
      <c r="P7" s="19"/>
      <c r="Q7" s="19"/>
      <c r="R7" s="19"/>
      <c r="S7" s="19"/>
      <c r="T7" s="19"/>
      <c r="U7" s="19"/>
      <c r="V7" s="19"/>
      <c r="W7" s="19"/>
    </row>
    <row r="8" spans="1:23" ht="12" customHeight="1" x14ac:dyDescent="0.2">
      <c r="B8" s="487" t="s">
        <v>238</v>
      </c>
      <c r="C8" s="1642"/>
      <c r="D8" s="1865"/>
      <c r="E8" s="1865"/>
      <c r="F8" s="1271" t="s">
        <v>0</v>
      </c>
      <c r="G8" s="39"/>
      <c r="H8" s="41"/>
      <c r="I8" s="45"/>
      <c r="J8" s="19"/>
      <c r="K8" s="19"/>
      <c r="L8" s="19"/>
      <c r="M8" s="19"/>
      <c r="N8" s="19"/>
      <c r="O8" s="19"/>
      <c r="P8" s="19"/>
      <c r="Q8" s="19"/>
      <c r="R8" s="19"/>
      <c r="S8" s="19"/>
      <c r="T8" s="19"/>
      <c r="U8" s="19"/>
      <c r="V8" s="19"/>
      <c r="W8" s="19"/>
    </row>
    <row r="9" spans="1:23" ht="13.5" customHeight="1" x14ac:dyDescent="0.2">
      <c r="B9" s="480">
        <f>'FS1 Kostnader '!C9</f>
        <v>0</v>
      </c>
      <c r="C9" s="1642"/>
      <c r="D9" s="1865"/>
      <c r="E9" s="1865"/>
      <c r="F9" s="1651"/>
      <c r="G9" s="1651"/>
      <c r="H9" s="1651"/>
      <c r="I9" s="1651"/>
      <c r="J9" s="19"/>
      <c r="K9" s="19"/>
      <c r="L9" s="19"/>
      <c r="M9" s="19"/>
      <c r="N9" s="19"/>
      <c r="O9" s="19"/>
      <c r="P9" s="19"/>
      <c r="Q9" s="19"/>
      <c r="R9" s="19"/>
      <c r="S9" s="19"/>
      <c r="T9" s="19"/>
      <c r="U9" s="19"/>
      <c r="V9" s="19"/>
      <c r="W9" s="19"/>
    </row>
    <row r="10" spans="1:23" ht="12.75" customHeight="1" x14ac:dyDescent="0.2">
      <c r="B10" s="1"/>
      <c r="C10" s="1"/>
      <c r="D10" s="1"/>
      <c r="E10" s="1"/>
      <c r="F10" s="1272"/>
      <c r="G10" s="33"/>
      <c r="H10" s="36"/>
      <c r="I10" s="36"/>
      <c r="J10" s="19"/>
      <c r="K10" s="19"/>
      <c r="L10" s="19"/>
      <c r="M10" s="19"/>
      <c r="N10" s="19"/>
      <c r="O10" s="19"/>
      <c r="P10" s="19"/>
      <c r="Q10" s="19"/>
      <c r="R10" s="19"/>
      <c r="S10" s="19"/>
      <c r="T10" s="19"/>
      <c r="U10" s="19"/>
      <c r="V10" s="19"/>
      <c r="W10" s="19"/>
    </row>
    <row r="11" spans="1:23" x14ac:dyDescent="0.2">
      <c r="B11" s="1653">
        <f>IF(C13=12,0,"OBSERVERA RÄKENSKAPSPERIODENS LÄNGD!")</f>
        <v>0</v>
      </c>
      <c r="C11" s="1200" t="s">
        <v>313</v>
      </c>
      <c r="D11" s="1201" t="s">
        <v>314</v>
      </c>
      <c r="E11" s="1202" t="s">
        <v>315</v>
      </c>
      <c r="J11" s="74"/>
      <c r="L11" s="476">
        <f>C8</f>
        <v>0</v>
      </c>
      <c r="M11" s="74"/>
      <c r="N11" s="477"/>
      <c r="O11" s="19"/>
      <c r="P11" s="19"/>
      <c r="Q11" s="19"/>
      <c r="R11" s="19"/>
      <c r="S11" s="19"/>
      <c r="T11" s="19"/>
      <c r="U11" s="19"/>
      <c r="V11" s="19"/>
      <c r="W11" s="19"/>
    </row>
    <row r="12" spans="1:23" ht="12" customHeight="1" x14ac:dyDescent="0.2">
      <c r="B12" s="1653"/>
      <c r="C12" s="1078">
        <f>'FS1 Kostnader '!F12</f>
        <v>2027</v>
      </c>
      <c r="D12" s="1203">
        <f>'FS1 Kostnader '!G12</f>
        <v>2028</v>
      </c>
      <c r="E12" s="1079">
        <f>'FS1 Kostnader '!H12</f>
        <v>2029</v>
      </c>
      <c r="J12" s="35"/>
      <c r="K12" s="410" t="str">
        <f>B8</f>
        <v>Företagets namn</v>
      </c>
      <c r="L12" s="1075">
        <f>B9</f>
        <v>0</v>
      </c>
      <c r="M12" s="76"/>
      <c r="N12" s="1044"/>
      <c r="O12" s="19"/>
      <c r="P12" s="19"/>
      <c r="Q12" s="19"/>
      <c r="R12" s="19"/>
      <c r="S12" s="19"/>
      <c r="T12" s="19"/>
      <c r="U12" s="19"/>
      <c r="V12" s="19"/>
      <c r="W12" s="19"/>
    </row>
    <row r="13" spans="1:23" x14ac:dyDescent="0.2">
      <c r="B13" s="1107" t="s">
        <v>316</v>
      </c>
      <c r="C13" s="1204">
        <f>'FS1 Kostnader '!F13</f>
        <v>12</v>
      </c>
      <c r="D13" s="1205">
        <f>'FS1 Kostnader '!G13</f>
        <v>12</v>
      </c>
      <c r="E13" s="1206">
        <f>'FS1 Kostnader '!H13</f>
        <v>12</v>
      </c>
      <c r="L13" s="271"/>
      <c r="M13" s="271"/>
    </row>
    <row r="14" spans="1:23" ht="4.5" customHeight="1" x14ac:dyDescent="0.2">
      <c r="B14" s="14"/>
      <c r="C14" s="100"/>
      <c r="D14" s="100"/>
      <c r="E14" s="100"/>
      <c r="J14" s="35"/>
      <c r="L14" s="76"/>
      <c r="M14" s="76"/>
      <c r="N14" s="1044"/>
      <c r="O14" s="19"/>
      <c r="P14" s="19"/>
      <c r="Q14" s="19"/>
      <c r="R14" s="19"/>
      <c r="S14" s="19"/>
      <c r="T14" s="19"/>
      <c r="U14" s="19"/>
      <c r="V14" s="19"/>
      <c r="W14" s="19"/>
    </row>
    <row r="15" spans="1:23" ht="12" customHeight="1" x14ac:dyDescent="0.2">
      <c r="A15" s="1483" t="s">
        <v>695</v>
      </c>
      <c r="B15" s="890" t="s">
        <v>581</v>
      </c>
      <c r="C15" s="891">
        <v>0.255</v>
      </c>
      <c r="D15" s="891">
        <f>C15</f>
        <v>0.255</v>
      </c>
      <c r="E15" s="1195">
        <f>D15</f>
        <v>0.255</v>
      </c>
      <c r="F15" s="1863"/>
      <c r="G15" s="1864"/>
      <c r="H15" s="1864"/>
      <c r="I15" s="1382"/>
      <c r="J15" s="21"/>
      <c r="L15" s="76"/>
      <c r="M15" s="83"/>
      <c r="N15" s="19"/>
      <c r="O15" s="19"/>
      <c r="P15" s="19"/>
      <c r="Q15" s="19"/>
      <c r="R15" s="19"/>
      <c r="S15" s="19"/>
      <c r="T15" s="19"/>
      <c r="U15" s="19"/>
      <c r="V15" s="19"/>
      <c r="W15" s="19"/>
    </row>
    <row r="16" spans="1:23" ht="12" customHeight="1" x14ac:dyDescent="0.2">
      <c r="A16" s="162"/>
      <c r="B16" s="832" t="s">
        <v>337</v>
      </c>
      <c r="C16" s="780">
        <f>C17*C18</f>
        <v>0</v>
      </c>
      <c r="D16" s="780">
        <f>D17*D18</f>
        <v>0</v>
      </c>
      <c r="E16" s="1192">
        <f>E17*E18</f>
        <v>0</v>
      </c>
      <c r="F16" s="1269"/>
      <c r="G16" s="1109">
        <f>D12</f>
        <v>2028</v>
      </c>
      <c r="H16" s="1109">
        <f>E12</f>
        <v>2029</v>
      </c>
      <c r="I16" s="1383"/>
      <c r="J16" s="21"/>
      <c r="K16" s="1025" t="s">
        <v>310</v>
      </c>
      <c r="L16" s="1045"/>
      <c r="M16" s="1046"/>
      <c r="N16" s="1047"/>
      <c r="O16" s="1047"/>
      <c r="P16" s="1047"/>
      <c r="Q16" s="1047"/>
      <c r="R16" s="1047"/>
      <c r="S16" s="1047"/>
      <c r="T16" s="1048"/>
      <c r="U16" s="19"/>
      <c r="V16" s="19"/>
      <c r="W16" s="19"/>
    </row>
    <row r="17" spans="1:23" ht="12" customHeight="1" x14ac:dyDescent="0.2">
      <c r="B17" s="364" t="s">
        <v>849</v>
      </c>
      <c r="C17" s="892">
        <v>0</v>
      </c>
      <c r="D17" s="892">
        <f>C17*(1+G17)</f>
        <v>0</v>
      </c>
      <c r="E17" s="1193">
        <f>D17*(1+H17)</f>
        <v>0</v>
      </c>
      <c r="F17" s="1269" t="s">
        <v>682</v>
      </c>
      <c r="G17" s="1190">
        <v>0.03</v>
      </c>
      <c r="H17" s="1190">
        <f>G17</f>
        <v>0.03</v>
      </c>
      <c r="I17" s="1249"/>
      <c r="J17" s="21"/>
      <c r="K17" s="1041"/>
      <c r="L17" s="1042"/>
      <c r="M17" s="1042"/>
      <c r="N17" s="1042"/>
      <c r="O17" s="1042"/>
      <c r="P17" s="1042"/>
      <c r="Q17" s="1042"/>
      <c r="R17" s="1042"/>
      <c r="S17" s="1042"/>
      <c r="T17" s="1049"/>
      <c r="U17" s="19"/>
      <c r="V17" s="19"/>
      <c r="W17" s="19"/>
    </row>
    <row r="18" spans="1:23" ht="12" customHeight="1" x14ac:dyDescent="0.2">
      <c r="A18" s="162"/>
      <c r="B18" s="894" t="s">
        <v>851</v>
      </c>
      <c r="C18" s="893">
        <v>0</v>
      </c>
      <c r="D18" s="893">
        <f>C18*12/C$13+G18*C18*12/C$13</f>
        <v>0</v>
      </c>
      <c r="E18" s="1194">
        <f>D18*(1+H18)</f>
        <v>0</v>
      </c>
      <c r="F18" s="1269" t="s">
        <v>681</v>
      </c>
      <c r="G18" s="1190">
        <v>0</v>
      </c>
      <c r="H18" s="1190">
        <f>G18</f>
        <v>0</v>
      </c>
      <c r="I18" s="1249"/>
      <c r="J18" s="21"/>
      <c r="K18" s="1041"/>
      <c r="L18" s="1042"/>
      <c r="M18" s="1042"/>
      <c r="N18" s="1042"/>
      <c r="O18" s="1042"/>
      <c r="P18" s="1042"/>
      <c r="Q18" s="1042"/>
      <c r="R18" s="1042"/>
      <c r="S18" s="1042"/>
      <c r="T18" s="1049"/>
      <c r="U18" s="19"/>
      <c r="V18" s="19"/>
      <c r="W18" s="19"/>
    </row>
    <row r="19" spans="1:23" ht="4.1500000000000004" customHeight="1" x14ac:dyDescent="0.2">
      <c r="A19" s="2"/>
      <c r="B19" s="362"/>
      <c r="C19" s="797"/>
      <c r="D19" s="830"/>
      <c r="E19" s="830"/>
      <c r="F19" s="1269"/>
      <c r="G19" s="831"/>
      <c r="H19" s="831"/>
      <c r="I19" s="1249"/>
      <c r="J19" s="21"/>
      <c r="K19" s="1050"/>
      <c r="L19" s="411"/>
      <c r="M19" s="411"/>
      <c r="N19" s="411"/>
      <c r="O19" s="411"/>
      <c r="P19" s="411"/>
      <c r="Q19" s="411"/>
      <c r="R19" s="411"/>
      <c r="S19" s="411"/>
      <c r="T19" s="1051"/>
      <c r="U19" s="19"/>
      <c r="V19" s="19"/>
      <c r="W19" s="19"/>
    </row>
    <row r="20" spans="1:23" ht="12" customHeight="1" x14ac:dyDescent="0.2">
      <c r="A20" s="162"/>
      <c r="B20" s="890">
        <v>0</v>
      </c>
      <c r="C20" s="891">
        <v>0.255</v>
      </c>
      <c r="D20" s="891">
        <f>C20</f>
        <v>0.255</v>
      </c>
      <c r="E20" s="1195">
        <f>D20</f>
        <v>0.255</v>
      </c>
      <c r="F20" s="1209"/>
      <c r="G20" s="912"/>
      <c r="H20" s="912"/>
      <c r="I20" s="1238"/>
      <c r="J20" s="21"/>
      <c r="K20" s="1041"/>
      <c r="L20" s="1042"/>
      <c r="M20" s="1042"/>
      <c r="N20" s="1042"/>
      <c r="O20" s="1042"/>
      <c r="P20" s="1042"/>
      <c r="Q20" s="1042"/>
      <c r="R20" s="1042"/>
      <c r="S20" s="1042"/>
      <c r="T20" s="1049"/>
      <c r="U20" s="19"/>
      <c r="V20" s="19"/>
      <c r="W20" s="19"/>
    </row>
    <row r="21" spans="1:23" ht="12" customHeight="1" x14ac:dyDescent="0.2">
      <c r="B21" s="832" t="s">
        <v>337</v>
      </c>
      <c r="C21" s="780">
        <f>C22*C23</f>
        <v>0</v>
      </c>
      <c r="D21" s="780">
        <f>D22*D23</f>
        <v>0</v>
      </c>
      <c r="E21" s="1192">
        <f>E22*E23</f>
        <v>0</v>
      </c>
      <c r="F21" s="1384"/>
      <c r="G21" s="1109">
        <f>D$12</f>
        <v>2028</v>
      </c>
      <c r="H21" s="1109">
        <f>E$12</f>
        <v>2029</v>
      </c>
      <c r="I21" s="1250"/>
      <c r="J21" s="21"/>
      <c r="K21" s="1041"/>
      <c r="L21" s="1042"/>
      <c r="M21" s="1042"/>
      <c r="N21" s="1042"/>
      <c r="O21" s="1042"/>
      <c r="P21" s="1042"/>
      <c r="Q21" s="1042"/>
      <c r="R21" s="1042"/>
      <c r="S21" s="1042"/>
      <c r="T21" s="1049"/>
      <c r="U21" s="19"/>
      <c r="V21" s="19"/>
      <c r="W21" s="19"/>
    </row>
    <row r="22" spans="1:23" ht="12" customHeight="1" x14ac:dyDescent="0.2">
      <c r="A22" s="162"/>
      <c r="B22" s="364" t="s">
        <v>849</v>
      </c>
      <c r="C22" s="892">
        <v>0</v>
      </c>
      <c r="D22" s="892">
        <f>C22*(1+G22)</f>
        <v>0</v>
      </c>
      <c r="E22" s="1193">
        <f>D22*(1+H22)</f>
        <v>0</v>
      </c>
      <c r="F22" s="1269" t="s">
        <v>682</v>
      </c>
      <c r="G22" s="1190">
        <v>0.03</v>
      </c>
      <c r="H22" s="1190">
        <f>G22</f>
        <v>0.03</v>
      </c>
      <c r="I22" s="1249"/>
      <c r="J22" s="24"/>
      <c r="K22" s="701"/>
      <c r="L22" s="751"/>
      <c r="M22" s="751"/>
      <c r="N22" s="751"/>
      <c r="O22" s="751"/>
      <c r="P22" s="1042"/>
      <c r="Q22" s="1042"/>
      <c r="R22" s="1042"/>
      <c r="S22" s="1042"/>
      <c r="T22" s="1049"/>
      <c r="U22" s="19"/>
      <c r="V22" s="19"/>
      <c r="W22" s="19"/>
    </row>
    <row r="23" spans="1:23" ht="12" customHeight="1" x14ac:dyDescent="0.2">
      <c r="A23" s="2"/>
      <c r="B23" s="894" t="s">
        <v>850</v>
      </c>
      <c r="C23" s="893">
        <v>0</v>
      </c>
      <c r="D23" s="893">
        <f>C23*12/C$13+G23*C23*12/C$13</f>
        <v>0</v>
      </c>
      <c r="E23" s="1194">
        <f>D23*(1+H23)</f>
        <v>0</v>
      </c>
      <c r="F23" s="1269" t="s">
        <v>681</v>
      </c>
      <c r="G23" s="1190">
        <v>0</v>
      </c>
      <c r="H23" s="1190">
        <f>G23</f>
        <v>0</v>
      </c>
      <c r="I23" s="1249"/>
      <c r="J23" s="29"/>
      <c r="K23" s="701"/>
      <c r="L23" s="751"/>
      <c r="M23" s="751"/>
      <c r="N23" s="751"/>
      <c r="O23" s="751"/>
      <c r="P23" s="1042"/>
      <c r="Q23" s="1042"/>
      <c r="R23" s="1042"/>
      <c r="S23" s="1042"/>
      <c r="T23" s="1049"/>
      <c r="U23" s="19"/>
      <c r="V23" s="19"/>
      <c r="W23" s="19"/>
    </row>
    <row r="24" spans="1:23" ht="4.1500000000000004" customHeight="1" x14ac:dyDescent="0.2">
      <c r="A24" s="162"/>
      <c r="B24" s="362"/>
      <c r="C24" s="797"/>
      <c r="D24" s="830"/>
      <c r="E24" s="830"/>
      <c r="F24" s="1269"/>
      <c r="G24" s="831"/>
      <c r="H24" s="831"/>
      <c r="I24" s="1249"/>
      <c r="J24" s="29"/>
      <c r="K24" s="1029"/>
      <c r="L24" s="412"/>
      <c r="M24" s="412"/>
      <c r="N24" s="412"/>
      <c r="O24" s="412"/>
      <c r="P24" s="411"/>
      <c r="Q24" s="411"/>
      <c r="R24" s="411"/>
      <c r="S24" s="411"/>
      <c r="T24" s="1051"/>
      <c r="U24" s="19"/>
      <c r="V24" s="19"/>
      <c r="W24" s="19"/>
    </row>
    <row r="25" spans="1:23" ht="12" customHeight="1" x14ac:dyDescent="0.2">
      <c r="A25" s="162"/>
      <c r="B25" s="890">
        <v>0</v>
      </c>
      <c r="C25" s="891">
        <v>0.255</v>
      </c>
      <c r="D25" s="891">
        <f>C25</f>
        <v>0.255</v>
      </c>
      <c r="E25" s="1195">
        <f>D25</f>
        <v>0.255</v>
      </c>
      <c r="F25" s="1209" t="s">
        <v>0</v>
      </c>
      <c r="G25" s="912"/>
      <c r="H25" s="912"/>
      <c r="I25" s="1238"/>
      <c r="J25" s="29"/>
      <c r="K25" s="701"/>
      <c r="L25" s="751"/>
      <c r="M25" s="751"/>
      <c r="N25" s="751"/>
      <c r="O25" s="751"/>
      <c r="P25" s="1042"/>
      <c r="Q25" s="1042"/>
      <c r="R25" s="1042"/>
      <c r="S25" s="1042"/>
      <c r="T25" s="1049"/>
      <c r="U25" s="19"/>
      <c r="V25" s="19"/>
      <c r="W25" s="19"/>
    </row>
    <row r="26" spans="1:23" ht="12" customHeight="1" x14ac:dyDescent="0.2">
      <c r="B26" s="832" t="s">
        <v>337</v>
      </c>
      <c r="C26" s="780">
        <f>C27*C28</f>
        <v>0</v>
      </c>
      <c r="D26" s="780">
        <f>D27*D28</f>
        <v>0</v>
      </c>
      <c r="E26" s="1192">
        <f>E27*E28</f>
        <v>0</v>
      </c>
      <c r="F26" s="1269"/>
      <c r="G26" s="1109">
        <f>D$12</f>
        <v>2028</v>
      </c>
      <c r="H26" s="1109">
        <f>E$12</f>
        <v>2029</v>
      </c>
      <c r="I26" s="1250"/>
      <c r="K26" s="701"/>
      <c r="L26" s="751"/>
      <c r="M26" s="751"/>
      <c r="N26" s="751"/>
      <c r="O26" s="751"/>
      <c r="P26" s="1042"/>
      <c r="Q26" s="1042"/>
      <c r="R26" s="1042"/>
      <c r="S26" s="1042"/>
      <c r="T26" s="1049"/>
      <c r="U26" s="19"/>
      <c r="V26" s="19"/>
      <c r="W26" s="19"/>
    </row>
    <row r="27" spans="1:23" ht="12" customHeight="1" x14ac:dyDescent="0.2">
      <c r="A27" s="162"/>
      <c r="B27" s="364" t="s">
        <v>849</v>
      </c>
      <c r="C27" s="892">
        <v>0</v>
      </c>
      <c r="D27" s="892">
        <f>C27*(1+G27)</f>
        <v>0</v>
      </c>
      <c r="E27" s="1193">
        <f>D27*(1+H27)</f>
        <v>0</v>
      </c>
      <c r="F27" s="1269" t="s">
        <v>682</v>
      </c>
      <c r="G27" s="1190">
        <v>0.03</v>
      </c>
      <c r="H27" s="1190">
        <f>G27</f>
        <v>0.03</v>
      </c>
      <c r="I27" s="1249"/>
      <c r="K27" s="701"/>
      <c r="L27" s="751"/>
      <c r="M27" s="751"/>
      <c r="N27" s="751"/>
      <c r="O27" s="751"/>
      <c r="P27" s="1042"/>
      <c r="Q27" s="1042"/>
      <c r="R27" s="1042"/>
      <c r="S27" s="1042"/>
      <c r="T27" s="1049"/>
      <c r="U27" s="19"/>
      <c r="V27" s="19"/>
      <c r="W27" s="19"/>
    </row>
    <row r="28" spans="1:23" ht="12" customHeight="1" x14ac:dyDescent="0.2">
      <c r="A28" s="2"/>
      <c r="B28" s="894" t="s">
        <v>850</v>
      </c>
      <c r="C28" s="893">
        <v>0</v>
      </c>
      <c r="D28" s="893">
        <f>C28*12/C$13+G28*C28*12/C$13</f>
        <v>0</v>
      </c>
      <c r="E28" s="1194">
        <f>D28*(1+H28)</f>
        <v>0</v>
      </c>
      <c r="F28" s="1269" t="s">
        <v>681</v>
      </c>
      <c r="G28" s="1190">
        <v>0</v>
      </c>
      <c r="H28" s="1190">
        <f>G28</f>
        <v>0</v>
      </c>
      <c r="I28" s="1249"/>
      <c r="K28" s="701"/>
      <c r="L28" s="751"/>
      <c r="M28" s="751"/>
      <c r="N28" s="751"/>
      <c r="O28" s="751"/>
      <c r="P28" s="1042"/>
      <c r="Q28" s="1042"/>
      <c r="R28" s="1042"/>
      <c r="S28" s="1042"/>
      <c r="T28" s="1049"/>
      <c r="U28" s="19"/>
      <c r="V28" s="19"/>
      <c r="W28" s="19"/>
    </row>
    <row r="29" spans="1:23" ht="4.1500000000000004" customHeight="1" x14ac:dyDescent="0.2">
      <c r="A29" s="2"/>
      <c r="B29" s="362"/>
      <c r="C29" s="797"/>
      <c r="D29" s="830"/>
      <c r="E29" s="830"/>
      <c r="F29" s="1269"/>
      <c r="G29" s="831"/>
      <c r="H29" s="831"/>
      <c r="I29" s="1249"/>
      <c r="K29" s="1029"/>
      <c r="L29" s="412"/>
      <c r="M29" s="412"/>
      <c r="N29" s="412"/>
      <c r="O29" s="412"/>
      <c r="P29" s="411"/>
      <c r="Q29" s="411"/>
      <c r="R29" s="411"/>
      <c r="S29" s="411"/>
      <c r="T29" s="1051"/>
      <c r="U29" s="19"/>
      <c r="V29" s="19"/>
      <c r="W29" s="19"/>
    </row>
    <row r="30" spans="1:23" ht="12" customHeight="1" x14ac:dyDescent="0.2">
      <c r="A30" s="162"/>
      <c r="B30" s="890">
        <v>0</v>
      </c>
      <c r="C30" s="891">
        <v>0.255</v>
      </c>
      <c r="D30" s="891">
        <f>C30</f>
        <v>0.255</v>
      </c>
      <c r="E30" s="1195">
        <f>D30</f>
        <v>0.255</v>
      </c>
      <c r="F30" s="1209"/>
      <c r="G30" s="912"/>
      <c r="H30" s="912"/>
      <c r="I30" s="1238"/>
      <c r="K30" s="701"/>
      <c r="L30" s="751"/>
      <c r="M30" s="751"/>
      <c r="N30" s="751"/>
      <c r="O30" s="751"/>
      <c r="P30" s="1042"/>
      <c r="Q30" s="1042"/>
      <c r="R30" s="1042"/>
      <c r="S30" s="1042"/>
      <c r="T30" s="1049"/>
      <c r="U30" s="19"/>
      <c r="V30" s="19"/>
      <c r="W30" s="19"/>
    </row>
    <row r="31" spans="1:23" ht="12" customHeight="1" x14ac:dyDescent="0.2">
      <c r="B31" s="832" t="s">
        <v>337</v>
      </c>
      <c r="C31" s="780">
        <f>C32*C33</f>
        <v>0</v>
      </c>
      <c r="D31" s="780">
        <f>D32*D33</f>
        <v>0</v>
      </c>
      <c r="E31" s="1192">
        <f>E32*E33</f>
        <v>0</v>
      </c>
      <c r="F31" s="1269"/>
      <c r="G31" s="1109">
        <f>D$12</f>
        <v>2028</v>
      </c>
      <c r="H31" s="1109">
        <f>E$12</f>
        <v>2029</v>
      </c>
      <c r="I31" s="1238" t="s">
        <v>0</v>
      </c>
      <c r="K31" s="701"/>
      <c r="L31" s="751"/>
      <c r="M31" s="751"/>
      <c r="N31" s="751"/>
      <c r="O31" s="751"/>
      <c r="P31" s="1042"/>
      <c r="Q31" s="1042"/>
      <c r="R31" s="1042"/>
      <c r="S31" s="1042"/>
      <c r="T31" s="1049"/>
      <c r="U31" s="19"/>
      <c r="V31" s="19"/>
      <c r="W31" s="19"/>
    </row>
    <row r="32" spans="1:23" ht="12" customHeight="1" x14ac:dyDescent="0.2">
      <c r="A32" s="162"/>
      <c r="B32" s="364" t="s">
        <v>849</v>
      </c>
      <c r="C32" s="892">
        <v>0</v>
      </c>
      <c r="D32" s="892">
        <f>C32*(1+G32)</f>
        <v>0</v>
      </c>
      <c r="E32" s="1193">
        <f>D32*(1+H32)</f>
        <v>0</v>
      </c>
      <c r="F32" s="1269" t="s">
        <v>682</v>
      </c>
      <c r="G32" s="1190">
        <v>0.03</v>
      </c>
      <c r="H32" s="1190">
        <f>G32</f>
        <v>0.03</v>
      </c>
      <c r="I32" s="1238"/>
      <c r="K32" s="701"/>
      <c r="L32" s="751"/>
      <c r="M32" s="751"/>
      <c r="N32" s="751"/>
      <c r="O32" s="751"/>
      <c r="P32" s="1042"/>
      <c r="Q32" s="1042"/>
      <c r="R32" s="1042"/>
      <c r="S32" s="1042"/>
      <c r="T32" s="1049"/>
      <c r="U32" s="19"/>
      <c r="V32" s="19"/>
      <c r="W32" s="19"/>
    </row>
    <row r="33" spans="1:23" ht="12" customHeight="1" x14ac:dyDescent="0.2">
      <c r="A33" s="2"/>
      <c r="B33" s="894" t="s">
        <v>850</v>
      </c>
      <c r="C33" s="893">
        <v>0</v>
      </c>
      <c r="D33" s="893">
        <f>C33*12/C$13+G33*C33*12/C$13</f>
        <v>0</v>
      </c>
      <c r="E33" s="1194">
        <f>D33*(1+H33)</f>
        <v>0</v>
      </c>
      <c r="F33" s="1269" t="s">
        <v>681</v>
      </c>
      <c r="G33" s="1190">
        <v>0</v>
      </c>
      <c r="H33" s="1190">
        <f>G33</f>
        <v>0</v>
      </c>
      <c r="I33" s="1251"/>
      <c r="K33" s="701"/>
      <c r="L33" s="751"/>
      <c r="M33" s="751"/>
      <c r="N33" s="751"/>
      <c r="O33" s="751"/>
      <c r="P33" s="1042"/>
      <c r="Q33" s="1042"/>
      <c r="R33" s="1042"/>
      <c r="S33" s="1042"/>
      <c r="T33" s="1049"/>
      <c r="U33" s="19"/>
      <c r="V33" s="19"/>
      <c r="W33" s="19"/>
    </row>
    <row r="34" spans="1:23" ht="4.1500000000000004" customHeight="1" x14ac:dyDescent="0.2">
      <c r="B34" s="362"/>
      <c r="C34" s="797"/>
      <c r="D34" s="797"/>
      <c r="E34" s="797"/>
      <c r="F34" s="1269"/>
      <c r="G34" s="339"/>
      <c r="H34" s="831"/>
      <c r="I34" s="1249"/>
      <c r="K34" s="1029"/>
      <c r="L34" s="412"/>
      <c r="M34" s="412"/>
      <c r="N34" s="412"/>
      <c r="O34" s="412"/>
      <c r="P34" s="411"/>
      <c r="Q34" s="411"/>
      <c r="R34" s="411"/>
      <c r="S34" s="411"/>
      <c r="T34" s="1051"/>
      <c r="U34" s="19"/>
      <c r="V34" s="19"/>
      <c r="W34" s="19"/>
    </row>
    <row r="35" spans="1:23" ht="12" customHeight="1" x14ac:dyDescent="0.2">
      <c r="A35" s="162"/>
      <c r="B35" s="890">
        <v>0</v>
      </c>
      <c r="C35" s="891">
        <v>0.255</v>
      </c>
      <c r="D35" s="891">
        <f>C35</f>
        <v>0.255</v>
      </c>
      <c r="E35" s="1195">
        <f>D35</f>
        <v>0.255</v>
      </c>
      <c r="F35" s="1209" t="s">
        <v>0</v>
      </c>
      <c r="G35" s="912"/>
      <c r="H35" s="912"/>
      <c r="I35" s="1238"/>
      <c r="K35" s="701"/>
      <c r="L35" s="751"/>
      <c r="M35" s="751"/>
      <c r="N35" s="751"/>
      <c r="O35" s="751"/>
      <c r="P35" s="1042"/>
      <c r="Q35" s="1042"/>
      <c r="R35" s="1042"/>
      <c r="S35" s="1042"/>
      <c r="T35" s="1049"/>
      <c r="U35" s="19"/>
      <c r="V35" s="19"/>
      <c r="W35" s="19"/>
    </row>
    <row r="36" spans="1:23" ht="12" customHeight="1" x14ac:dyDescent="0.2">
      <c r="B36" s="832" t="s">
        <v>337</v>
      </c>
      <c r="C36" s="780">
        <f>C37*C38</f>
        <v>0</v>
      </c>
      <c r="D36" s="780">
        <f>D37*D38</f>
        <v>0</v>
      </c>
      <c r="E36" s="1192">
        <f>E37*E38</f>
        <v>0</v>
      </c>
      <c r="F36" s="1269"/>
      <c r="G36" s="1109">
        <f>D$12</f>
        <v>2028</v>
      </c>
      <c r="H36" s="1109">
        <f>E$12</f>
        <v>2029</v>
      </c>
      <c r="I36" s="1238"/>
      <c r="K36" s="701"/>
      <c r="L36" s="751"/>
      <c r="M36" s="751"/>
      <c r="N36" s="751"/>
      <c r="O36" s="751"/>
      <c r="P36" s="1042"/>
      <c r="Q36" s="1042"/>
      <c r="R36" s="1042"/>
      <c r="S36" s="1042"/>
      <c r="T36" s="1049"/>
      <c r="U36" s="19"/>
      <c r="V36" s="19"/>
      <c r="W36" s="19"/>
    </row>
    <row r="37" spans="1:23" ht="12" customHeight="1" x14ac:dyDescent="0.2">
      <c r="A37" s="162"/>
      <c r="B37" s="364" t="s">
        <v>849</v>
      </c>
      <c r="C37" s="892">
        <v>0</v>
      </c>
      <c r="D37" s="892">
        <f>C37*(1+G37)</f>
        <v>0</v>
      </c>
      <c r="E37" s="1193">
        <f>D37*(1+H37)</f>
        <v>0</v>
      </c>
      <c r="F37" s="1269" t="s">
        <v>682</v>
      </c>
      <c r="G37" s="1190">
        <v>0.03</v>
      </c>
      <c r="H37" s="1190">
        <f>G37</f>
        <v>0.03</v>
      </c>
      <c r="I37" s="1251"/>
      <c r="K37" s="701"/>
      <c r="L37" s="751"/>
      <c r="M37" s="751"/>
      <c r="N37" s="751"/>
      <c r="O37" s="751"/>
      <c r="P37" s="1042"/>
      <c r="Q37" s="1042"/>
      <c r="R37" s="1042"/>
      <c r="S37" s="1042"/>
      <c r="T37" s="1049"/>
      <c r="U37" s="19"/>
      <c r="V37" s="19"/>
      <c r="W37" s="19"/>
    </row>
    <row r="38" spans="1:23" ht="12" customHeight="1" x14ac:dyDescent="0.2">
      <c r="A38" s="2"/>
      <c r="B38" s="894" t="s">
        <v>850</v>
      </c>
      <c r="C38" s="893">
        <v>0</v>
      </c>
      <c r="D38" s="893">
        <f>C38*12/C$13+G38*C38*12/C$13</f>
        <v>0</v>
      </c>
      <c r="E38" s="1194">
        <f>D38*(1+H38)</f>
        <v>0</v>
      </c>
      <c r="F38" s="1269" t="s">
        <v>681</v>
      </c>
      <c r="G38" s="1190">
        <v>0</v>
      </c>
      <c r="H38" s="1190">
        <f>G38</f>
        <v>0</v>
      </c>
      <c r="I38" s="1251"/>
      <c r="K38" s="701"/>
      <c r="L38" s="751"/>
      <c r="M38" s="751"/>
      <c r="N38" s="751"/>
      <c r="O38" s="751"/>
      <c r="P38" s="1042"/>
      <c r="Q38" s="1042"/>
      <c r="R38" s="1042"/>
      <c r="S38" s="1042"/>
      <c r="T38" s="1049"/>
      <c r="U38" s="19"/>
      <c r="V38" s="19"/>
      <c r="W38" s="19"/>
    </row>
    <row r="39" spans="1:23" ht="4.1500000000000004" customHeight="1" x14ac:dyDescent="0.2">
      <c r="A39" s="162"/>
      <c r="B39" s="362"/>
      <c r="C39" s="797"/>
      <c r="D39" s="797"/>
      <c r="E39" s="797"/>
      <c r="F39" s="1269"/>
      <c r="G39" s="339"/>
      <c r="H39" s="831"/>
      <c r="I39" s="1249"/>
      <c r="K39" s="1029"/>
      <c r="L39" s="412"/>
      <c r="M39" s="412"/>
      <c r="N39" s="412"/>
      <c r="O39" s="412"/>
      <c r="P39" s="411"/>
      <c r="Q39" s="411"/>
      <c r="R39" s="411"/>
      <c r="S39" s="411"/>
      <c r="T39" s="1051"/>
      <c r="U39" s="19"/>
      <c r="V39" s="19"/>
      <c r="W39" s="19"/>
    </row>
    <row r="40" spans="1:23" ht="12" customHeight="1" x14ac:dyDescent="0.2">
      <c r="B40" s="890" t="s">
        <v>852</v>
      </c>
      <c r="C40" s="891">
        <v>0.255</v>
      </c>
      <c r="D40" s="891">
        <f>C40</f>
        <v>0.255</v>
      </c>
      <c r="E40" s="1195">
        <f>D40</f>
        <v>0.255</v>
      </c>
      <c r="F40" s="1209" t="s">
        <v>0</v>
      </c>
      <c r="G40" s="1191"/>
      <c r="H40" s="1191"/>
      <c r="I40" s="1238"/>
      <c r="K40" s="701"/>
      <c r="L40" s="751"/>
      <c r="M40" s="751"/>
      <c r="N40" s="751"/>
      <c r="O40" s="751"/>
      <c r="P40" s="1042"/>
      <c r="Q40" s="1042"/>
      <c r="R40" s="1042"/>
      <c r="S40" s="1042"/>
      <c r="T40" s="1049"/>
      <c r="U40" s="19"/>
      <c r="V40" s="19"/>
      <c r="W40" s="19"/>
    </row>
    <row r="41" spans="1:23" ht="12" customHeight="1" x14ac:dyDescent="0.2">
      <c r="A41" s="162"/>
      <c r="B41" s="833" t="s">
        <v>337</v>
      </c>
      <c r="C41" s="780">
        <f>C44*C43</f>
        <v>0</v>
      </c>
      <c r="D41" s="780">
        <f>D44*D43</f>
        <v>0</v>
      </c>
      <c r="E41" s="1192">
        <f>E44*E43</f>
        <v>0</v>
      </c>
      <c r="F41" s="1269"/>
      <c r="G41" s="1109">
        <f>D$12</f>
        <v>2028</v>
      </c>
      <c r="H41" s="1109">
        <f>E$12</f>
        <v>2029</v>
      </c>
      <c r="I41" s="1250"/>
      <c r="J41" s="84"/>
      <c r="K41" s="1041"/>
      <c r="L41" s="1042"/>
      <c r="M41" s="1042"/>
      <c r="N41" s="1042"/>
      <c r="O41" s="1042"/>
      <c r="P41" s="1042"/>
      <c r="Q41" s="1042"/>
      <c r="R41" s="1042"/>
      <c r="S41" s="1042"/>
      <c r="T41" s="1049"/>
      <c r="U41" s="19"/>
      <c r="V41" s="19"/>
      <c r="W41" s="19"/>
    </row>
    <row r="42" spans="1:23" ht="12" customHeight="1" x14ac:dyDescent="0.2">
      <c r="A42" s="2"/>
      <c r="B42" s="364" t="s">
        <v>770</v>
      </c>
      <c r="C42" s="892">
        <v>0</v>
      </c>
      <c r="D42" s="892">
        <f t="shared" ref="D42:E44" si="0">C42*(1+G42)</f>
        <v>0</v>
      </c>
      <c r="E42" s="1193">
        <f t="shared" si="0"/>
        <v>0</v>
      </c>
      <c r="F42" s="1269" t="s">
        <v>678</v>
      </c>
      <c r="G42" s="1190">
        <v>0.03</v>
      </c>
      <c r="H42" s="1190">
        <f>G42</f>
        <v>0.03</v>
      </c>
      <c r="I42" s="1249"/>
      <c r="J42" s="29"/>
      <c r="K42" s="1041"/>
      <c r="L42" s="1042"/>
      <c r="M42" s="1042"/>
      <c r="N42" s="1042"/>
      <c r="O42" s="1042"/>
      <c r="P42" s="1042"/>
      <c r="Q42" s="1042"/>
      <c r="R42" s="1042"/>
      <c r="S42" s="1042"/>
      <c r="T42" s="1049"/>
      <c r="U42" s="19"/>
      <c r="V42" s="19"/>
      <c r="W42" s="19"/>
    </row>
    <row r="43" spans="1:23" ht="12" customHeight="1" x14ac:dyDescent="0.2">
      <c r="B43" s="364" t="s">
        <v>396</v>
      </c>
      <c r="C43" s="893">
        <v>0</v>
      </c>
      <c r="D43" s="893">
        <f>C43*12/C$13+G43*C43*12/C$13</f>
        <v>0</v>
      </c>
      <c r="E43" s="1194">
        <f t="shared" si="0"/>
        <v>0</v>
      </c>
      <c r="F43" s="1269" t="s">
        <v>679</v>
      </c>
      <c r="G43" s="1190">
        <v>0</v>
      </c>
      <c r="H43" s="1190">
        <f>G43</f>
        <v>0</v>
      </c>
      <c r="I43" s="1249"/>
      <c r="J43" s="29"/>
      <c r="K43" s="1041"/>
      <c r="L43" s="1042"/>
      <c r="M43" s="1042"/>
      <c r="N43" s="1042"/>
      <c r="O43" s="1042"/>
      <c r="P43" s="1042"/>
      <c r="Q43" s="1042"/>
      <c r="R43" s="1042"/>
      <c r="S43" s="1042"/>
      <c r="T43" s="1049"/>
      <c r="U43" s="19"/>
      <c r="V43" s="19"/>
      <c r="W43" s="19"/>
    </row>
    <row r="44" spans="1:23" ht="12" customHeight="1" x14ac:dyDescent="0.2">
      <c r="B44" s="364" t="s">
        <v>771</v>
      </c>
      <c r="C44" s="892">
        <v>0</v>
      </c>
      <c r="D44" s="892">
        <f t="shared" si="0"/>
        <v>0</v>
      </c>
      <c r="E44" s="1193">
        <f t="shared" si="0"/>
        <v>0</v>
      </c>
      <c r="F44" s="1269" t="s">
        <v>680</v>
      </c>
      <c r="G44" s="1190">
        <v>0.03</v>
      </c>
      <c r="H44" s="1190">
        <f>G44</f>
        <v>0.03</v>
      </c>
      <c r="I44" s="1249"/>
      <c r="J44" s="29"/>
      <c r="K44" s="1041"/>
      <c r="L44" s="1042"/>
      <c r="M44" s="1042"/>
      <c r="N44" s="1042"/>
      <c r="O44" s="1042"/>
      <c r="P44" s="1042"/>
      <c r="Q44" s="1042"/>
      <c r="R44" s="1042"/>
      <c r="S44" s="1042"/>
      <c r="T44" s="1049"/>
      <c r="U44" s="19"/>
      <c r="V44" s="19"/>
      <c r="W44" s="19"/>
    </row>
    <row r="45" spans="1:23" ht="12" customHeight="1" x14ac:dyDescent="0.2">
      <c r="A45" s="162"/>
      <c r="B45" s="364" t="s">
        <v>397</v>
      </c>
      <c r="C45" s="775">
        <f>IF(C44=0,0,(C44-C42)/C44)</f>
        <v>0</v>
      </c>
      <c r="D45" s="775">
        <f>IF(D44=0,0,(D44-D42)/D44)</f>
        <v>0</v>
      </c>
      <c r="E45" s="1122">
        <f>IF(E44=0,0,(E44-E42)/E44)</f>
        <v>0</v>
      </c>
      <c r="F45" s="1209" t="s">
        <v>0</v>
      </c>
      <c r="G45" s="912"/>
      <c r="H45" s="912"/>
      <c r="I45" s="1238"/>
      <c r="J45" s="29"/>
      <c r="K45" s="1041"/>
      <c r="L45" s="1042"/>
      <c r="M45" s="1042"/>
      <c r="N45" s="1042"/>
      <c r="O45" s="1042"/>
      <c r="P45" s="1042"/>
      <c r="Q45" s="1042"/>
      <c r="R45" s="1042"/>
      <c r="S45" s="1042"/>
      <c r="T45" s="1049"/>
      <c r="U45" s="19"/>
      <c r="V45" s="19"/>
      <c r="W45" s="19"/>
    </row>
    <row r="46" spans="1:23" ht="4.1500000000000004" customHeight="1" x14ac:dyDescent="0.2">
      <c r="B46" s="362"/>
      <c r="C46" s="831"/>
      <c r="D46" s="831"/>
      <c r="E46" s="831"/>
      <c r="F46" s="1269"/>
      <c r="G46" s="339"/>
      <c r="H46" s="339"/>
      <c r="I46" s="1252"/>
      <c r="J46" s="29"/>
      <c r="K46" s="1050"/>
      <c r="L46" s="411"/>
      <c r="M46" s="411"/>
      <c r="N46" s="411"/>
      <c r="O46" s="411"/>
      <c r="P46" s="411"/>
      <c r="Q46" s="411"/>
      <c r="R46" s="411"/>
      <c r="S46" s="411"/>
      <c r="T46" s="1051"/>
      <c r="U46" s="19"/>
      <c r="V46" s="19"/>
      <c r="W46" s="19"/>
    </row>
    <row r="47" spans="1:23" ht="12" customHeight="1" x14ac:dyDescent="0.2">
      <c r="A47" s="162"/>
      <c r="B47" s="890">
        <v>0</v>
      </c>
      <c r="C47" s="891">
        <v>0.255</v>
      </c>
      <c r="D47" s="891">
        <f>C47</f>
        <v>0.255</v>
      </c>
      <c r="E47" s="1195">
        <f>D47</f>
        <v>0.255</v>
      </c>
      <c r="F47" s="1209"/>
      <c r="G47" s="912"/>
      <c r="H47" s="912"/>
      <c r="I47" s="1238"/>
      <c r="J47" s="29"/>
      <c r="K47" s="1052"/>
      <c r="L47" s="1042"/>
      <c r="M47" s="1042"/>
      <c r="N47" s="1042"/>
      <c r="O47" s="1042"/>
      <c r="P47" s="1042"/>
      <c r="Q47" s="1042"/>
      <c r="R47" s="1042"/>
      <c r="S47" s="1042"/>
      <c r="T47" s="1049"/>
      <c r="U47" s="19"/>
      <c r="V47" s="19"/>
      <c r="W47" s="19"/>
    </row>
    <row r="48" spans="1:23" ht="12" customHeight="1" x14ac:dyDescent="0.2">
      <c r="A48" s="2"/>
      <c r="B48" s="833" t="s">
        <v>337</v>
      </c>
      <c r="C48" s="780">
        <f>C51*C50</f>
        <v>0</v>
      </c>
      <c r="D48" s="780">
        <f>D51*D50</f>
        <v>0</v>
      </c>
      <c r="E48" s="1192">
        <f>E51*E50</f>
        <v>0</v>
      </c>
      <c r="F48" s="1384"/>
      <c r="G48" s="1109">
        <f>D$12</f>
        <v>2028</v>
      </c>
      <c r="H48" s="1109">
        <f>E$12</f>
        <v>2029</v>
      </c>
      <c r="I48" s="1250"/>
      <c r="J48" s="29"/>
      <c r="K48" s="1052"/>
      <c r="L48" s="1042"/>
      <c r="M48" s="1042"/>
      <c r="N48" s="1042"/>
      <c r="O48" s="1042"/>
      <c r="P48" s="1042"/>
      <c r="Q48" s="1042"/>
      <c r="R48" s="1042"/>
      <c r="S48" s="1042"/>
      <c r="T48" s="1049"/>
      <c r="U48" s="19"/>
      <c r="V48" s="19"/>
      <c r="W48" s="19"/>
    </row>
    <row r="49" spans="2:23" ht="12" customHeight="1" x14ac:dyDescent="0.2">
      <c r="B49" s="364" t="s">
        <v>770</v>
      </c>
      <c r="C49" s="1196">
        <v>0</v>
      </c>
      <c r="D49" s="892">
        <f t="shared" ref="D49:E51" si="1">C49*(1+G49)</f>
        <v>0</v>
      </c>
      <c r="E49" s="1193">
        <f t="shared" si="1"/>
        <v>0</v>
      </c>
      <c r="F49" s="1269" t="s">
        <v>678</v>
      </c>
      <c r="G49" s="1190">
        <v>0.03</v>
      </c>
      <c r="H49" s="1190">
        <f>G49</f>
        <v>0.03</v>
      </c>
      <c r="I49" s="1249"/>
      <c r="J49" s="19"/>
      <c r="K49" s="1041"/>
      <c r="L49" s="1042"/>
      <c r="M49" s="1042"/>
      <c r="N49" s="1042"/>
      <c r="O49" s="1042"/>
      <c r="P49" s="1042"/>
      <c r="Q49" s="1042"/>
      <c r="R49" s="1042"/>
      <c r="S49" s="1042"/>
      <c r="T49" s="1049"/>
      <c r="U49" s="19"/>
      <c r="V49" s="19"/>
      <c r="W49" s="19"/>
    </row>
    <row r="50" spans="2:23" ht="12" customHeight="1" x14ac:dyDescent="0.2">
      <c r="B50" s="364" t="s">
        <v>396</v>
      </c>
      <c r="C50" s="1197">
        <v>0</v>
      </c>
      <c r="D50" s="893">
        <f>C50*12/C$13+G50*C50*12/C$13</f>
        <v>0</v>
      </c>
      <c r="E50" s="1194">
        <f t="shared" si="1"/>
        <v>0</v>
      </c>
      <c r="F50" s="1269" t="s">
        <v>679</v>
      </c>
      <c r="G50" s="1190">
        <v>0</v>
      </c>
      <c r="H50" s="1190">
        <f>G50</f>
        <v>0</v>
      </c>
      <c r="I50" s="1249"/>
      <c r="J50" s="19"/>
      <c r="K50" s="1041"/>
      <c r="L50" s="1042"/>
      <c r="M50" s="1042"/>
      <c r="N50" s="1042"/>
      <c r="O50" s="1042"/>
      <c r="P50" s="1042"/>
      <c r="Q50" s="1042"/>
      <c r="R50" s="1042"/>
      <c r="S50" s="1042"/>
      <c r="T50" s="1049"/>
      <c r="U50" s="19"/>
      <c r="V50" s="19"/>
      <c r="W50" s="19"/>
    </row>
    <row r="51" spans="2:23" ht="12" customHeight="1" x14ac:dyDescent="0.2">
      <c r="B51" s="364" t="s">
        <v>771</v>
      </c>
      <c r="C51" s="1196">
        <v>0</v>
      </c>
      <c r="D51" s="892">
        <f t="shared" si="1"/>
        <v>0</v>
      </c>
      <c r="E51" s="1193">
        <f t="shared" si="1"/>
        <v>0</v>
      </c>
      <c r="F51" s="1269" t="s">
        <v>680</v>
      </c>
      <c r="G51" s="1190">
        <v>0.03</v>
      </c>
      <c r="H51" s="1190">
        <f>G51</f>
        <v>0.03</v>
      </c>
      <c r="I51" s="1249"/>
      <c r="J51" s="29"/>
      <c r="K51" s="1041"/>
      <c r="L51" s="1042"/>
      <c r="M51" s="1042"/>
      <c r="N51" s="1042"/>
      <c r="O51" s="1042"/>
      <c r="P51" s="1042"/>
      <c r="Q51" s="1042"/>
      <c r="R51" s="1042"/>
      <c r="S51" s="1042"/>
      <c r="T51" s="1049"/>
      <c r="U51" s="19"/>
      <c r="V51" s="19"/>
      <c r="W51" s="19"/>
    </row>
    <row r="52" spans="2:23" ht="12" customHeight="1" x14ac:dyDescent="0.2">
      <c r="B52" s="364" t="s">
        <v>397</v>
      </c>
      <c r="C52" s="775">
        <f>IF(C51=0,0,(C51-C49)/C51)</f>
        <v>0</v>
      </c>
      <c r="D52" s="775">
        <f>IF(D51=0,0,(D51-D49)/D51)</f>
        <v>0</v>
      </c>
      <c r="E52" s="1122">
        <f>IF(E51=0,0,(E51-E49)/E51)</f>
        <v>0</v>
      </c>
      <c r="F52" s="1209"/>
      <c r="G52" s="912"/>
      <c r="H52" s="912"/>
      <c r="I52" s="1238"/>
      <c r="J52" s="19"/>
      <c r="K52" s="1041"/>
      <c r="L52" s="1042"/>
      <c r="M52" s="1042"/>
      <c r="N52" s="1042"/>
      <c r="O52" s="1042"/>
      <c r="P52" s="1042"/>
      <c r="Q52" s="1042"/>
      <c r="R52" s="1042"/>
      <c r="S52" s="1042"/>
      <c r="T52" s="1049"/>
      <c r="U52" s="19"/>
      <c r="V52" s="19"/>
      <c r="W52" s="19"/>
    </row>
    <row r="53" spans="2:23" ht="4.1500000000000004" customHeight="1" x14ac:dyDescent="0.2">
      <c r="B53" s="362"/>
      <c r="C53" s="831"/>
      <c r="D53" s="831"/>
      <c r="E53" s="831"/>
      <c r="F53" s="1269"/>
      <c r="G53" s="339"/>
      <c r="H53" s="339"/>
      <c r="I53" s="1252"/>
      <c r="J53" s="19"/>
      <c r="K53" s="1050"/>
      <c r="L53" s="411"/>
      <c r="M53" s="411"/>
      <c r="N53" s="411"/>
      <c r="O53" s="411"/>
      <c r="P53" s="411"/>
      <c r="Q53" s="411"/>
      <c r="R53" s="411"/>
      <c r="S53" s="411"/>
      <c r="T53" s="1051"/>
      <c r="U53" s="19"/>
      <c r="V53" s="19"/>
      <c r="W53" s="19"/>
    </row>
    <row r="54" spans="2:23" ht="12" customHeight="1" x14ac:dyDescent="0.2">
      <c r="B54" s="890">
        <v>0</v>
      </c>
      <c r="C54" s="891">
        <v>0.255</v>
      </c>
      <c r="D54" s="891">
        <f>C54</f>
        <v>0.255</v>
      </c>
      <c r="E54" s="1195">
        <f>D54</f>
        <v>0.255</v>
      </c>
      <c r="F54" s="1209"/>
      <c r="G54" s="912"/>
      <c r="H54" s="912"/>
      <c r="I54" s="1238"/>
      <c r="J54" s="19"/>
      <c r="K54" s="1041"/>
      <c r="L54" s="1042"/>
      <c r="M54" s="1042"/>
      <c r="N54" s="1042"/>
      <c r="O54" s="1042"/>
      <c r="P54" s="1042"/>
      <c r="Q54" s="1042"/>
      <c r="R54" s="1042"/>
      <c r="S54" s="1042"/>
      <c r="T54" s="1049"/>
      <c r="U54" s="19"/>
      <c r="V54" s="19"/>
      <c r="W54" s="19"/>
    </row>
    <row r="55" spans="2:23" ht="12" customHeight="1" x14ac:dyDescent="0.2">
      <c r="B55" s="833" t="s">
        <v>337</v>
      </c>
      <c r="C55" s="780">
        <f>C58*C57</f>
        <v>0</v>
      </c>
      <c r="D55" s="780">
        <f>D58*D57</f>
        <v>0</v>
      </c>
      <c r="E55" s="1192">
        <f>E58*E57</f>
        <v>0</v>
      </c>
      <c r="F55" s="1384"/>
      <c r="G55" s="1109">
        <f>D$12</f>
        <v>2028</v>
      </c>
      <c r="H55" s="1109">
        <f>E$12</f>
        <v>2029</v>
      </c>
      <c r="I55" s="1250"/>
      <c r="K55" s="701"/>
      <c r="L55" s="751"/>
      <c r="M55" s="751"/>
      <c r="N55" s="751"/>
      <c r="O55" s="751"/>
      <c r="P55" s="751"/>
      <c r="Q55" s="751"/>
      <c r="R55" s="751"/>
      <c r="S55" s="751"/>
      <c r="T55" s="1020"/>
    </row>
    <row r="56" spans="2:23" ht="12" customHeight="1" x14ac:dyDescent="0.2">
      <c r="B56" s="364" t="s">
        <v>770</v>
      </c>
      <c r="C56" s="892">
        <v>0</v>
      </c>
      <c r="D56" s="892">
        <f t="shared" ref="D56:E58" si="2">C56*(1+G56)</f>
        <v>0</v>
      </c>
      <c r="E56" s="1193">
        <f t="shared" si="2"/>
        <v>0</v>
      </c>
      <c r="F56" s="1269" t="s">
        <v>678</v>
      </c>
      <c r="G56" s="1190">
        <v>0.03</v>
      </c>
      <c r="H56" s="1190">
        <f>G56</f>
        <v>0.03</v>
      </c>
      <c r="I56" s="1249"/>
      <c r="K56" s="701"/>
      <c r="L56" s="751"/>
      <c r="M56" s="751"/>
      <c r="N56" s="751"/>
      <c r="O56" s="751"/>
      <c r="P56" s="751"/>
      <c r="Q56" s="751"/>
      <c r="R56" s="751"/>
      <c r="S56" s="751"/>
      <c r="T56" s="1020"/>
    </row>
    <row r="57" spans="2:23" ht="12" customHeight="1" x14ac:dyDescent="0.2">
      <c r="B57" s="364" t="s">
        <v>396</v>
      </c>
      <c r="C57" s="893">
        <v>0</v>
      </c>
      <c r="D57" s="893">
        <f>C57*12/C$13+G57*C57*12/C$13</f>
        <v>0</v>
      </c>
      <c r="E57" s="1194">
        <f t="shared" si="2"/>
        <v>0</v>
      </c>
      <c r="F57" s="1269" t="s">
        <v>679</v>
      </c>
      <c r="G57" s="1190">
        <v>0</v>
      </c>
      <c r="H57" s="1190">
        <f>G57</f>
        <v>0</v>
      </c>
      <c r="I57" s="1249"/>
      <c r="K57" s="701"/>
      <c r="L57" s="751"/>
      <c r="M57" s="751"/>
      <c r="N57" s="751"/>
      <c r="O57" s="751"/>
      <c r="P57" s="751"/>
      <c r="Q57" s="751"/>
      <c r="R57" s="751"/>
      <c r="S57" s="751"/>
      <c r="T57" s="1020"/>
    </row>
    <row r="58" spans="2:23" ht="12" customHeight="1" x14ac:dyDescent="0.2">
      <c r="B58" s="364" t="s">
        <v>771</v>
      </c>
      <c r="C58" s="892">
        <v>0</v>
      </c>
      <c r="D58" s="892">
        <f t="shared" si="2"/>
        <v>0</v>
      </c>
      <c r="E58" s="1193">
        <f t="shared" si="2"/>
        <v>0</v>
      </c>
      <c r="F58" s="1269" t="s">
        <v>680</v>
      </c>
      <c r="G58" s="1190">
        <v>0.03</v>
      </c>
      <c r="H58" s="1190">
        <f>G58</f>
        <v>0.03</v>
      </c>
      <c r="I58" s="1249"/>
      <c r="J58" s="29"/>
      <c r="K58" s="1041"/>
      <c r="L58" s="1042"/>
      <c r="M58" s="1042"/>
      <c r="N58" s="1042"/>
      <c r="O58" s="1042"/>
      <c r="P58" s="1042"/>
      <c r="Q58" s="1042"/>
      <c r="R58" s="1042"/>
      <c r="S58" s="1042"/>
      <c r="T58" s="1049"/>
      <c r="U58" s="19"/>
      <c r="V58" s="19"/>
      <c r="W58" s="19"/>
    </row>
    <row r="59" spans="2:23" ht="12" customHeight="1" x14ac:dyDescent="0.2">
      <c r="B59" s="364" t="s">
        <v>397</v>
      </c>
      <c r="C59" s="775">
        <f>IF(C58=0,0,(C58-C56)/C58)</f>
        <v>0</v>
      </c>
      <c r="D59" s="775">
        <f>IF(D58=0,0,(D58-D56)/D58)</f>
        <v>0</v>
      </c>
      <c r="E59" s="1122">
        <f>IF(E58=0,0,(E58-E56)/E58)</f>
        <v>0</v>
      </c>
      <c r="F59" s="1209"/>
      <c r="G59" s="912"/>
      <c r="H59" s="912"/>
      <c r="I59" s="1238"/>
      <c r="K59" s="701"/>
      <c r="L59" s="751"/>
      <c r="M59" s="751"/>
      <c r="N59" s="751"/>
      <c r="O59" s="751"/>
      <c r="P59" s="751"/>
      <c r="Q59" s="751"/>
      <c r="R59" s="751"/>
      <c r="S59" s="751"/>
      <c r="T59" s="1020"/>
    </row>
    <row r="60" spans="2:23" ht="4.1500000000000004" customHeight="1" x14ac:dyDescent="0.2">
      <c r="B60" s="362"/>
      <c r="C60" s="831"/>
      <c r="D60" s="831"/>
      <c r="E60" s="831"/>
      <c r="F60" s="1269"/>
      <c r="G60" s="339"/>
      <c r="H60" s="339"/>
      <c r="I60" s="1252"/>
      <c r="K60" s="1029"/>
      <c r="L60" s="412"/>
      <c r="M60" s="412"/>
      <c r="N60" s="412"/>
      <c r="O60" s="412"/>
      <c r="P60" s="412"/>
      <c r="Q60" s="412"/>
      <c r="R60" s="412"/>
      <c r="S60" s="412"/>
      <c r="T60" s="1022"/>
    </row>
    <row r="61" spans="2:23" ht="12" customHeight="1" x14ac:dyDescent="0.2">
      <c r="B61" s="890">
        <v>0</v>
      </c>
      <c r="C61" s="891">
        <v>0.255</v>
      </c>
      <c r="D61" s="891">
        <f>C61</f>
        <v>0.255</v>
      </c>
      <c r="E61" s="1195">
        <f>D61</f>
        <v>0.255</v>
      </c>
      <c r="F61" s="1209"/>
      <c r="G61" s="912"/>
      <c r="H61" s="912"/>
      <c r="I61" s="1238"/>
      <c r="K61" s="701"/>
      <c r="L61" s="751"/>
      <c r="M61" s="751"/>
      <c r="N61" s="751"/>
      <c r="O61" s="751"/>
      <c r="P61" s="751"/>
      <c r="Q61" s="751"/>
      <c r="R61" s="751"/>
      <c r="S61" s="751"/>
      <c r="T61" s="1020"/>
    </row>
    <row r="62" spans="2:23" ht="12" customHeight="1" x14ac:dyDescent="0.2">
      <c r="B62" s="833" t="s">
        <v>337</v>
      </c>
      <c r="C62" s="780">
        <f>C65*C64</f>
        <v>0</v>
      </c>
      <c r="D62" s="780">
        <f>D65*D64</f>
        <v>0</v>
      </c>
      <c r="E62" s="1192">
        <f>E65*E64</f>
        <v>0</v>
      </c>
      <c r="F62" s="1384"/>
      <c r="G62" s="1109">
        <f>D$12</f>
        <v>2028</v>
      </c>
      <c r="H62" s="1109">
        <f>E$12</f>
        <v>2029</v>
      </c>
      <c r="I62" s="1238"/>
      <c r="K62" s="701"/>
      <c r="L62" s="751"/>
      <c r="M62" s="751"/>
      <c r="N62" s="751"/>
      <c r="O62" s="751"/>
      <c r="P62" s="751"/>
      <c r="Q62" s="751"/>
      <c r="R62" s="751"/>
      <c r="S62" s="751"/>
      <c r="T62" s="1020"/>
    </row>
    <row r="63" spans="2:23" ht="12" customHeight="1" x14ac:dyDescent="0.2">
      <c r="B63" s="364" t="s">
        <v>770</v>
      </c>
      <c r="C63" s="892">
        <v>0</v>
      </c>
      <c r="D63" s="892">
        <f t="shared" ref="D63:E65" si="3">C63*(1+G63)</f>
        <v>0</v>
      </c>
      <c r="E63" s="1193">
        <f t="shared" si="3"/>
        <v>0</v>
      </c>
      <c r="F63" s="1269" t="s">
        <v>678</v>
      </c>
      <c r="G63" s="1190">
        <v>0.03</v>
      </c>
      <c r="H63" s="1190">
        <f>G63</f>
        <v>0.03</v>
      </c>
      <c r="I63" s="1238"/>
      <c r="K63" s="701"/>
      <c r="L63" s="751"/>
      <c r="M63" s="751"/>
      <c r="N63" s="751"/>
      <c r="O63" s="751"/>
      <c r="P63" s="751"/>
      <c r="Q63" s="751"/>
      <c r="R63" s="751"/>
      <c r="S63" s="751"/>
      <c r="T63" s="1020"/>
    </row>
    <row r="64" spans="2:23" ht="12" customHeight="1" x14ac:dyDescent="0.2">
      <c r="B64" s="364" t="s">
        <v>396</v>
      </c>
      <c r="C64" s="893">
        <v>0</v>
      </c>
      <c r="D64" s="893">
        <f>C64*12/C$13+G64*C64*12/C$13</f>
        <v>0</v>
      </c>
      <c r="E64" s="1194">
        <f t="shared" si="3"/>
        <v>0</v>
      </c>
      <c r="F64" s="1269" t="s">
        <v>679</v>
      </c>
      <c r="G64" s="1190">
        <v>0</v>
      </c>
      <c r="H64" s="1190">
        <f>G64</f>
        <v>0</v>
      </c>
      <c r="I64" s="1238"/>
      <c r="J64" s="29"/>
      <c r="K64" s="1041"/>
      <c r="L64" s="1042"/>
      <c r="M64" s="1042"/>
      <c r="N64" s="1042"/>
      <c r="O64" s="1042"/>
      <c r="P64" s="751"/>
      <c r="Q64" s="751"/>
      <c r="R64" s="751"/>
      <c r="S64" s="751"/>
      <c r="T64" s="1020"/>
    </row>
    <row r="65" spans="2:23" ht="12" customHeight="1" x14ac:dyDescent="0.2">
      <c r="B65" s="364" t="s">
        <v>771</v>
      </c>
      <c r="C65" s="892">
        <v>0</v>
      </c>
      <c r="D65" s="892">
        <f t="shared" si="3"/>
        <v>0</v>
      </c>
      <c r="E65" s="1193">
        <f t="shared" si="3"/>
        <v>0</v>
      </c>
      <c r="F65" s="1269" t="s">
        <v>680</v>
      </c>
      <c r="G65" s="1190">
        <v>0.03</v>
      </c>
      <c r="H65" s="1190">
        <f>G65</f>
        <v>0.03</v>
      </c>
      <c r="I65" s="1249"/>
      <c r="J65" s="29"/>
      <c r="K65" s="1041"/>
      <c r="L65" s="1042"/>
      <c r="M65" s="1042"/>
      <c r="N65" s="1042"/>
      <c r="O65" s="1042"/>
      <c r="P65" s="1042"/>
      <c r="Q65" s="1042"/>
      <c r="R65" s="1042"/>
      <c r="S65" s="1042"/>
      <c r="T65" s="1049"/>
      <c r="U65" s="19"/>
      <c r="V65" s="19"/>
      <c r="W65" s="19"/>
    </row>
    <row r="66" spans="2:23" ht="12" customHeight="1" x14ac:dyDescent="0.2">
      <c r="B66" s="364" t="s">
        <v>397</v>
      </c>
      <c r="C66" s="775">
        <f>IF(C65=0,0,(C65-C63)/C65)</f>
        <v>0</v>
      </c>
      <c r="D66" s="775">
        <f>IF(D65=0,0,(D65-D63)/D65)</f>
        <v>0</v>
      </c>
      <c r="E66" s="1122">
        <f>IF(E65=0,0,(E65-E63)/E65)</f>
        <v>0</v>
      </c>
      <c r="F66" s="1209" t="s">
        <v>0</v>
      </c>
      <c r="G66" s="912"/>
      <c r="H66" s="912"/>
      <c r="I66" s="1238"/>
      <c r="J66" s="19"/>
      <c r="K66" s="1041"/>
      <c r="L66" s="1042"/>
      <c r="M66" s="1042"/>
      <c r="N66" s="1042"/>
      <c r="O66" s="1042"/>
      <c r="P66" s="751"/>
      <c r="Q66" s="751"/>
      <c r="R66" s="751"/>
      <c r="S66" s="751"/>
      <c r="T66" s="1020"/>
    </row>
    <row r="67" spans="2:23" ht="4.1500000000000004" customHeight="1" x14ac:dyDescent="0.2">
      <c r="B67" s="362"/>
      <c r="C67" s="831"/>
      <c r="D67" s="831"/>
      <c r="E67" s="831"/>
      <c r="F67" s="1269"/>
      <c r="G67" s="339"/>
      <c r="H67" s="339"/>
      <c r="I67" s="1252"/>
      <c r="J67" s="19"/>
      <c r="K67" s="1050"/>
      <c r="L67" s="411"/>
      <c r="M67" s="411"/>
      <c r="N67" s="411"/>
      <c r="O67" s="411"/>
      <c r="P67" s="412"/>
      <c r="Q67" s="412"/>
      <c r="R67" s="412"/>
      <c r="S67" s="412"/>
      <c r="T67" s="1022"/>
    </row>
    <row r="68" spans="2:23" ht="12" customHeight="1" x14ac:dyDescent="0.2">
      <c r="B68" s="890">
        <v>0</v>
      </c>
      <c r="C68" s="891">
        <v>0.255</v>
      </c>
      <c r="D68" s="891">
        <f>C68</f>
        <v>0.255</v>
      </c>
      <c r="E68" s="1195">
        <f>D68</f>
        <v>0.255</v>
      </c>
      <c r="F68" s="1209"/>
      <c r="G68" s="912"/>
      <c r="H68" s="912"/>
      <c r="I68" s="1238"/>
      <c r="J68" s="19"/>
      <c r="K68" s="1041"/>
      <c r="L68" s="1042"/>
      <c r="M68" s="1042"/>
      <c r="N68" s="1042"/>
      <c r="O68" s="1042"/>
      <c r="P68" s="751"/>
      <c r="Q68" s="751"/>
      <c r="R68" s="751"/>
      <c r="S68" s="751"/>
      <c r="T68" s="1020"/>
    </row>
    <row r="69" spans="2:23" ht="12" customHeight="1" x14ac:dyDescent="0.2">
      <c r="B69" s="833" t="s">
        <v>337</v>
      </c>
      <c r="C69" s="780">
        <f>C72*C71</f>
        <v>0</v>
      </c>
      <c r="D69" s="780">
        <f>D72*D71</f>
        <v>0</v>
      </c>
      <c r="E69" s="1192">
        <f>E72*E71</f>
        <v>0</v>
      </c>
      <c r="F69" s="1384"/>
      <c r="G69" s="1109">
        <f>D$12</f>
        <v>2028</v>
      </c>
      <c r="H69" s="1109">
        <f>E$12</f>
        <v>2029</v>
      </c>
      <c r="I69" s="1251"/>
      <c r="J69" s="19"/>
      <c r="K69" s="1041"/>
      <c r="L69" s="1042"/>
      <c r="M69" s="1042"/>
      <c r="N69" s="1042"/>
      <c r="O69" s="1042"/>
      <c r="P69" s="751"/>
      <c r="Q69" s="751"/>
      <c r="R69" s="751"/>
      <c r="S69" s="751"/>
      <c r="T69" s="1020"/>
    </row>
    <row r="70" spans="2:23" ht="12" customHeight="1" x14ac:dyDescent="0.2">
      <c r="B70" s="364" t="s">
        <v>770</v>
      </c>
      <c r="C70" s="892">
        <v>0</v>
      </c>
      <c r="D70" s="892">
        <f t="shared" ref="D70:E72" si="4">C70*(1+G70)</f>
        <v>0</v>
      </c>
      <c r="E70" s="1193">
        <f t="shared" si="4"/>
        <v>0</v>
      </c>
      <c r="F70" s="1269" t="s">
        <v>678</v>
      </c>
      <c r="G70" s="1190">
        <v>0.03</v>
      </c>
      <c r="H70" s="1190">
        <f>G70</f>
        <v>0.03</v>
      </c>
      <c r="I70" s="1251"/>
      <c r="J70" s="73"/>
      <c r="K70" s="1041"/>
      <c r="L70" s="1042"/>
      <c r="M70" s="1042"/>
      <c r="N70" s="1042"/>
      <c r="O70" s="1042"/>
      <c r="P70" s="751"/>
      <c r="Q70" s="751"/>
      <c r="R70" s="751"/>
      <c r="S70" s="751"/>
      <c r="T70" s="1020"/>
    </row>
    <row r="71" spans="2:23" ht="12" customHeight="1" x14ac:dyDescent="0.2">
      <c r="B71" s="364" t="s">
        <v>396</v>
      </c>
      <c r="C71" s="893">
        <v>0</v>
      </c>
      <c r="D71" s="893">
        <f>C71*12/C$13+G71*C71*12/C$13</f>
        <v>0</v>
      </c>
      <c r="E71" s="1194">
        <f t="shared" si="4"/>
        <v>0</v>
      </c>
      <c r="F71" s="1269" t="s">
        <v>679</v>
      </c>
      <c r="G71" s="1190">
        <v>0</v>
      </c>
      <c r="H71" s="1190">
        <f>G71</f>
        <v>0</v>
      </c>
      <c r="I71" s="1251"/>
      <c r="J71" s="75"/>
      <c r="K71" s="1041"/>
      <c r="L71" s="1042"/>
      <c r="M71" s="1042"/>
      <c r="N71" s="1042"/>
      <c r="O71" s="1042"/>
      <c r="P71" s="751"/>
      <c r="Q71" s="751"/>
      <c r="R71" s="751"/>
      <c r="S71" s="751"/>
      <c r="T71" s="1020"/>
    </row>
    <row r="72" spans="2:23" ht="12" customHeight="1" x14ac:dyDescent="0.2">
      <c r="B72" s="364" t="s">
        <v>771</v>
      </c>
      <c r="C72" s="892">
        <v>0</v>
      </c>
      <c r="D72" s="892">
        <f t="shared" si="4"/>
        <v>0</v>
      </c>
      <c r="E72" s="1193">
        <f t="shared" si="4"/>
        <v>0</v>
      </c>
      <c r="F72" s="1269" t="s">
        <v>680</v>
      </c>
      <c r="G72" s="1190">
        <v>0.03</v>
      </c>
      <c r="H72" s="1190">
        <f>G72</f>
        <v>0.03</v>
      </c>
      <c r="I72" s="1249"/>
      <c r="J72" s="29"/>
      <c r="K72" s="1041"/>
      <c r="L72" s="1042"/>
      <c r="M72" s="1042"/>
      <c r="N72" s="1042"/>
      <c r="O72" s="1042"/>
      <c r="P72" s="1042"/>
      <c r="Q72" s="1042"/>
      <c r="R72" s="1042"/>
      <c r="S72" s="1042"/>
      <c r="T72" s="1049"/>
      <c r="U72" s="19"/>
      <c r="V72" s="19"/>
      <c r="W72" s="19"/>
    </row>
    <row r="73" spans="2:23" ht="12" customHeight="1" x14ac:dyDescent="0.2">
      <c r="B73" s="364" t="s">
        <v>397</v>
      </c>
      <c r="C73" s="775">
        <f>IF(C72=0,0,(C72-C70)/C72)</f>
        <v>0</v>
      </c>
      <c r="D73" s="775">
        <f>IF(D72=0,0,(D72-D70)/D72)</f>
        <v>0</v>
      </c>
      <c r="E73" s="1122">
        <f>IF(E72=0,0,(E72-E70)/E72)</f>
        <v>0</v>
      </c>
      <c r="F73" s="1273"/>
      <c r="G73" s="1245"/>
      <c r="H73" s="1245"/>
      <c r="I73" s="1246"/>
      <c r="J73" s="77"/>
      <c r="K73" s="1053"/>
      <c r="L73" s="1054"/>
      <c r="M73" s="1054"/>
      <c r="N73" s="1054"/>
      <c r="O73" s="1054"/>
      <c r="P73" s="1014"/>
      <c r="Q73" s="1014"/>
      <c r="R73" s="1014"/>
      <c r="S73" s="1014"/>
      <c r="T73" s="1023"/>
    </row>
    <row r="74" spans="2:23" ht="4.1500000000000004" customHeight="1" x14ac:dyDescent="0.2">
      <c r="B74" s="362"/>
      <c r="C74" s="777"/>
      <c r="D74" s="777"/>
      <c r="E74" s="777"/>
      <c r="F74" s="361"/>
      <c r="G74" s="362"/>
      <c r="H74" s="365"/>
      <c r="I74" s="365"/>
      <c r="J74" s="77"/>
      <c r="K74" s="413"/>
      <c r="L74" s="414"/>
      <c r="M74" s="414"/>
      <c r="N74" s="415"/>
      <c r="O74" s="415"/>
      <c r="P74" s="162"/>
      <c r="Q74" s="162"/>
      <c r="R74" s="162"/>
      <c r="S74" s="162"/>
      <c r="T74" s="162"/>
    </row>
    <row r="75" spans="2:23" ht="12.75" customHeight="1" x14ac:dyDescent="0.2">
      <c r="B75" s="1115" t="s">
        <v>793</v>
      </c>
      <c r="C75" s="1116">
        <f>C16*(1+C15)+C21*(1+C20)+C26*(1+C25)+C31*(1+C30)+C36*(1+C35)+C41*(1+C40)+C48*(1+C47)+C55*(1+C54)+C62*(1+C61)+C69*(1+C68)</f>
        <v>0</v>
      </c>
      <c r="D75" s="1116">
        <f>D16*(1+D15)+D21*(1+D20)+D26*(1+D25)+D31*(1+D30)+D36*(1+D35)+D41*(1+D40)+D48*(1+D47)+D55*(1+D54)+D62*(1+D61)+D69*(1+D68)</f>
        <v>0</v>
      </c>
      <c r="E75" s="1116">
        <f>E16*(1+E15)+E21*(1+E20)+E26*(1+E25)+E31*(1+E30)+E36*(1+E35)+E41*(1+E40)+E48*(1+E47)+E55*(1+E54)+E62*(1+E61)+E69*(1+E68)</f>
        <v>0</v>
      </c>
      <c r="F75" s="361"/>
      <c r="G75" s="362"/>
      <c r="H75" s="19"/>
      <c r="I75" s="19"/>
      <c r="J75" s="77"/>
      <c r="K75" s="413"/>
      <c r="L75" s="414"/>
      <c r="M75" s="414"/>
      <c r="N75" s="415"/>
      <c r="O75" s="415"/>
      <c r="P75" s="162"/>
      <c r="Q75" s="162"/>
      <c r="R75" s="162"/>
      <c r="S75" s="162"/>
      <c r="T75" s="162"/>
    </row>
    <row r="76" spans="2:23" ht="12" customHeight="1" x14ac:dyDescent="0.2">
      <c r="B76" s="1117" t="s">
        <v>794</v>
      </c>
      <c r="C76" s="1116">
        <f>C16+C21+C26+C31+C36+C41+C48+C55+C62+C69</f>
        <v>0</v>
      </c>
      <c r="D76" s="1116">
        <f>D16+D21+D26+D31+D36+D41+D48+D55+D62+D69</f>
        <v>0</v>
      </c>
      <c r="E76" s="1116">
        <f>E16+E21+E26+E31+E36+E41+E48+E55+E62+E69</f>
        <v>0</v>
      </c>
      <c r="F76" s="361"/>
      <c r="G76" s="362"/>
      <c r="H76" s="41"/>
      <c r="I76" s="45"/>
      <c r="J76" s="77"/>
      <c r="K76" s="413"/>
      <c r="L76" s="414"/>
      <c r="M76" s="414"/>
      <c r="N76" s="415"/>
      <c r="O76" s="415"/>
      <c r="P76" s="162"/>
      <c r="Q76" s="162"/>
      <c r="R76" s="162"/>
      <c r="S76" s="162"/>
      <c r="T76" s="162"/>
    </row>
    <row r="77" spans="2:23" ht="12" customHeight="1" x14ac:dyDescent="0.2">
      <c r="B77" s="1198" t="s">
        <v>795</v>
      </c>
      <c r="C77" s="1199">
        <f>C42*C43+C49*C50+C56*C57+C63*C64+C70*C71</f>
        <v>0</v>
      </c>
      <c r="D77" s="1199">
        <f>D42*D43+D49*D50+D56*D57+D63*D64+D70*D71</f>
        <v>0</v>
      </c>
      <c r="E77" s="1199">
        <f>E42*E43+E49*E50+E56*E57+E63*E64+E70*E71</f>
        <v>0</v>
      </c>
      <c r="F77" s="361"/>
      <c r="G77" s="362"/>
      <c r="H77" s="94"/>
      <c r="I77" s="148"/>
      <c r="K77" s="162"/>
      <c r="L77" s="162"/>
      <c r="M77" s="162"/>
      <c r="N77" s="162"/>
      <c r="O77" s="162"/>
      <c r="P77" s="162"/>
      <c r="Q77" s="162"/>
      <c r="R77" s="162"/>
      <c r="S77" s="162"/>
      <c r="T77" s="162"/>
    </row>
    <row r="78" spans="2:23" x14ac:dyDescent="0.2">
      <c r="B78" s="1117" t="s">
        <v>796</v>
      </c>
      <c r="C78" s="1116">
        <f>C70*C71+C70*C71*C68+C63*C64+C63*C64*C61+C56*C57+C56*C57*C54+C49*C50+C49*C50*C47+C42*C43+C42*C43*C40</f>
        <v>0</v>
      </c>
      <c r="D78" s="1116">
        <f t="shared" ref="D78:E78" si="5">D70*D71+D70*D71*D68+D63*D64+D63*D64*D61+D56*D57+D56*D57*D54+D49*D50+D49*D50*D47+D42*D43+D42*D43*D40</f>
        <v>0</v>
      </c>
      <c r="E78" s="1116">
        <f t="shared" si="5"/>
        <v>0</v>
      </c>
      <c r="F78" s="1274"/>
      <c r="G78" s="19"/>
      <c r="H78" s="19"/>
      <c r="I78" s="19"/>
      <c r="J78" s="19"/>
      <c r="K78" s="19"/>
    </row>
    <row r="79" spans="2:23" ht="6.95" customHeight="1" x14ac:dyDescent="0.2">
      <c r="C79" s="95"/>
      <c r="D79" s="95"/>
      <c r="E79" s="95"/>
      <c r="G79" s="162"/>
      <c r="H79" s="162"/>
      <c r="I79" s="162"/>
      <c r="K79" s="162"/>
      <c r="L79" s="162"/>
      <c r="M79" s="162"/>
      <c r="N79" s="162"/>
      <c r="O79" s="162"/>
      <c r="P79" s="162"/>
      <c r="Q79" s="162"/>
      <c r="R79" s="162"/>
      <c r="S79" s="162"/>
      <c r="T79" s="162"/>
    </row>
    <row r="80" spans="2:23" x14ac:dyDescent="0.2">
      <c r="B80" s="1806"/>
      <c r="C80" s="1210" t="s">
        <v>313</v>
      </c>
      <c r="D80" s="1210" t="s">
        <v>314</v>
      </c>
      <c r="E80" s="1210" t="s">
        <v>315</v>
      </c>
      <c r="G80" s="162"/>
      <c r="H80" s="19"/>
      <c r="I80" s="19"/>
      <c r="K80" s="162"/>
      <c r="L80" s="162"/>
      <c r="M80" s="162"/>
      <c r="N80" s="162"/>
      <c r="O80" s="162"/>
      <c r="P80" s="162"/>
      <c r="Q80" s="162"/>
      <c r="R80" s="162"/>
      <c r="S80" s="162"/>
      <c r="T80" s="162"/>
    </row>
    <row r="81" spans="1:20" x14ac:dyDescent="0.2">
      <c r="B81" s="1806"/>
      <c r="C81" s="1211">
        <f>C12</f>
        <v>2027</v>
      </c>
      <c r="D81" s="1211">
        <f>D12</f>
        <v>2028</v>
      </c>
      <c r="E81" s="1211">
        <f>E12</f>
        <v>2029</v>
      </c>
      <c r="G81" s="162"/>
      <c r="H81" s="41"/>
      <c r="I81" s="45"/>
      <c r="K81" s="162"/>
      <c r="L81" s="162"/>
      <c r="M81" s="162"/>
      <c r="N81" s="162"/>
      <c r="O81" s="162"/>
      <c r="P81" s="162"/>
      <c r="Q81" s="162"/>
      <c r="R81" s="162"/>
      <c r="S81" s="162"/>
      <c r="T81" s="162"/>
    </row>
    <row r="82" spans="1:20" x14ac:dyDescent="0.2">
      <c r="B82" s="1213" t="str">
        <f>B13</f>
        <v>Räkenskapsperiodens längd</v>
      </c>
      <c r="C82" s="1212">
        <f>C13</f>
        <v>12</v>
      </c>
      <c r="D82" s="1212">
        <f t="shared" ref="D82:E82" si="6">D13</f>
        <v>12</v>
      </c>
      <c r="E82" s="1212">
        <f t="shared" si="6"/>
        <v>12</v>
      </c>
      <c r="K82" s="381"/>
      <c r="L82" s="271"/>
      <c r="M82" s="271"/>
      <c r="N82" s="381"/>
      <c r="O82" s="381"/>
      <c r="P82" s="381"/>
      <c r="Q82" s="381"/>
      <c r="R82" s="381"/>
      <c r="S82" s="381"/>
    </row>
    <row r="83" spans="1:20" ht="4.1500000000000004" customHeight="1" x14ac:dyDescent="0.2">
      <c r="B83" s="1"/>
      <c r="C83" s="122"/>
      <c r="D83" s="122"/>
      <c r="E83" s="122"/>
      <c r="G83" s="162"/>
      <c r="H83" s="94"/>
      <c r="I83" s="148"/>
      <c r="K83" s="162"/>
      <c r="L83" s="162"/>
      <c r="M83" s="162"/>
      <c r="N83" s="162"/>
      <c r="O83" s="162"/>
      <c r="P83" s="162"/>
      <c r="Q83" s="162"/>
      <c r="R83" s="162"/>
      <c r="S83" s="162"/>
      <c r="T83" s="162"/>
    </row>
    <row r="84" spans="1:20" ht="12" customHeight="1" x14ac:dyDescent="0.2">
      <c r="B84" s="890" t="s">
        <v>677</v>
      </c>
      <c r="C84" s="891">
        <v>0.255</v>
      </c>
      <c r="D84" s="891">
        <f>C84</f>
        <v>0.255</v>
      </c>
      <c r="E84" s="1195">
        <f>D84</f>
        <v>0.255</v>
      </c>
      <c r="F84" s="1863">
        <v>0</v>
      </c>
      <c r="G84" s="1864"/>
      <c r="H84" s="1864"/>
      <c r="I84" s="1382"/>
      <c r="K84" s="162"/>
      <c r="L84" s="162"/>
      <c r="M84" s="162"/>
      <c r="N84" s="162"/>
      <c r="O84" s="162"/>
      <c r="P84" s="162"/>
      <c r="Q84" s="162"/>
      <c r="R84" s="162"/>
      <c r="S84" s="162"/>
      <c r="T84" s="162"/>
    </row>
    <row r="85" spans="1:20" ht="12" customHeight="1" x14ac:dyDescent="0.2">
      <c r="A85" s="162"/>
      <c r="B85" s="832" t="s">
        <v>337</v>
      </c>
      <c r="C85" s="780">
        <f>C86*C87</f>
        <v>0</v>
      </c>
      <c r="D85" s="780">
        <f>D86*D87</f>
        <v>0</v>
      </c>
      <c r="E85" s="1192">
        <f>E86*E87</f>
        <v>0</v>
      </c>
      <c r="F85" s="1269"/>
      <c r="G85" s="1109">
        <f>G16</f>
        <v>2028</v>
      </c>
      <c r="H85" s="1109">
        <f>H16</f>
        <v>2029</v>
      </c>
      <c r="I85" s="1383"/>
      <c r="K85" s="1025" t="s">
        <v>310</v>
      </c>
      <c r="L85" s="1055"/>
      <c r="M85" s="1055"/>
      <c r="N85" s="1056"/>
      <c r="O85" s="1056"/>
      <c r="P85" s="1056"/>
      <c r="Q85" s="1056"/>
      <c r="R85" s="1056"/>
      <c r="S85" s="1056"/>
      <c r="T85" s="1057"/>
    </row>
    <row r="86" spans="1:20" ht="12" customHeight="1" x14ac:dyDescent="0.2">
      <c r="B86" s="364" t="s">
        <v>849</v>
      </c>
      <c r="C86" s="892">
        <v>0</v>
      </c>
      <c r="D86" s="892">
        <f>C86*(1+G86)</f>
        <v>0</v>
      </c>
      <c r="E86" s="1193">
        <f>D86*(1+H86)</f>
        <v>0</v>
      </c>
      <c r="F86" s="1269" t="s">
        <v>682</v>
      </c>
      <c r="G86" s="1190">
        <v>0.03</v>
      </c>
      <c r="H86" s="1190">
        <f>G86</f>
        <v>0.03</v>
      </c>
      <c r="I86" s="1249"/>
      <c r="K86" s="1041"/>
      <c r="L86" s="1042"/>
      <c r="M86" s="1042"/>
      <c r="N86" s="1042"/>
      <c r="O86" s="1042"/>
      <c r="P86" s="1042"/>
      <c r="Q86" s="1042"/>
      <c r="R86" s="1042"/>
      <c r="S86" s="1042"/>
      <c r="T86" s="1049"/>
    </row>
    <row r="87" spans="1:20" ht="12" customHeight="1" x14ac:dyDescent="0.2">
      <c r="A87" s="162"/>
      <c r="B87" s="894" t="s">
        <v>850</v>
      </c>
      <c r="C87" s="893">
        <v>0</v>
      </c>
      <c r="D87" s="893">
        <f>C87*12/C$13+G87*C87*12/C$13</f>
        <v>0</v>
      </c>
      <c r="E87" s="1194">
        <f>D87*(1+H87)</f>
        <v>0</v>
      </c>
      <c r="F87" s="1269" t="s">
        <v>681</v>
      </c>
      <c r="G87" s="1190">
        <v>0</v>
      </c>
      <c r="H87" s="1190">
        <f>G87</f>
        <v>0</v>
      </c>
      <c r="I87" s="1249"/>
      <c r="K87" s="1041"/>
      <c r="L87" s="1042"/>
      <c r="M87" s="1042"/>
      <c r="N87" s="1042"/>
      <c r="O87" s="1042"/>
      <c r="P87" s="1042"/>
      <c r="Q87" s="1042"/>
      <c r="R87" s="1042"/>
      <c r="S87" s="1042"/>
      <c r="T87" s="1049"/>
    </row>
    <row r="88" spans="1:20" ht="4.1500000000000004" customHeight="1" x14ac:dyDescent="0.2">
      <c r="A88" s="2"/>
      <c r="B88" s="1134"/>
      <c r="C88" s="1207"/>
      <c r="D88" s="1214"/>
      <c r="E88" s="1214"/>
      <c r="F88" s="1269"/>
      <c r="G88" s="831"/>
      <c r="H88" s="831"/>
      <c r="I88" s="1249"/>
      <c r="K88" s="1050"/>
      <c r="L88" s="411"/>
      <c r="M88" s="411"/>
      <c r="N88" s="411"/>
      <c r="O88" s="411"/>
      <c r="P88" s="411"/>
      <c r="Q88" s="411"/>
      <c r="R88" s="411"/>
      <c r="S88" s="411"/>
      <c r="T88" s="1051"/>
    </row>
    <row r="89" spans="1:20" ht="12" customHeight="1" x14ac:dyDescent="0.2">
      <c r="A89" s="162"/>
      <c r="B89" s="890">
        <v>0</v>
      </c>
      <c r="C89" s="891">
        <v>0.255</v>
      </c>
      <c r="D89" s="891">
        <f>C89</f>
        <v>0.255</v>
      </c>
      <c r="E89" s="1195">
        <f>D89</f>
        <v>0.255</v>
      </c>
      <c r="F89" s="1209"/>
      <c r="G89" s="912"/>
      <c r="H89" s="912"/>
      <c r="I89" s="1238"/>
      <c r="K89" s="1041"/>
      <c r="L89" s="1042"/>
      <c r="M89" s="1042"/>
      <c r="N89" s="1042"/>
      <c r="O89" s="1042"/>
      <c r="P89" s="1042"/>
      <c r="Q89" s="1042"/>
      <c r="R89" s="1042"/>
      <c r="S89" s="1042"/>
      <c r="T89" s="1049"/>
    </row>
    <row r="90" spans="1:20" ht="12" customHeight="1" x14ac:dyDescent="0.2">
      <c r="B90" s="832" t="s">
        <v>337</v>
      </c>
      <c r="C90" s="780">
        <f>C91*C92</f>
        <v>0</v>
      </c>
      <c r="D90" s="780">
        <f>D91*D92</f>
        <v>0</v>
      </c>
      <c r="E90" s="1192">
        <f>E91*E92</f>
        <v>0</v>
      </c>
      <c r="F90" s="1384"/>
      <c r="G90" s="1109">
        <f>D$12</f>
        <v>2028</v>
      </c>
      <c r="H90" s="1109">
        <f>E$12</f>
        <v>2029</v>
      </c>
      <c r="I90" s="1250"/>
      <c r="K90" s="1041"/>
      <c r="L90" s="1042"/>
      <c r="M90" s="1042"/>
      <c r="N90" s="1042"/>
      <c r="O90" s="1042"/>
      <c r="P90" s="1042"/>
      <c r="Q90" s="1042"/>
      <c r="R90" s="1042"/>
      <c r="S90" s="1042"/>
      <c r="T90" s="1049"/>
    </row>
    <row r="91" spans="1:20" ht="12" customHeight="1" x14ac:dyDescent="0.2">
      <c r="A91" s="162"/>
      <c r="B91" s="364" t="s">
        <v>849</v>
      </c>
      <c r="C91" s="892">
        <v>0</v>
      </c>
      <c r="D91" s="892">
        <f>C91*(1+G91)</f>
        <v>0</v>
      </c>
      <c r="E91" s="1193">
        <f>D91*(1+H91)</f>
        <v>0</v>
      </c>
      <c r="F91" s="1269" t="s">
        <v>682</v>
      </c>
      <c r="G91" s="1190">
        <v>0.03</v>
      </c>
      <c r="H91" s="1190">
        <f>G91</f>
        <v>0.03</v>
      </c>
      <c r="I91" s="1249"/>
      <c r="J91" s="24"/>
      <c r="K91" s="701"/>
      <c r="L91" s="751"/>
      <c r="M91" s="751"/>
      <c r="N91" s="751"/>
      <c r="O91" s="751"/>
      <c r="P91" s="1042"/>
      <c r="Q91" s="1042"/>
      <c r="R91" s="1042"/>
      <c r="S91" s="1042"/>
      <c r="T91" s="1049"/>
    </row>
    <row r="92" spans="1:20" ht="12" customHeight="1" x14ac:dyDescent="0.2">
      <c r="B92" s="894" t="s">
        <v>850</v>
      </c>
      <c r="C92" s="893">
        <v>0</v>
      </c>
      <c r="D92" s="893">
        <f>C92*12/C$13+G92*C92*12/C$13</f>
        <v>0</v>
      </c>
      <c r="E92" s="1194">
        <f>D92*(1+H92)</f>
        <v>0</v>
      </c>
      <c r="F92" s="1269" t="s">
        <v>681</v>
      </c>
      <c r="G92" s="1190">
        <v>0</v>
      </c>
      <c r="H92" s="1190">
        <f>G92</f>
        <v>0</v>
      </c>
      <c r="I92" s="1249"/>
      <c r="J92" s="29"/>
      <c r="K92" s="701"/>
      <c r="L92" s="751"/>
      <c r="M92" s="751"/>
      <c r="N92" s="751"/>
      <c r="O92" s="751"/>
      <c r="P92" s="1042"/>
      <c r="Q92" s="1042"/>
      <c r="R92" s="1042"/>
      <c r="S92" s="1042"/>
      <c r="T92" s="1049"/>
    </row>
    <row r="93" spans="1:20" ht="4.1500000000000004" customHeight="1" x14ac:dyDescent="0.2">
      <c r="A93" s="162"/>
      <c r="B93" s="1134"/>
      <c r="C93" s="1207"/>
      <c r="D93" s="1214"/>
      <c r="E93" s="1214"/>
      <c r="F93" s="1269"/>
      <c r="G93" s="831"/>
      <c r="H93" s="831"/>
      <c r="I93" s="1249"/>
      <c r="J93" s="29"/>
      <c r="K93" s="1029"/>
      <c r="L93" s="412"/>
      <c r="M93" s="412"/>
      <c r="N93" s="412"/>
      <c r="O93" s="412"/>
      <c r="P93" s="411"/>
      <c r="Q93" s="411"/>
      <c r="R93" s="411"/>
      <c r="S93" s="411"/>
      <c r="T93" s="1051"/>
    </row>
    <row r="94" spans="1:20" ht="12" customHeight="1" x14ac:dyDescent="0.2">
      <c r="A94" s="162"/>
      <c r="B94" s="890">
        <v>0</v>
      </c>
      <c r="C94" s="891">
        <v>0.255</v>
      </c>
      <c r="D94" s="891">
        <f>C94</f>
        <v>0.255</v>
      </c>
      <c r="E94" s="1195">
        <f>D94</f>
        <v>0.255</v>
      </c>
      <c r="F94" s="1209" t="s">
        <v>0</v>
      </c>
      <c r="G94" s="912"/>
      <c r="H94" s="912"/>
      <c r="I94" s="1238"/>
      <c r="J94" s="29"/>
      <c r="K94" s="701"/>
      <c r="L94" s="751"/>
      <c r="M94" s="751"/>
      <c r="N94" s="751"/>
      <c r="O94" s="751"/>
      <c r="P94" s="1042"/>
      <c r="Q94" s="1042"/>
      <c r="R94" s="1042"/>
      <c r="S94" s="1042"/>
      <c r="T94" s="1049"/>
    </row>
    <row r="95" spans="1:20" ht="12" customHeight="1" x14ac:dyDescent="0.2">
      <c r="B95" s="832" t="s">
        <v>337</v>
      </c>
      <c r="C95" s="780">
        <f>C96*C97</f>
        <v>0</v>
      </c>
      <c r="D95" s="780">
        <f>D96*D97</f>
        <v>0</v>
      </c>
      <c r="E95" s="1192">
        <f>E96*E97</f>
        <v>0</v>
      </c>
      <c r="F95" s="1269"/>
      <c r="G95" s="1109">
        <f>D$12</f>
        <v>2028</v>
      </c>
      <c r="H95" s="1109">
        <f>E$12</f>
        <v>2029</v>
      </c>
      <c r="I95" s="1250"/>
      <c r="K95" s="701"/>
      <c r="L95" s="751"/>
      <c r="M95" s="751"/>
      <c r="N95" s="751"/>
      <c r="O95" s="751"/>
      <c r="P95" s="1042"/>
      <c r="Q95" s="1042"/>
      <c r="R95" s="1042"/>
      <c r="S95" s="1042"/>
      <c r="T95" s="1049"/>
    </row>
    <row r="96" spans="1:20" ht="12" customHeight="1" x14ac:dyDescent="0.2">
      <c r="A96" s="162"/>
      <c r="B96" s="364" t="s">
        <v>849</v>
      </c>
      <c r="C96" s="892">
        <v>0</v>
      </c>
      <c r="D96" s="892">
        <f>C96*(1+G96)</f>
        <v>0</v>
      </c>
      <c r="E96" s="1193">
        <f>D96*(1+H96)</f>
        <v>0</v>
      </c>
      <c r="F96" s="1269" t="s">
        <v>682</v>
      </c>
      <c r="G96" s="1190">
        <v>0.03</v>
      </c>
      <c r="H96" s="1190">
        <f>G96</f>
        <v>0.03</v>
      </c>
      <c r="I96" s="1249"/>
      <c r="K96" s="701"/>
      <c r="L96" s="751"/>
      <c r="M96" s="751"/>
      <c r="N96" s="751"/>
      <c r="O96" s="751"/>
      <c r="P96" s="1042"/>
      <c r="Q96" s="1042"/>
      <c r="R96" s="1042"/>
      <c r="S96" s="1042"/>
      <c r="T96" s="1049"/>
    </row>
    <row r="97" spans="1:20" ht="12" customHeight="1" x14ac:dyDescent="0.2">
      <c r="A97" s="2"/>
      <c r="B97" s="894" t="s">
        <v>850</v>
      </c>
      <c r="C97" s="893">
        <v>0</v>
      </c>
      <c r="D97" s="893">
        <f>C97*12/C$13+G97*C97*12/C$13</f>
        <v>0</v>
      </c>
      <c r="E97" s="1194">
        <f>D97*(1+H97)</f>
        <v>0</v>
      </c>
      <c r="F97" s="1269" t="s">
        <v>681</v>
      </c>
      <c r="G97" s="1190">
        <v>0</v>
      </c>
      <c r="H97" s="1190">
        <f>G97</f>
        <v>0</v>
      </c>
      <c r="I97" s="1249"/>
      <c r="K97" s="701"/>
      <c r="L97" s="751"/>
      <c r="M97" s="751"/>
      <c r="N97" s="751"/>
      <c r="O97" s="751"/>
      <c r="P97" s="1042"/>
      <c r="Q97" s="1042"/>
      <c r="R97" s="1042"/>
      <c r="S97" s="1042"/>
      <c r="T97" s="1049"/>
    </row>
    <row r="98" spans="1:20" ht="4.1500000000000004" customHeight="1" x14ac:dyDescent="0.2">
      <c r="A98" s="162"/>
      <c r="B98" s="1134"/>
      <c r="C98" s="1207"/>
      <c r="D98" s="1214"/>
      <c r="E98" s="1214"/>
      <c r="F98" s="1269"/>
      <c r="G98" s="831"/>
      <c r="H98" s="831"/>
      <c r="I98" s="1249"/>
      <c r="K98" s="1029"/>
      <c r="L98" s="412"/>
      <c r="M98" s="412"/>
      <c r="N98" s="412"/>
      <c r="O98" s="412"/>
      <c r="P98" s="411"/>
      <c r="Q98" s="411"/>
      <c r="R98" s="411"/>
      <c r="S98" s="411"/>
      <c r="T98" s="1051"/>
    </row>
    <row r="99" spans="1:20" ht="12" customHeight="1" x14ac:dyDescent="0.2">
      <c r="A99" s="162"/>
      <c r="B99" s="890">
        <v>0</v>
      </c>
      <c r="C99" s="891">
        <v>0.255</v>
      </c>
      <c r="D99" s="891">
        <f>C99</f>
        <v>0.255</v>
      </c>
      <c r="E99" s="1195">
        <f>D99</f>
        <v>0.255</v>
      </c>
      <c r="F99" s="1209"/>
      <c r="G99" s="912"/>
      <c r="H99" s="912"/>
      <c r="I99" s="1238"/>
      <c r="K99" s="701"/>
      <c r="L99" s="751"/>
      <c r="M99" s="751"/>
      <c r="N99" s="751"/>
      <c r="O99" s="751"/>
      <c r="P99" s="1042"/>
      <c r="Q99" s="1042"/>
      <c r="R99" s="1042"/>
      <c r="S99" s="1042"/>
      <c r="T99" s="1049"/>
    </row>
    <row r="100" spans="1:20" ht="12" customHeight="1" x14ac:dyDescent="0.2">
      <c r="B100" s="832" t="s">
        <v>337</v>
      </c>
      <c r="C100" s="780">
        <f>C101*C102</f>
        <v>0</v>
      </c>
      <c r="D100" s="780">
        <f>D101*D102</f>
        <v>0</v>
      </c>
      <c r="E100" s="1192">
        <f>E101*E102</f>
        <v>0</v>
      </c>
      <c r="F100" s="1269"/>
      <c r="G100" s="1109">
        <f>D$12</f>
        <v>2028</v>
      </c>
      <c r="H100" s="1109">
        <f>E$12</f>
        <v>2029</v>
      </c>
      <c r="I100" s="1238"/>
      <c r="K100" s="701"/>
      <c r="L100" s="751"/>
      <c r="M100" s="751"/>
      <c r="N100" s="751"/>
      <c r="O100" s="751"/>
      <c r="P100" s="1042"/>
      <c r="Q100" s="1042"/>
      <c r="R100" s="1042"/>
      <c r="S100" s="1042"/>
      <c r="T100" s="1049"/>
    </row>
    <row r="101" spans="1:20" ht="12" customHeight="1" x14ac:dyDescent="0.2">
      <c r="A101" s="162"/>
      <c r="B101" s="364" t="s">
        <v>849</v>
      </c>
      <c r="C101" s="892">
        <v>0</v>
      </c>
      <c r="D101" s="892">
        <f>C101*(1+G101)</f>
        <v>0</v>
      </c>
      <c r="E101" s="1193">
        <f>D101*(1+H101)</f>
        <v>0</v>
      </c>
      <c r="F101" s="1269" t="s">
        <v>682</v>
      </c>
      <c r="G101" s="1190">
        <v>0.03</v>
      </c>
      <c r="H101" s="1190">
        <f>G101</f>
        <v>0.03</v>
      </c>
      <c r="I101" s="1238"/>
      <c r="K101" s="701"/>
      <c r="L101" s="751"/>
      <c r="M101" s="751"/>
      <c r="N101" s="751"/>
      <c r="O101" s="751"/>
      <c r="P101" s="1042"/>
      <c r="Q101" s="1042"/>
      <c r="R101" s="1042"/>
      <c r="S101" s="1042"/>
      <c r="T101" s="1049"/>
    </row>
    <row r="102" spans="1:20" ht="12" customHeight="1" x14ac:dyDescent="0.2">
      <c r="A102" s="2"/>
      <c r="B102" s="894" t="s">
        <v>850</v>
      </c>
      <c r="C102" s="893">
        <v>0</v>
      </c>
      <c r="D102" s="893">
        <f>C102*12/C$13+G102*C102*12/C$13</f>
        <v>0</v>
      </c>
      <c r="E102" s="1194">
        <f>D102*(1+H102)</f>
        <v>0</v>
      </c>
      <c r="F102" s="1269" t="s">
        <v>681</v>
      </c>
      <c r="G102" s="1190">
        <v>0</v>
      </c>
      <c r="H102" s="1190">
        <f>G102</f>
        <v>0</v>
      </c>
      <c r="I102" s="1251"/>
      <c r="K102" s="701"/>
      <c r="L102" s="751"/>
      <c r="M102" s="751"/>
      <c r="N102" s="751"/>
      <c r="O102" s="751"/>
      <c r="P102" s="1042"/>
      <c r="Q102" s="1042"/>
      <c r="R102" s="1042"/>
      <c r="S102" s="1042"/>
      <c r="T102" s="1049"/>
    </row>
    <row r="103" spans="1:20" ht="4.1500000000000004" customHeight="1" x14ac:dyDescent="0.2">
      <c r="A103" s="2"/>
      <c r="B103" s="1134"/>
      <c r="C103" s="1207"/>
      <c r="D103" s="1207"/>
      <c r="E103" s="1207"/>
      <c r="F103" s="1269"/>
      <c r="G103" s="339"/>
      <c r="H103" s="831"/>
      <c r="I103" s="1249"/>
      <c r="K103" s="1029"/>
      <c r="L103" s="412"/>
      <c r="M103" s="412"/>
      <c r="N103" s="412"/>
      <c r="O103" s="412"/>
      <c r="P103" s="411"/>
      <c r="Q103" s="411"/>
      <c r="R103" s="411"/>
      <c r="S103" s="411"/>
      <c r="T103" s="1051"/>
    </row>
    <row r="104" spans="1:20" ht="12" customHeight="1" x14ac:dyDescent="0.2">
      <c r="A104" s="162"/>
      <c r="B104" s="890">
        <v>0</v>
      </c>
      <c r="C104" s="891">
        <v>0.255</v>
      </c>
      <c r="D104" s="891">
        <f>C104</f>
        <v>0.255</v>
      </c>
      <c r="E104" s="1195">
        <f>D104</f>
        <v>0.255</v>
      </c>
      <c r="F104" s="1209"/>
      <c r="G104" s="912"/>
      <c r="H104" s="912"/>
      <c r="I104" s="1238"/>
      <c r="K104" s="701"/>
      <c r="L104" s="751"/>
      <c r="M104" s="751"/>
      <c r="N104" s="751"/>
      <c r="O104" s="751"/>
      <c r="P104" s="1042"/>
      <c r="Q104" s="1042"/>
      <c r="R104" s="1042"/>
      <c r="S104" s="1042"/>
      <c r="T104" s="1049"/>
    </row>
    <row r="105" spans="1:20" ht="12" customHeight="1" x14ac:dyDescent="0.2">
      <c r="B105" s="832" t="s">
        <v>337</v>
      </c>
      <c r="C105" s="780">
        <f>C106*C107</f>
        <v>0</v>
      </c>
      <c r="D105" s="780">
        <f>D106*D107</f>
        <v>0</v>
      </c>
      <c r="E105" s="1192">
        <f>E106*E107</f>
        <v>0</v>
      </c>
      <c r="F105" s="1269"/>
      <c r="G105" s="1109">
        <f>D$12</f>
        <v>2028</v>
      </c>
      <c r="H105" s="1109">
        <f>E$12</f>
        <v>2029</v>
      </c>
      <c r="I105" s="1238"/>
      <c r="K105" s="701"/>
      <c r="L105" s="751"/>
      <c r="M105" s="751"/>
      <c r="N105" s="751"/>
      <c r="O105" s="751"/>
      <c r="P105" s="1042"/>
      <c r="Q105" s="1042"/>
      <c r="R105" s="1042"/>
      <c r="S105" s="1042"/>
      <c r="T105" s="1049"/>
    </row>
    <row r="106" spans="1:20" ht="12" customHeight="1" x14ac:dyDescent="0.2">
      <c r="A106" s="162"/>
      <c r="B106" s="364" t="s">
        <v>849</v>
      </c>
      <c r="C106" s="892">
        <v>0</v>
      </c>
      <c r="D106" s="892">
        <f>C106*(1+G106)</f>
        <v>0</v>
      </c>
      <c r="E106" s="1193">
        <f>D106*(1+H106)</f>
        <v>0</v>
      </c>
      <c r="F106" s="1269" t="s">
        <v>682</v>
      </c>
      <c r="G106" s="1190">
        <v>0.03</v>
      </c>
      <c r="H106" s="1190">
        <f>G106</f>
        <v>0.03</v>
      </c>
      <c r="I106" s="1251"/>
      <c r="K106" s="701"/>
      <c r="L106" s="751"/>
      <c r="M106" s="751"/>
      <c r="N106" s="751"/>
      <c r="O106" s="751"/>
      <c r="P106" s="1042"/>
      <c r="Q106" s="1042"/>
      <c r="R106" s="1042"/>
      <c r="S106" s="1042"/>
      <c r="T106" s="1049"/>
    </row>
    <row r="107" spans="1:20" ht="12" customHeight="1" x14ac:dyDescent="0.2">
      <c r="A107" s="2"/>
      <c r="B107" s="894" t="s">
        <v>850</v>
      </c>
      <c r="C107" s="893">
        <v>0</v>
      </c>
      <c r="D107" s="893">
        <f>C107*12/C$13+G107*C107*12/C$13</f>
        <v>0</v>
      </c>
      <c r="E107" s="1194">
        <f>D107*(1+H107)</f>
        <v>0</v>
      </c>
      <c r="F107" s="1269" t="s">
        <v>681</v>
      </c>
      <c r="G107" s="1190">
        <v>0</v>
      </c>
      <c r="H107" s="1190">
        <f>G107</f>
        <v>0</v>
      </c>
      <c r="I107" s="1251"/>
      <c r="K107" s="701"/>
      <c r="L107" s="751"/>
      <c r="M107" s="751"/>
      <c r="N107" s="751"/>
      <c r="O107" s="751"/>
      <c r="P107" s="1042"/>
      <c r="Q107" s="1042"/>
      <c r="R107" s="1042"/>
      <c r="S107" s="1042"/>
      <c r="T107" s="1049"/>
    </row>
    <row r="108" spans="1:20" ht="4.1500000000000004" customHeight="1" x14ac:dyDescent="0.2">
      <c r="B108" s="1134"/>
      <c r="C108" s="1207"/>
      <c r="D108" s="1207"/>
      <c r="E108" s="1207"/>
      <c r="F108" s="1269"/>
      <c r="G108" s="339"/>
      <c r="H108" s="831"/>
      <c r="I108" s="1249"/>
      <c r="K108" s="1029"/>
      <c r="L108" s="412"/>
      <c r="M108" s="412"/>
      <c r="N108" s="412"/>
      <c r="O108" s="412"/>
      <c r="P108" s="411"/>
      <c r="Q108" s="411"/>
      <c r="R108" s="411"/>
      <c r="S108" s="411"/>
      <c r="T108" s="1051"/>
    </row>
    <row r="109" spans="1:20" ht="12" customHeight="1" x14ac:dyDescent="0.2">
      <c r="A109" s="162"/>
      <c r="B109" s="890">
        <v>0</v>
      </c>
      <c r="C109" s="891">
        <v>0.255</v>
      </c>
      <c r="D109" s="891">
        <f>C109</f>
        <v>0.255</v>
      </c>
      <c r="E109" s="1195">
        <f>D109</f>
        <v>0.255</v>
      </c>
      <c r="F109" s="1209"/>
      <c r="G109" s="912"/>
      <c r="H109" s="912"/>
      <c r="I109" s="1238"/>
      <c r="K109" s="701"/>
      <c r="L109" s="751"/>
      <c r="M109" s="751"/>
      <c r="N109" s="751"/>
      <c r="O109" s="751"/>
      <c r="P109" s="1042"/>
      <c r="Q109" s="1042"/>
      <c r="R109" s="1042"/>
      <c r="S109" s="1042"/>
      <c r="T109" s="1049"/>
    </row>
    <row r="110" spans="1:20" ht="12" customHeight="1" x14ac:dyDescent="0.2">
      <c r="B110" s="832" t="s">
        <v>337</v>
      </c>
      <c r="C110" s="780">
        <f>C111*C112</f>
        <v>0</v>
      </c>
      <c r="D110" s="780">
        <f>D111*D112</f>
        <v>0</v>
      </c>
      <c r="E110" s="1192">
        <f>E111*E112</f>
        <v>0</v>
      </c>
      <c r="F110" s="1269"/>
      <c r="G110" s="1109">
        <f>D$12</f>
        <v>2028</v>
      </c>
      <c r="H110" s="1109">
        <f>E$12</f>
        <v>2029</v>
      </c>
      <c r="I110" s="1238"/>
      <c r="J110" s="84"/>
      <c r="K110" s="1041"/>
      <c r="L110" s="1042"/>
      <c r="M110" s="1042"/>
      <c r="N110" s="1042"/>
      <c r="O110" s="1042"/>
      <c r="P110" s="1042"/>
      <c r="Q110" s="1042"/>
      <c r="R110" s="1042"/>
      <c r="S110" s="1042"/>
      <c r="T110" s="1049"/>
    </row>
    <row r="111" spans="1:20" ht="12" customHeight="1" x14ac:dyDescent="0.2">
      <c r="A111" s="162"/>
      <c r="B111" s="364" t="s">
        <v>849</v>
      </c>
      <c r="C111" s="892">
        <v>0</v>
      </c>
      <c r="D111" s="892">
        <f>C111*(1+G111)</f>
        <v>0</v>
      </c>
      <c r="E111" s="1193">
        <f>D111*(1+H111)</f>
        <v>0</v>
      </c>
      <c r="F111" s="1269" t="s">
        <v>682</v>
      </c>
      <c r="G111" s="1190">
        <v>0.03</v>
      </c>
      <c r="H111" s="1190">
        <f>G111</f>
        <v>0.03</v>
      </c>
      <c r="I111" s="1251"/>
      <c r="K111" s="1041"/>
      <c r="L111" s="1042"/>
      <c r="M111" s="1042"/>
      <c r="N111" s="1042"/>
      <c r="O111" s="1042"/>
      <c r="P111" s="1042"/>
      <c r="Q111" s="1042"/>
      <c r="R111" s="1042"/>
      <c r="S111" s="1042"/>
      <c r="T111" s="1049"/>
    </row>
    <row r="112" spans="1:20" ht="12" customHeight="1" x14ac:dyDescent="0.2">
      <c r="A112" s="2"/>
      <c r="B112" s="894" t="s">
        <v>850</v>
      </c>
      <c r="C112" s="893">
        <v>0</v>
      </c>
      <c r="D112" s="893">
        <f>C112*12/C$13+G112*C112*12/C$13</f>
        <v>0</v>
      </c>
      <c r="E112" s="1194">
        <f>D112*(1+H112)</f>
        <v>0</v>
      </c>
      <c r="F112" s="1269" t="s">
        <v>681</v>
      </c>
      <c r="G112" s="1190">
        <v>0</v>
      </c>
      <c r="H112" s="1190">
        <f>G112</f>
        <v>0</v>
      </c>
      <c r="I112" s="1251"/>
      <c r="K112" s="1041"/>
      <c r="L112" s="1042"/>
      <c r="M112" s="1042"/>
      <c r="N112" s="1042"/>
      <c r="O112" s="1042"/>
      <c r="P112" s="1042"/>
      <c r="Q112" s="1042"/>
      <c r="R112" s="1042"/>
      <c r="S112" s="1042"/>
      <c r="T112" s="1049"/>
    </row>
    <row r="113" spans="1:20" ht="4.1500000000000004" customHeight="1" x14ac:dyDescent="0.2">
      <c r="A113" s="162"/>
      <c r="B113" s="362"/>
      <c r="C113" s="1207"/>
      <c r="D113" s="1207"/>
      <c r="E113" s="1207"/>
      <c r="F113" s="1269"/>
      <c r="G113" s="339"/>
      <c r="H113" s="831"/>
      <c r="I113" s="1249"/>
      <c r="K113" s="1050"/>
      <c r="L113" s="411"/>
      <c r="M113" s="411"/>
      <c r="N113" s="411"/>
      <c r="O113" s="411"/>
      <c r="P113" s="411"/>
      <c r="Q113" s="411"/>
      <c r="R113" s="411"/>
      <c r="S113" s="411"/>
      <c r="T113" s="1051"/>
    </row>
    <row r="114" spans="1:20" ht="12" customHeight="1" x14ac:dyDescent="0.2">
      <c r="B114" s="890" t="s">
        <v>853</v>
      </c>
      <c r="C114" s="891">
        <v>0.255</v>
      </c>
      <c r="D114" s="891">
        <f>C114</f>
        <v>0.255</v>
      </c>
      <c r="E114" s="1195">
        <f>D114</f>
        <v>0.255</v>
      </c>
      <c r="F114" s="1209"/>
      <c r="G114" s="912"/>
      <c r="H114" s="912"/>
      <c r="I114" s="1238"/>
      <c r="K114" s="1041"/>
      <c r="L114" s="1042"/>
      <c r="M114" s="1042"/>
      <c r="N114" s="1042"/>
      <c r="O114" s="1042"/>
      <c r="P114" s="1042"/>
      <c r="Q114" s="1042"/>
      <c r="R114" s="1042"/>
      <c r="S114" s="1042"/>
      <c r="T114" s="1049"/>
    </row>
    <row r="115" spans="1:20" ht="12" customHeight="1" x14ac:dyDescent="0.2">
      <c r="A115" s="162"/>
      <c r="B115" s="833" t="s">
        <v>337</v>
      </c>
      <c r="C115" s="780">
        <f>C118*C117</f>
        <v>0</v>
      </c>
      <c r="D115" s="780">
        <f>D118*D117</f>
        <v>0</v>
      </c>
      <c r="E115" s="1192">
        <f>E118*E117</f>
        <v>0</v>
      </c>
      <c r="F115" s="1269"/>
      <c r="G115" s="1109">
        <f>D$12</f>
        <v>2028</v>
      </c>
      <c r="H115" s="1109">
        <f>E$12</f>
        <v>2029</v>
      </c>
      <c r="I115" s="1250"/>
      <c r="K115" s="1050"/>
      <c r="L115" s="411"/>
      <c r="M115" s="411"/>
      <c r="N115" s="411"/>
      <c r="O115" s="411"/>
      <c r="P115" s="411"/>
      <c r="Q115" s="411"/>
      <c r="R115" s="411"/>
      <c r="S115" s="411"/>
      <c r="T115" s="1051"/>
    </row>
    <row r="116" spans="1:20" ht="12" customHeight="1" x14ac:dyDescent="0.2">
      <c r="A116" s="2"/>
      <c r="B116" s="364" t="s">
        <v>770</v>
      </c>
      <c r="C116" s="892">
        <v>0</v>
      </c>
      <c r="D116" s="892">
        <f t="shared" ref="D116:E118" si="7">C116*(1+G116)</f>
        <v>0</v>
      </c>
      <c r="E116" s="1193">
        <f t="shared" si="7"/>
        <v>0</v>
      </c>
      <c r="F116" s="1269" t="s">
        <v>678</v>
      </c>
      <c r="G116" s="1190">
        <v>0.03</v>
      </c>
      <c r="H116" s="1190">
        <f>G116</f>
        <v>0.03</v>
      </c>
      <c r="I116" s="1249"/>
      <c r="K116" s="1052"/>
      <c r="L116" s="1042"/>
      <c r="M116" s="1042"/>
      <c r="N116" s="1042"/>
      <c r="O116" s="1042"/>
      <c r="P116" s="1042"/>
      <c r="Q116" s="1042"/>
      <c r="R116" s="1042"/>
      <c r="S116" s="1042"/>
      <c r="T116" s="1049"/>
    </row>
    <row r="117" spans="1:20" ht="12" customHeight="1" x14ac:dyDescent="0.2">
      <c r="B117" s="364" t="s">
        <v>396</v>
      </c>
      <c r="C117" s="893">
        <v>0</v>
      </c>
      <c r="D117" s="893">
        <f>C117*12/C$13+G117*C117*12/C$13</f>
        <v>0</v>
      </c>
      <c r="E117" s="1194">
        <f t="shared" si="7"/>
        <v>0</v>
      </c>
      <c r="F117" s="1269" t="s">
        <v>679</v>
      </c>
      <c r="G117" s="1190">
        <v>0</v>
      </c>
      <c r="H117" s="1190">
        <f>G117</f>
        <v>0</v>
      </c>
      <c r="I117" s="1249"/>
      <c r="K117" s="1052"/>
      <c r="L117" s="1042"/>
      <c r="M117" s="1042"/>
      <c r="N117" s="1042"/>
      <c r="O117" s="1042"/>
      <c r="P117" s="1042"/>
      <c r="Q117" s="1042"/>
      <c r="R117" s="1042"/>
      <c r="S117" s="1042"/>
      <c r="T117" s="1049"/>
    </row>
    <row r="118" spans="1:20" ht="12" customHeight="1" x14ac:dyDescent="0.2">
      <c r="B118" s="364" t="s">
        <v>771</v>
      </c>
      <c r="C118" s="892">
        <v>0</v>
      </c>
      <c r="D118" s="892">
        <f t="shared" si="7"/>
        <v>0</v>
      </c>
      <c r="E118" s="1193">
        <f t="shared" si="7"/>
        <v>0</v>
      </c>
      <c r="F118" s="1269" t="s">
        <v>680</v>
      </c>
      <c r="G118" s="1190">
        <v>0.03</v>
      </c>
      <c r="H118" s="1190">
        <f>G118</f>
        <v>0.03</v>
      </c>
      <c r="I118" s="1249"/>
      <c r="K118" s="1041"/>
      <c r="L118" s="1042"/>
      <c r="M118" s="1042"/>
      <c r="N118" s="1042"/>
      <c r="O118" s="1042"/>
      <c r="P118" s="1042"/>
      <c r="Q118" s="1042"/>
      <c r="R118" s="1042"/>
      <c r="S118" s="1042"/>
      <c r="T118" s="1049"/>
    </row>
    <row r="119" spans="1:20" ht="12" customHeight="1" x14ac:dyDescent="0.2">
      <c r="A119" s="162"/>
      <c r="B119" s="364" t="s">
        <v>397</v>
      </c>
      <c r="C119" s="775">
        <f>IF(C118=0,0,(C118-C116)/C118)</f>
        <v>0</v>
      </c>
      <c r="D119" s="775">
        <f>IF(D118=0,0,(D118-D116)/D118)</f>
        <v>0</v>
      </c>
      <c r="E119" s="1122">
        <f>IF(E118=0,0,(E118-E116)/E118)</f>
        <v>0</v>
      </c>
      <c r="F119" s="1209"/>
      <c r="G119" s="912"/>
      <c r="H119" s="912"/>
      <c r="I119" s="1238"/>
      <c r="K119" s="1041"/>
      <c r="L119" s="1042"/>
      <c r="M119" s="1042"/>
      <c r="N119" s="1042"/>
      <c r="O119" s="1042"/>
      <c r="P119" s="1042"/>
      <c r="Q119" s="1042"/>
      <c r="R119" s="1042"/>
      <c r="S119" s="1042"/>
      <c r="T119" s="1049"/>
    </row>
    <row r="120" spans="1:20" ht="4.1500000000000004" customHeight="1" x14ac:dyDescent="0.2">
      <c r="B120" s="1134"/>
      <c r="C120" s="1208"/>
      <c r="D120" s="1208"/>
      <c r="E120" s="1208"/>
      <c r="F120" s="1269"/>
      <c r="G120" s="339"/>
      <c r="H120" s="339"/>
      <c r="I120" s="1252"/>
      <c r="K120" s="1050"/>
      <c r="L120" s="411"/>
      <c r="M120" s="411"/>
      <c r="N120" s="411"/>
      <c r="O120" s="411"/>
      <c r="P120" s="411"/>
      <c r="Q120" s="411"/>
      <c r="R120" s="411"/>
      <c r="S120" s="411"/>
      <c r="T120" s="1051"/>
    </row>
    <row r="121" spans="1:20" ht="12" customHeight="1" x14ac:dyDescent="0.2">
      <c r="A121" s="162"/>
      <c r="B121" s="890">
        <v>0</v>
      </c>
      <c r="C121" s="891">
        <v>0.255</v>
      </c>
      <c r="D121" s="891">
        <f>C121</f>
        <v>0.255</v>
      </c>
      <c r="E121" s="1195">
        <f>D121</f>
        <v>0.255</v>
      </c>
      <c r="F121" s="1209"/>
      <c r="G121" s="912"/>
      <c r="H121" s="912"/>
      <c r="I121" s="1238"/>
      <c r="K121" s="1041"/>
      <c r="L121" s="1042"/>
      <c r="M121" s="1042"/>
      <c r="N121" s="1042"/>
      <c r="O121" s="1042"/>
      <c r="P121" s="1042"/>
      <c r="Q121" s="1042"/>
      <c r="R121" s="1042"/>
      <c r="S121" s="1042"/>
      <c r="T121" s="1049"/>
    </row>
    <row r="122" spans="1:20" ht="12" customHeight="1" x14ac:dyDescent="0.2">
      <c r="A122" s="2"/>
      <c r="B122" s="833" t="s">
        <v>337</v>
      </c>
      <c r="C122" s="780">
        <f>C125*C124</f>
        <v>0</v>
      </c>
      <c r="D122" s="780">
        <f>D125*D124</f>
        <v>0</v>
      </c>
      <c r="E122" s="1192">
        <f>E125*E124</f>
        <v>0</v>
      </c>
      <c r="F122" s="1384"/>
      <c r="G122" s="1109">
        <f>D$12</f>
        <v>2028</v>
      </c>
      <c r="H122" s="1109">
        <f>E$12</f>
        <v>2029</v>
      </c>
      <c r="I122" s="1250"/>
      <c r="K122" s="1050"/>
      <c r="L122" s="411"/>
      <c r="M122" s="411"/>
      <c r="N122" s="411"/>
      <c r="O122" s="411"/>
      <c r="P122" s="411"/>
      <c r="Q122" s="411"/>
      <c r="R122" s="411"/>
      <c r="S122" s="411"/>
      <c r="T122" s="1051"/>
    </row>
    <row r="123" spans="1:20" ht="12" customHeight="1" x14ac:dyDescent="0.2">
      <c r="B123" s="364" t="s">
        <v>770</v>
      </c>
      <c r="C123" s="892">
        <v>0</v>
      </c>
      <c r="D123" s="892">
        <f t="shared" ref="D123:E125" si="8">C123*(1+G123)</f>
        <v>0</v>
      </c>
      <c r="E123" s="1193">
        <f t="shared" si="8"/>
        <v>0</v>
      </c>
      <c r="F123" s="1269" t="s">
        <v>678</v>
      </c>
      <c r="G123" s="1190">
        <v>0.03</v>
      </c>
      <c r="H123" s="1190">
        <f>G123</f>
        <v>0.03</v>
      </c>
      <c r="I123" s="1249"/>
      <c r="K123" s="1041"/>
      <c r="L123" s="1042"/>
      <c r="M123" s="1042"/>
      <c r="N123" s="1042"/>
      <c r="O123" s="1042"/>
      <c r="P123" s="1042"/>
      <c r="Q123" s="1042"/>
      <c r="R123" s="1042"/>
      <c r="S123" s="1042"/>
      <c r="T123" s="1049"/>
    </row>
    <row r="124" spans="1:20" ht="12" customHeight="1" x14ac:dyDescent="0.2">
      <c r="B124" s="364" t="s">
        <v>396</v>
      </c>
      <c r="C124" s="893">
        <v>0</v>
      </c>
      <c r="D124" s="893">
        <f>C124*12/C$13+G124*C124*12/C$13</f>
        <v>0</v>
      </c>
      <c r="E124" s="1194">
        <f t="shared" si="8"/>
        <v>0</v>
      </c>
      <c r="F124" s="1269" t="s">
        <v>679</v>
      </c>
      <c r="G124" s="1190">
        <v>0</v>
      </c>
      <c r="H124" s="1190">
        <f>G124</f>
        <v>0</v>
      </c>
      <c r="I124" s="1249"/>
      <c r="K124" s="701"/>
      <c r="L124" s="751"/>
      <c r="M124" s="751"/>
      <c r="N124" s="751"/>
      <c r="O124" s="751"/>
      <c r="P124" s="751"/>
      <c r="Q124" s="751"/>
      <c r="R124" s="751"/>
      <c r="S124" s="751"/>
      <c r="T124" s="1020"/>
    </row>
    <row r="125" spans="1:20" ht="12" customHeight="1" x14ac:dyDescent="0.2">
      <c r="B125" s="364" t="s">
        <v>771</v>
      </c>
      <c r="C125" s="892">
        <v>0</v>
      </c>
      <c r="D125" s="892">
        <f t="shared" si="8"/>
        <v>0</v>
      </c>
      <c r="E125" s="1193">
        <f t="shared" si="8"/>
        <v>0</v>
      </c>
      <c r="F125" s="1269" t="s">
        <v>680</v>
      </c>
      <c r="G125" s="1190">
        <v>0.03</v>
      </c>
      <c r="H125" s="1190">
        <f>G125</f>
        <v>0.03</v>
      </c>
      <c r="I125" s="1249"/>
      <c r="K125" s="701"/>
      <c r="L125" s="751"/>
      <c r="M125" s="751"/>
      <c r="N125" s="751"/>
      <c r="O125" s="751"/>
      <c r="P125" s="751"/>
      <c r="Q125" s="751"/>
      <c r="R125" s="751"/>
      <c r="S125" s="751"/>
      <c r="T125" s="1020"/>
    </row>
    <row r="126" spans="1:20" ht="12" customHeight="1" x14ac:dyDescent="0.2">
      <c r="B126" s="364" t="s">
        <v>397</v>
      </c>
      <c r="C126" s="775">
        <f>IF(C125=0,0,(C125-C123)/C125)</f>
        <v>0</v>
      </c>
      <c r="D126" s="775">
        <f>IF(D125=0,0,(D125-D123)/D125)</f>
        <v>0</v>
      </c>
      <c r="E126" s="1122">
        <f>IF(E125=0,0,(E125-E123)/E125)</f>
        <v>0</v>
      </c>
      <c r="F126" s="1209"/>
      <c r="G126" s="912"/>
      <c r="H126" s="912"/>
      <c r="I126" s="1238"/>
      <c r="K126" s="701"/>
      <c r="L126" s="751"/>
      <c r="M126" s="751"/>
      <c r="N126" s="751"/>
      <c r="O126" s="751"/>
      <c r="P126" s="751"/>
      <c r="Q126" s="751"/>
      <c r="R126" s="751"/>
      <c r="S126" s="751"/>
      <c r="T126" s="1020"/>
    </row>
    <row r="127" spans="1:20" ht="4.1500000000000004" customHeight="1" x14ac:dyDescent="0.2">
      <c r="B127" s="1134"/>
      <c r="C127" s="1208"/>
      <c r="D127" s="1208"/>
      <c r="E127" s="1208"/>
      <c r="F127" s="1269"/>
      <c r="G127" s="339"/>
      <c r="H127" s="339"/>
      <c r="I127" s="1252"/>
      <c r="K127" s="1050"/>
      <c r="L127" s="411"/>
      <c r="M127" s="411"/>
      <c r="N127" s="411"/>
      <c r="O127" s="411"/>
      <c r="P127" s="411"/>
      <c r="Q127" s="411"/>
      <c r="R127" s="411"/>
      <c r="S127" s="411"/>
      <c r="T127" s="1051"/>
    </row>
    <row r="128" spans="1:20" ht="12" customHeight="1" x14ac:dyDescent="0.2">
      <c r="B128" s="890">
        <v>0</v>
      </c>
      <c r="C128" s="891">
        <v>0.255</v>
      </c>
      <c r="D128" s="891">
        <f>C128</f>
        <v>0.255</v>
      </c>
      <c r="E128" s="1195">
        <f>D128</f>
        <v>0.255</v>
      </c>
      <c r="F128" s="1209"/>
      <c r="G128" s="912"/>
      <c r="H128" s="912"/>
      <c r="I128" s="1238"/>
      <c r="K128" s="701"/>
      <c r="L128" s="751"/>
      <c r="M128" s="751"/>
      <c r="N128" s="751"/>
      <c r="O128" s="751"/>
      <c r="P128" s="751"/>
      <c r="Q128" s="751"/>
      <c r="R128" s="751"/>
      <c r="S128" s="751"/>
      <c r="T128" s="1020"/>
    </row>
    <row r="129" spans="2:20" ht="12" customHeight="1" x14ac:dyDescent="0.2">
      <c r="B129" s="833" t="s">
        <v>337</v>
      </c>
      <c r="C129" s="780">
        <f>C132*C131</f>
        <v>0</v>
      </c>
      <c r="D129" s="780">
        <f>D132*D131</f>
        <v>0</v>
      </c>
      <c r="E129" s="1192">
        <f>E132*E131</f>
        <v>0</v>
      </c>
      <c r="F129" s="1384"/>
      <c r="G129" s="1109">
        <f>D$12</f>
        <v>2028</v>
      </c>
      <c r="H129" s="1109">
        <f>E$12</f>
        <v>2029</v>
      </c>
      <c r="I129" s="1250"/>
      <c r="K129" s="1029"/>
      <c r="L129" s="412"/>
      <c r="M129" s="412"/>
      <c r="N129" s="412"/>
      <c r="O129" s="412"/>
      <c r="P129" s="412"/>
      <c r="Q129" s="412"/>
      <c r="R129" s="412"/>
      <c r="S129" s="412"/>
      <c r="T129" s="1022"/>
    </row>
    <row r="130" spans="2:20" ht="12" customHeight="1" x14ac:dyDescent="0.2">
      <c r="B130" s="364" t="s">
        <v>770</v>
      </c>
      <c r="C130" s="892">
        <v>0</v>
      </c>
      <c r="D130" s="892">
        <f t="shared" ref="D130:E132" si="9">C130*(1+G130)</f>
        <v>0</v>
      </c>
      <c r="E130" s="1193">
        <f t="shared" si="9"/>
        <v>0</v>
      </c>
      <c r="F130" s="1269" t="s">
        <v>678</v>
      </c>
      <c r="G130" s="1190">
        <v>0.03</v>
      </c>
      <c r="H130" s="1190">
        <f>G130</f>
        <v>0.03</v>
      </c>
      <c r="I130" s="1249"/>
      <c r="K130" s="701"/>
      <c r="L130" s="751"/>
      <c r="M130" s="751"/>
      <c r="N130" s="751"/>
      <c r="O130" s="751"/>
      <c r="P130" s="751"/>
      <c r="Q130" s="751"/>
      <c r="R130" s="751"/>
      <c r="S130" s="751"/>
      <c r="T130" s="1020"/>
    </row>
    <row r="131" spans="2:20" ht="12" customHeight="1" x14ac:dyDescent="0.2">
      <c r="B131" s="364" t="s">
        <v>396</v>
      </c>
      <c r="C131" s="893">
        <v>0</v>
      </c>
      <c r="D131" s="893">
        <f>C131*12/C$13+G131*C131*12/C$13</f>
        <v>0</v>
      </c>
      <c r="E131" s="1194">
        <f t="shared" si="9"/>
        <v>0</v>
      </c>
      <c r="F131" s="1269" t="s">
        <v>679</v>
      </c>
      <c r="G131" s="1190">
        <v>0</v>
      </c>
      <c r="H131" s="1190">
        <f>G131</f>
        <v>0</v>
      </c>
      <c r="I131" s="1249"/>
      <c r="K131" s="701"/>
      <c r="L131" s="751"/>
      <c r="M131" s="751"/>
      <c r="N131" s="751"/>
      <c r="O131" s="751"/>
      <c r="P131" s="751"/>
      <c r="Q131" s="751"/>
      <c r="R131" s="751"/>
      <c r="S131" s="751"/>
      <c r="T131" s="1020"/>
    </row>
    <row r="132" spans="2:20" ht="12" customHeight="1" x14ac:dyDescent="0.2">
      <c r="B132" s="364" t="s">
        <v>771</v>
      </c>
      <c r="C132" s="892">
        <v>0</v>
      </c>
      <c r="D132" s="892">
        <f t="shared" si="9"/>
        <v>0</v>
      </c>
      <c r="E132" s="1193">
        <f t="shared" si="9"/>
        <v>0</v>
      </c>
      <c r="F132" s="1269" t="s">
        <v>680</v>
      </c>
      <c r="G132" s="1190">
        <v>0.03</v>
      </c>
      <c r="H132" s="1190">
        <f>G132</f>
        <v>0.03</v>
      </c>
      <c r="I132" s="1249"/>
      <c r="K132" s="701"/>
      <c r="L132" s="751"/>
      <c r="M132" s="751"/>
      <c r="N132" s="751"/>
      <c r="O132" s="751"/>
      <c r="P132" s="751"/>
      <c r="Q132" s="751"/>
      <c r="R132" s="751"/>
      <c r="S132" s="751"/>
      <c r="T132" s="1020"/>
    </row>
    <row r="133" spans="2:20" ht="12" customHeight="1" x14ac:dyDescent="0.2">
      <c r="B133" s="364" t="s">
        <v>397</v>
      </c>
      <c r="C133" s="775">
        <f>IF(C132=0,0,(C132-C130)/C132)</f>
        <v>0</v>
      </c>
      <c r="D133" s="775">
        <f>IF(D132=0,0,(D132-D130)/D132)</f>
        <v>0</v>
      </c>
      <c r="E133" s="1122">
        <f>IF(E132=0,0,(E132-E130)/E132)</f>
        <v>0</v>
      </c>
      <c r="F133" s="1209"/>
      <c r="G133" s="912"/>
      <c r="H133" s="912"/>
      <c r="I133" s="1238"/>
      <c r="K133" s="1041"/>
      <c r="L133" s="1042"/>
      <c r="M133" s="1042"/>
      <c r="N133" s="1042"/>
      <c r="O133" s="1042"/>
      <c r="P133" s="751"/>
      <c r="Q133" s="751"/>
      <c r="R133" s="751"/>
      <c r="S133" s="751"/>
      <c r="T133" s="1020"/>
    </row>
    <row r="134" spans="2:20" ht="4.1500000000000004" customHeight="1" x14ac:dyDescent="0.2">
      <c r="B134" s="1134"/>
      <c r="C134" s="1208"/>
      <c r="D134" s="1208"/>
      <c r="E134" s="1208"/>
      <c r="F134" s="1269"/>
      <c r="G134" s="339"/>
      <c r="H134" s="339"/>
      <c r="I134" s="1252"/>
      <c r="K134" s="1050"/>
      <c r="L134" s="411"/>
      <c r="M134" s="411"/>
      <c r="N134" s="411"/>
      <c r="O134" s="411"/>
      <c r="P134" s="411"/>
      <c r="Q134" s="411"/>
      <c r="R134" s="411"/>
      <c r="S134" s="411"/>
      <c r="T134" s="1051"/>
    </row>
    <row r="135" spans="2:20" ht="12" customHeight="1" x14ac:dyDescent="0.2">
      <c r="B135" s="890">
        <v>0</v>
      </c>
      <c r="C135" s="891">
        <v>0.255</v>
      </c>
      <c r="D135" s="891">
        <f>C135</f>
        <v>0.255</v>
      </c>
      <c r="E135" s="1195">
        <f>D135</f>
        <v>0.255</v>
      </c>
      <c r="F135" s="1209"/>
      <c r="G135" s="912"/>
      <c r="H135" s="912"/>
      <c r="I135" s="1238"/>
      <c r="K135" s="1041"/>
      <c r="L135" s="1042"/>
      <c r="M135" s="1042"/>
      <c r="N135" s="1042"/>
      <c r="O135" s="1042"/>
      <c r="P135" s="751"/>
      <c r="Q135" s="751"/>
      <c r="R135" s="751"/>
      <c r="S135" s="751"/>
      <c r="T135" s="1020"/>
    </row>
    <row r="136" spans="2:20" ht="12" customHeight="1" x14ac:dyDescent="0.2">
      <c r="B136" s="833" t="s">
        <v>337</v>
      </c>
      <c r="C136" s="780">
        <f>C139*C138</f>
        <v>0</v>
      </c>
      <c r="D136" s="780">
        <f>D139*D138</f>
        <v>0</v>
      </c>
      <c r="E136" s="1192">
        <f>E139*E138</f>
        <v>0</v>
      </c>
      <c r="F136" s="1384"/>
      <c r="G136" s="1109">
        <f>D$12</f>
        <v>2028</v>
      </c>
      <c r="H136" s="1109">
        <f>E$12</f>
        <v>2029</v>
      </c>
      <c r="I136" s="1238"/>
      <c r="K136" s="1050"/>
      <c r="L136" s="411"/>
      <c r="M136" s="411"/>
      <c r="N136" s="411"/>
      <c r="O136" s="411"/>
      <c r="P136" s="412"/>
      <c r="Q136" s="412"/>
      <c r="R136" s="412"/>
      <c r="S136" s="412"/>
      <c r="T136" s="1022"/>
    </row>
    <row r="137" spans="2:20" ht="12" customHeight="1" x14ac:dyDescent="0.2">
      <c r="B137" s="364" t="s">
        <v>770</v>
      </c>
      <c r="C137" s="1196">
        <v>0</v>
      </c>
      <c r="D137" s="892">
        <f t="shared" ref="D137:E139" si="10">C137*(1+G137)</f>
        <v>0</v>
      </c>
      <c r="E137" s="1193">
        <f t="shared" si="10"/>
        <v>0</v>
      </c>
      <c r="F137" s="1269" t="s">
        <v>678</v>
      </c>
      <c r="G137" s="1190">
        <v>0.03</v>
      </c>
      <c r="H137" s="1190">
        <f>G137</f>
        <v>0.03</v>
      </c>
      <c r="I137" s="1238"/>
      <c r="K137" s="1041"/>
      <c r="L137" s="1042"/>
      <c r="M137" s="1042"/>
      <c r="N137" s="1042"/>
      <c r="O137" s="1042"/>
      <c r="P137" s="751"/>
      <c r="Q137" s="751"/>
      <c r="R137" s="751"/>
      <c r="S137" s="751"/>
      <c r="T137" s="1020"/>
    </row>
    <row r="138" spans="2:20" ht="12" customHeight="1" x14ac:dyDescent="0.2">
      <c r="B138" s="364" t="s">
        <v>396</v>
      </c>
      <c r="C138" s="1197">
        <v>0</v>
      </c>
      <c r="D138" s="893">
        <f>C138*12/C$13+G138*C138*12/C$13</f>
        <v>0</v>
      </c>
      <c r="E138" s="1194">
        <f t="shared" si="10"/>
        <v>0</v>
      </c>
      <c r="F138" s="1269" t="s">
        <v>679</v>
      </c>
      <c r="G138" s="1190">
        <v>0</v>
      </c>
      <c r="H138" s="1190">
        <f>G138</f>
        <v>0</v>
      </c>
      <c r="I138" s="1238"/>
      <c r="K138" s="1041"/>
      <c r="L138" s="1042"/>
      <c r="M138" s="1042"/>
      <c r="N138" s="1042"/>
      <c r="O138" s="1042"/>
      <c r="P138" s="751"/>
      <c r="Q138" s="751"/>
      <c r="R138" s="751"/>
      <c r="S138" s="751"/>
      <c r="T138" s="1020"/>
    </row>
    <row r="139" spans="2:20" ht="12" customHeight="1" x14ac:dyDescent="0.2">
      <c r="B139" s="364" t="s">
        <v>771</v>
      </c>
      <c r="C139" s="1196">
        <v>0</v>
      </c>
      <c r="D139" s="892">
        <f t="shared" si="10"/>
        <v>0</v>
      </c>
      <c r="E139" s="1193">
        <f t="shared" si="10"/>
        <v>0</v>
      </c>
      <c r="F139" s="1269" t="s">
        <v>680</v>
      </c>
      <c r="G139" s="1190">
        <v>0.03</v>
      </c>
      <c r="H139" s="1190">
        <f>G139</f>
        <v>0.03</v>
      </c>
      <c r="I139" s="1238"/>
      <c r="K139" s="1041"/>
      <c r="L139" s="1042"/>
      <c r="M139" s="1042"/>
      <c r="N139" s="1042"/>
      <c r="O139" s="1042"/>
      <c r="P139" s="751"/>
      <c r="Q139" s="751"/>
      <c r="R139" s="751"/>
      <c r="S139" s="751"/>
      <c r="T139" s="1020"/>
    </row>
    <row r="140" spans="2:20" ht="12" customHeight="1" x14ac:dyDescent="0.2">
      <c r="B140" s="364" t="s">
        <v>397</v>
      </c>
      <c r="C140" s="775">
        <f>IF(C139=0,0,(C139-C137)/C139)</f>
        <v>0</v>
      </c>
      <c r="D140" s="775">
        <f>IF(D139=0,0,(D139-D137)/D139)</f>
        <v>0</v>
      </c>
      <c r="E140" s="1122">
        <f>IF(E139=0,0,(E139-E137)/E139)</f>
        <v>0</v>
      </c>
      <c r="F140" s="1209" t="s">
        <v>0</v>
      </c>
      <c r="G140" s="912"/>
      <c r="H140" s="912"/>
      <c r="I140" s="1238"/>
      <c r="K140" s="1041"/>
      <c r="L140" s="1042"/>
      <c r="M140" s="1042"/>
      <c r="N140" s="1042"/>
      <c r="O140" s="1042"/>
      <c r="P140" s="751"/>
      <c r="Q140" s="751"/>
      <c r="R140" s="751"/>
      <c r="S140" s="751"/>
      <c r="T140" s="1020"/>
    </row>
    <row r="141" spans="2:20" ht="4.1500000000000004" customHeight="1" x14ac:dyDescent="0.2">
      <c r="B141" s="1134"/>
      <c r="C141" s="1208"/>
      <c r="D141" s="1208"/>
      <c r="E141" s="1208"/>
      <c r="F141" s="1269"/>
      <c r="G141" s="339"/>
      <c r="H141" s="339"/>
      <c r="I141" s="1252"/>
      <c r="K141" s="1050"/>
      <c r="L141" s="411"/>
      <c r="M141" s="411"/>
      <c r="N141" s="411"/>
      <c r="O141" s="411"/>
      <c r="P141" s="411"/>
      <c r="Q141" s="411"/>
      <c r="R141" s="411"/>
      <c r="S141" s="411"/>
      <c r="T141" s="1051"/>
    </row>
    <row r="142" spans="2:20" ht="12" customHeight="1" x14ac:dyDescent="0.2">
      <c r="B142" s="890">
        <v>0</v>
      </c>
      <c r="C142" s="891">
        <v>0.255</v>
      </c>
      <c r="D142" s="891">
        <f>C142</f>
        <v>0.255</v>
      </c>
      <c r="E142" s="1195">
        <f>D142</f>
        <v>0.255</v>
      </c>
      <c r="F142" s="1209"/>
      <c r="G142" s="912"/>
      <c r="H142" s="912"/>
      <c r="I142" s="1238"/>
      <c r="K142" s="1041"/>
      <c r="L142" s="1042"/>
      <c r="M142" s="1042"/>
      <c r="N142" s="1042"/>
      <c r="O142" s="1042"/>
      <c r="P142" s="751"/>
      <c r="Q142" s="751"/>
      <c r="R142" s="751"/>
      <c r="S142" s="751"/>
      <c r="T142" s="1020"/>
    </row>
    <row r="143" spans="2:20" ht="12" customHeight="1" x14ac:dyDescent="0.2">
      <c r="B143" s="833" t="s">
        <v>337</v>
      </c>
      <c r="C143" s="780">
        <f>C146*C145</f>
        <v>0</v>
      </c>
      <c r="D143" s="780">
        <f>D146*D145</f>
        <v>0</v>
      </c>
      <c r="E143" s="1192">
        <f>E146*E145</f>
        <v>0</v>
      </c>
      <c r="F143" s="1384"/>
      <c r="G143" s="1109">
        <f>D$12</f>
        <v>2028</v>
      </c>
      <c r="H143" s="1109">
        <f>E$12</f>
        <v>2029</v>
      </c>
      <c r="I143" s="1251"/>
      <c r="K143" s="701"/>
      <c r="L143" s="751"/>
      <c r="M143" s="751"/>
      <c r="N143" s="751"/>
      <c r="O143" s="751"/>
      <c r="P143" s="751"/>
      <c r="Q143" s="751"/>
      <c r="R143" s="751"/>
      <c r="S143" s="751"/>
      <c r="T143" s="1020"/>
    </row>
    <row r="144" spans="2:20" ht="12" customHeight="1" x14ac:dyDescent="0.2">
      <c r="B144" s="364" t="s">
        <v>770</v>
      </c>
      <c r="C144" s="892">
        <v>0</v>
      </c>
      <c r="D144" s="892">
        <f t="shared" ref="D144:E146" si="11">C144*(1+G144)</f>
        <v>0</v>
      </c>
      <c r="E144" s="1193">
        <f t="shared" si="11"/>
        <v>0</v>
      </c>
      <c r="F144" s="1269" t="s">
        <v>678</v>
      </c>
      <c r="G144" s="1190">
        <v>0.03</v>
      </c>
      <c r="H144" s="1190">
        <f>G144</f>
        <v>0.03</v>
      </c>
      <c r="I144" s="1251"/>
      <c r="K144" s="701"/>
      <c r="L144" s="751"/>
      <c r="M144" s="751"/>
      <c r="N144" s="751"/>
      <c r="O144" s="751"/>
      <c r="P144" s="751"/>
      <c r="Q144" s="751"/>
      <c r="R144" s="751"/>
      <c r="S144" s="751"/>
      <c r="T144" s="1020"/>
    </row>
    <row r="145" spans="2:20" ht="12" customHeight="1" x14ac:dyDescent="0.2">
      <c r="B145" s="364" t="s">
        <v>396</v>
      </c>
      <c r="C145" s="893">
        <v>0</v>
      </c>
      <c r="D145" s="893">
        <f>C145*12/C$13+G145*C145*12/C$13</f>
        <v>0</v>
      </c>
      <c r="E145" s="1194">
        <f t="shared" si="11"/>
        <v>0</v>
      </c>
      <c r="F145" s="1269" t="s">
        <v>679</v>
      </c>
      <c r="G145" s="1190">
        <v>0</v>
      </c>
      <c r="H145" s="1190">
        <f>G145</f>
        <v>0</v>
      </c>
      <c r="I145" s="1251"/>
      <c r="K145" s="701"/>
      <c r="L145" s="751"/>
      <c r="M145" s="751"/>
      <c r="N145" s="751"/>
      <c r="O145" s="751"/>
      <c r="P145" s="751"/>
      <c r="Q145" s="751"/>
      <c r="R145" s="751"/>
      <c r="S145" s="751"/>
      <c r="T145" s="1020"/>
    </row>
    <row r="146" spans="2:20" ht="12" customHeight="1" x14ac:dyDescent="0.2">
      <c r="B146" s="364" t="s">
        <v>771</v>
      </c>
      <c r="C146" s="892">
        <v>0</v>
      </c>
      <c r="D146" s="892">
        <f t="shared" si="11"/>
        <v>0</v>
      </c>
      <c r="E146" s="1193">
        <f t="shared" si="11"/>
        <v>0</v>
      </c>
      <c r="F146" s="1269" t="s">
        <v>680</v>
      </c>
      <c r="G146" s="1190">
        <v>0.03</v>
      </c>
      <c r="H146" s="1190">
        <f>G146</f>
        <v>0.03</v>
      </c>
      <c r="I146" s="1251"/>
      <c r="K146" s="701"/>
      <c r="L146" s="751"/>
      <c r="M146" s="751"/>
      <c r="N146" s="751"/>
      <c r="O146" s="751"/>
      <c r="P146" s="751"/>
      <c r="Q146" s="751"/>
      <c r="R146" s="751"/>
      <c r="S146" s="751"/>
      <c r="T146" s="1020"/>
    </row>
    <row r="147" spans="2:20" ht="12" customHeight="1" x14ac:dyDescent="0.2">
      <c r="B147" s="364" t="s">
        <v>397</v>
      </c>
      <c r="C147" s="775">
        <f>IF(C146=0,0,(C146-C144)/C146)</f>
        <v>0</v>
      </c>
      <c r="D147" s="775">
        <f>IF(D146=0,0,(D146-D144)/D146)</f>
        <v>0</v>
      </c>
      <c r="E147" s="1122">
        <f>IF(E146=0,0,(E146-E144)/E146)</f>
        <v>0</v>
      </c>
      <c r="F147" s="1209"/>
      <c r="G147" s="912"/>
      <c r="H147" s="912"/>
      <c r="I147" s="1238"/>
      <c r="K147" s="1041"/>
      <c r="L147" s="1042"/>
      <c r="M147" s="1042"/>
      <c r="N147" s="1042"/>
      <c r="O147" s="1042"/>
      <c r="P147" s="751"/>
      <c r="Q147" s="751"/>
      <c r="R147" s="751"/>
      <c r="S147" s="751"/>
      <c r="T147" s="1020"/>
    </row>
    <row r="148" spans="2:20" ht="4.1500000000000004" customHeight="1" x14ac:dyDescent="0.2">
      <c r="B148" s="1134"/>
      <c r="C148" s="1208"/>
      <c r="D148" s="1208"/>
      <c r="E148" s="1208"/>
      <c r="F148" s="1269"/>
      <c r="G148" s="912"/>
      <c r="H148" s="912"/>
      <c r="I148" s="1238"/>
      <c r="K148" s="1050"/>
      <c r="L148" s="411"/>
      <c r="M148" s="411"/>
      <c r="N148" s="411"/>
      <c r="O148" s="411"/>
      <c r="P148" s="411"/>
      <c r="Q148" s="411"/>
      <c r="R148" s="411"/>
      <c r="S148" s="411"/>
      <c r="T148" s="1051"/>
    </row>
    <row r="149" spans="2:20" x14ac:dyDescent="0.2">
      <c r="B149" s="890">
        <v>0</v>
      </c>
      <c r="C149" s="891">
        <v>0.255</v>
      </c>
      <c r="D149" s="891">
        <f>C149</f>
        <v>0.255</v>
      </c>
      <c r="E149" s="1195">
        <f>D149</f>
        <v>0.255</v>
      </c>
      <c r="F149" s="1209"/>
      <c r="G149" s="912"/>
      <c r="H149" s="912"/>
      <c r="I149" s="1238"/>
      <c r="K149" s="1041"/>
      <c r="L149" s="1042"/>
      <c r="M149" s="1042"/>
      <c r="N149" s="1042"/>
      <c r="O149" s="1042"/>
      <c r="P149" s="751"/>
      <c r="Q149" s="751"/>
      <c r="R149" s="751"/>
      <c r="S149" s="751"/>
      <c r="T149" s="1020"/>
    </row>
    <row r="150" spans="2:20" ht="12" customHeight="1" x14ac:dyDescent="0.2">
      <c r="B150" s="833" t="s">
        <v>337</v>
      </c>
      <c r="C150" s="780">
        <f>C153*C152</f>
        <v>0</v>
      </c>
      <c r="D150" s="780">
        <f>D153*D152</f>
        <v>0</v>
      </c>
      <c r="E150" s="1192">
        <f>E153*E152</f>
        <v>0</v>
      </c>
      <c r="F150" s="1384"/>
      <c r="G150" s="1109">
        <f>D$12</f>
        <v>2028</v>
      </c>
      <c r="H150" s="1109">
        <f>E$12</f>
        <v>2029</v>
      </c>
      <c r="I150" s="1251" t="s">
        <v>754</v>
      </c>
      <c r="K150" s="1041"/>
      <c r="L150" s="1042"/>
      <c r="M150" s="1042"/>
      <c r="N150" s="1042"/>
      <c r="O150" s="1042"/>
      <c r="P150" s="751"/>
      <c r="Q150" s="751"/>
      <c r="R150" s="751"/>
      <c r="S150" s="751"/>
      <c r="T150" s="1020"/>
    </row>
    <row r="151" spans="2:20" ht="12" customHeight="1" x14ac:dyDescent="0.2">
      <c r="B151" s="364" t="s">
        <v>770</v>
      </c>
      <c r="C151" s="892">
        <v>0</v>
      </c>
      <c r="D151" s="892">
        <f t="shared" ref="D151:E153" si="12">C151*(1+G151)</f>
        <v>0</v>
      </c>
      <c r="E151" s="1193">
        <f t="shared" si="12"/>
        <v>0</v>
      </c>
      <c r="F151" s="1269" t="s">
        <v>678</v>
      </c>
      <c r="G151" s="1190">
        <v>0.03</v>
      </c>
      <c r="H151" s="1190">
        <f>G151</f>
        <v>0.03</v>
      </c>
      <c r="I151" s="1251"/>
      <c r="K151" s="1041"/>
      <c r="L151" s="1042"/>
      <c r="M151" s="1042"/>
      <c r="N151" s="1042"/>
      <c r="O151" s="1042"/>
      <c r="P151" s="751"/>
      <c r="Q151" s="751"/>
      <c r="R151" s="751"/>
      <c r="S151" s="751"/>
      <c r="T151" s="1020"/>
    </row>
    <row r="152" spans="2:20" ht="12" customHeight="1" x14ac:dyDescent="0.2">
      <c r="B152" s="364" t="s">
        <v>396</v>
      </c>
      <c r="C152" s="893">
        <v>0</v>
      </c>
      <c r="D152" s="893">
        <f>C152*12/C$13+G152*C152*12/C$13</f>
        <v>0</v>
      </c>
      <c r="E152" s="1194">
        <f t="shared" si="12"/>
        <v>0</v>
      </c>
      <c r="F152" s="1269" t="s">
        <v>679</v>
      </c>
      <c r="G152" s="1190">
        <v>0</v>
      </c>
      <c r="H152" s="1190">
        <f>G152</f>
        <v>0</v>
      </c>
      <c r="I152" s="1251"/>
      <c r="K152" s="1041"/>
      <c r="L152" s="1042"/>
      <c r="M152" s="1042"/>
      <c r="N152" s="1042"/>
      <c r="O152" s="1042"/>
      <c r="P152" s="751"/>
      <c r="Q152" s="751"/>
      <c r="R152" s="751"/>
      <c r="S152" s="751"/>
      <c r="T152" s="1020"/>
    </row>
    <row r="153" spans="2:20" ht="12" customHeight="1" x14ac:dyDescent="0.2">
      <c r="B153" s="364" t="s">
        <v>771</v>
      </c>
      <c r="C153" s="892">
        <v>0</v>
      </c>
      <c r="D153" s="892">
        <f t="shared" si="12"/>
        <v>0</v>
      </c>
      <c r="E153" s="1193">
        <f t="shared" si="12"/>
        <v>0</v>
      </c>
      <c r="F153" s="1269" t="s">
        <v>680</v>
      </c>
      <c r="G153" s="1190">
        <v>0.03</v>
      </c>
      <c r="H153" s="1190">
        <f>G153</f>
        <v>0.03</v>
      </c>
      <c r="I153" s="1251"/>
      <c r="K153" s="1041"/>
      <c r="L153" s="1042"/>
      <c r="M153" s="1042"/>
      <c r="N153" s="1042"/>
      <c r="O153" s="1042"/>
      <c r="P153" s="751"/>
      <c r="Q153" s="751"/>
      <c r="R153" s="751"/>
      <c r="S153" s="751"/>
      <c r="T153" s="1020"/>
    </row>
    <row r="154" spans="2:20" ht="12" customHeight="1" x14ac:dyDescent="0.2">
      <c r="B154" s="364" t="s">
        <v>397</v>
      </c>
      <c r="C154" s="775">
        <f>IF(C153=0,0,(C153-C151)/C153)</f>
        <v>0</v>
      </c>
      <c r="D154" s="775">
        <f>IF(D153=0,0,(D153-D151)/D153)</f>
        <v>0</v>
      </c>
      <c r="E154" s="1122">
        <f>IF(E153=0,0,(E153-E151)/E153)</f>
        <v>0</v>
      </c>
      <c r="F154" s="1273"/>
      <c r="G154" s="1245"/>
      <c r="H154" s="1245"/>
      <c r="I154" s="1246"/>
      <c r="K154" s="1053"/>
      <c r="L154" s="1054"/>
      <c r="M154" s="1054"/>
      <c r="N154" s="1054"/>
      <c r="O154" s="1054"/>
      <c r="P154" s="1014"/>
      <c r="Q154" s="1014"/>
      <c r="R154" s="1014"/>
      <c r="S154" s="1014"/>
      <c r="T154" s="1023"/>
    </row>
    <row r="155" spans="2:20" ht="4.1500000000000004" customHeight="1" x14ac:dyDescent="0.2">
      <c r="B155" s="362"/>
      <c r="C155" s="777"/>
      <c r="D155" s="777"/>
      <c r="E155" s="777"/>
      <c r="F155" s="361"/>
      <c r="G155" s="362"/>
      <c r="H155" s="365"/>
      <c r="I155" s="365"/>
      <c r="K155" s="411"/>
      <c r="L155" s="411"/>
      <c r="M155" s="411"/>
      <c r="N155" s="411"/>
      <c r="O155" s="411"/>
      <c r="P155" s="411"/>
      <c r="Q155" s="411"/>
      <c r="R155" s="411"/>
      <c r="S155" s="411"/>
      <c r="T155" s="411"/>
    </row>
    <row r="156" spans="2:20" ht="12.75" customHeight="1" x14ac:dyDescent="0.2">
      <c r="B156" s="1115" t="s">
        <v>789</v>
      </c>
      <c r="C156" s="1116">
        <f>C85*(1+C84)+C90*(1+C89)+C95*(1+C94)+C100*(1+C99)+C105*(1+C104)+C110*(1+C109)+C115*(1+C114)+C122*(1+C121)+C129*(1+C128)+C136*(1+C135)+C143*(1+C142)+C150*(1+C149)+C75</f>
        <v>0</v>
      </c>
      <c r="D156" s="1116">
        <f>D85*(1+D84)+D90*(1+D89)+D95*(1+D94)+D100*(1+D99)+D105*(1+D104)+D110*(1+D109)+D115*(1+D114)+D122*(1+D121)+D129*(1+D128)+D136*(1+D135)+D143*(1+D142)+D150*(1+D149)+D75</f>
        <v>0</v>
      </c>
      <c r="E156" s="1116">
        <f>E85*(1+E84)+E90*(1+E89)+E95*(1+E94)+E100*(1+E99)+E105*(1+E104)+E110*(1+E109)+E115*(1+E114)+E122*(1+E121)+E129*(1+E128)+E136*(1+E135)+E143*(1+E142)+E150*(1+E149)+E75</f>
        <v>0</v>
      </c>
      <c r="F156" s="361"/>
      <c r="G156" s="362"/>
      <c r="H156" s="365"/>
      <c r="I156" s="365"/>
      <c r="K156" s="411"/>
      <c r="L156" s="411"/>
      <c r="M156" s="411"/>
      <c r="N156" s="411"/>
      <c r="O156" s="411"/>
      <c r="P156" s="412"/>
      <c r="Q156" s="412"/>
      <c r="R156" s="412"/>
      <c r="S156" s="412"/>
      <c r="T156" s="412"/>
    </row>
    <row r="157" spans="2:20" x14ac:dyDescent="0.2">
      <c r="B157" s="1117" t="s">
        <v>790</v>
      </c>
      <c r="C157" s="1116">
        <f>C85+C90+C95+C100+C105+C110+C115+C122+C129+C136+C143+C150+C76</f>
        <v>0</v>
      </c>
      <c r="D157" s="1116">
        <f>D85+D90+D95+D100+D105+D110+D115+D122+D129+D136+D143+D150+D76</f>
        <v>0</v>
      </c>
      <c r="E157" s="1116">
        <f>E85+E90+E95+E100+E105+E110+E115+E122+E129+E136+E143+E150+E76</f>
        <v>0</v>
      </c>
      <c r="F157" s="361"/>
      <c r="G157" s="362"/>
      <c r="H157" s="362"/>
      <c r="I157" s="362"/>
      <c r="K157" s="162"/>
      <c r="L157" s="162"/>
      <c r="M157" s="162"/>
      <c r="N157" s="162"/>
      <c r="O157" s="162"/>
      <c r="P157" s="162"/>
      <c r="Q157" s="162"/>
      <c r="R157" s="162"/>
      <c r="S157" s="162"/>
      <c r="T157" s="162"/>
    </row>
    <row r="158" spans="2:20" x14ac:dyDescent="0.2">
      <c r="B158" s="1198" t="s">
        <v>791</v>
      </c>
      <c r="C158" s="1199">
        <f>C115*(1-C119)+C122*(1-C126)+C129*(1-C133)+C136*(1-C140)+C143*(1-C147)+C150*(1-C154)+C77</f>
        <v>0</v>
      </c>
      <c r="D158" s="1199">
        <f>D115*(1-D119)+D122*(1-D126)+D129*(1-D133)+D136*(1-D140)+D143*(1-D147)+D150*(1-D154)+D77</f>
        <v>0</v>
      </c>
      <c r="E158" s="1199">
        <f>E115*(1-E119)+E122*(1-E126)+E129*(1-E133)+E136*(1-E140)+E143*(1-E147)+E150*(1-E154)+E77</f>
        <v>0</v>
      </c>
      <c r="F158" s="361"/>
      <c r="G158" s="362"/>
      <c r="H158" s="362"/>
      <c r="I158" s="362"/>
      <c r="K158" s="162"/>
      <c r="L158" s="162"/>
      <c r="M158" s="162"/>
      <c r="N158" s="162"/>
      <c r="O158" s="162"/>
      <c r="P158" s="162"/>
      <c r="Q158" s="162"/>
      <c r="R158" s="162"/>
      <c r="S158" s="162"/>
      <c r="T158" s="162"/>
    </row>
    <row r="159" spans="2:20" x14ac:dyDescent="0.2">
      <c r="B159" s="1117" t="s">
        <v>792</v>
      </c>
      <c r="C159" s="1116">
        <f>C151*C152+C151*C152*C149+C144*C145+C144*C145*C142+C137*C138+C137*C138*C135+C130*C131+C130*C131*C128+C123*C124+C123*C124*C121+C116*C117+C116*C117*C114+C78</f>
        <v>0</v>
      </c>
      <c r="D159" s="1116">
        <f t="shared" ref="D159:E159" si="13">D151*D152+D151*D152*D149+D144*D145+D144*D145*D142+D137*D138+D137*D138*D135+D130*D131+D130*D131*D128+D123*D124+D123*D124*D121+D116*D117+D116*D117*D114+D78</f>
        <v>0</v>
      </c>
      <c r="E159" s="1116">
        <f t="shared" si="13"/>
        <v>0</v>
      </c>
      <c r="F159" s="1274"/>
      <c r="G159" s="19"/>
      <c r="H159" s="19"/>
      <c r="I159" s="19"/>
      <c r="J159" s="19"/>
      <c r="K159" s="19"/>
    </row>
    <row r="160" spans="2:20" ht="3.75" customHeight="1" x14ac:dyDescent="0.2">
      <c r="C160" s="95"/>
      <c r="D160" s="95"/>
      <c r="E160" s="95"/>
      <c r="G160" s="162"/>
      <c r="H160" s="162"/>
      <c r="I160" s="162"/>
      <c r="K160" s="162"/>
      <c r="L160" s="162"/>
      <c r="M160" s="162"/>
      <c r="N160" s="162"/>
      <c r="O160" s="162"/>
      <c r="P160" s="162"/>
      <c r="Q160" s="162"/>
      <c r="R160" s="162"/>
      <c r="S160" s="162"/>
      <c r="T160" s="162"/>
    </row>
    <row r="161" spans="1:20" x14ac:dyDescent="0.2">
      <c r="B161" s="1806"/>
      <c r="C161" s="1210" t="s">
        <v>313</v>
      </c>
      <c r="D161" s="1210" t="s">
        <v>314</v>
      </c>
      <c r="E161" s="1210" t="s">
        <v>315</v>
      </c>
      <c r="G161" s="162"/>
      <c r="H161" s="19"/>
      <c r="I161" s="19"/>
      <c r="K161" s="162"/>
      <c r="L161" s="162"/>
      <c r="M161" s="162"/>
      <c r="N161" s="162"/>
      <c r="O161" s="162"/>
      <c r="P161" s="162"/>
      <c r="Q161" s="162"/>
      <c r="R161" s="162"/>
      <c r="S161" s="162"/>
      <c r="T161" s="162"/>
    </row>
    <row r="162" spans="1:20" x14ac:dyDescent="0.2">
      <c r="B162" s="1806"/>
      <c r="C162" s="1211">
        <f>C12</f>
        <v>2027</v>
      </c>
      <c r="D162" s="1211">
        <f>D12</f>
        <v>2028</v>
      </c>
      <c r="E162" s="1211">
        <f>E12</f>
        <v>2029</v>
      </c>
      <c r="G162" s="162"/>
      <c r="H162" s="41"/>
      <c r="I162" s="45"/>
      <c r="K162" s="162"/>
      <c r="L162" s="162"/>
      <c r="M162" s="162"/>
      <c r="N162" s="162"/>
      <c r="O162" s="162"/>
      <c r="P162" s="162"/>
      <c r="Q162" s="162"/>
      <c r="R162" s="162"/>
      <c r="S162" s="162"/>
      <c r="T162" s="162"/>
    </row>
    <row r="163" spans="1:20" x14ac:dyDescent="0.2">
      <c r="B163" s="1213" t="str">
        <f>B82</f>
        <v>Räkenskapsperiodens längd</v>
      </c>
      <c r="C163" s="1212">
        <f>C13</f>
        <v>12</v>
      </c>
      <c r="D163" s="1212">
        <f t="shared" ref="D163:E163" si="14">D13</f>
        <v>12</v>
      </c>
      <c r="E163" s="1212">
        <f t="shared" si="14"/>
        <v>12</v>
      </c>
      <c r="K163" s="381"/>
      <c r="L163" s="271"/>
      <c r="M163" s="271"/>
      <c r="N163" s="381"/>
      <c r="O163" s="381"/>
      <c r="P163" s="381"/>
      <c r="Q163" s="381"/>
      <c r="R163" s="381"/>
      <c r="S163" s="381"/>
    </row>
    <row r="164" spans="1:20" ht="4.1500000000000004" customHeight="1" x14ac:dyDescent="0.2">
      <c r="B164" s="1"/>
      <c r="C164" s="122"/>
      <c r="D164" s="122"/>
      <c r="E164" s="122"/>
      <c r="G164" s="162"/>
      <c r="H164" s="94"/>
      <c r="I164" s="148"/>
      <c r="K164" s="162"/>
      <c r="L164" s="162"/>
      <c r="M164" s="162"/>
      <c r="N164" s="162"/>
      <c r="O164" s="162"/>
      <c r="P164" s="162"/>
      <c r="Q164" s="162"/>
      <c r="R164" s="162"/>
      <c r="S164" s="162"/>
      <c r="T164" s="162"/>
    </row>
    <row r="165" spans="1:20" ht="12" customHeight="1" x14ac:dyDescent="0.2">
      <c r="B165" s="890" t="s">
        <v>398</v>
      </c>
      <c r="C165" s="891">
        <v>0.255</v>
      </c>
      <c r="D165" s="891">
        <f>C165</f>
        <v>0.255</v>
      </c>
      <c r="E165" s="1195">
        <f>D165</f>
        <v>0.255</v>
      </c>
      <c r="F165" s="1863">
        <v>0</v>
      </c>
      <c r="G165" s="1864"/>
      <c r="H165" s="1864"/>
      <c r="I165" s="1382"/>
      <c r="K165" s="162"/>
      <c r="L165" s="162"/>
      <c r="M165" s="162"/>
      <c r="N165" s="162"/>
      <c r="O165" s="162"/>
      <c r="P165" s="162"/>
      <c r="Q165" s="162"/>
      <c r="R165" s="162"/>
      <c r="S165" s="162"/>
      <c r="T165" s="162"/>
    </row>
    <row r="166" spans="1:20" ht="12" customHeight="1" x14ac:dyDescent="0.2">
      <c r="A166" s="162"/>
      <c r="B166" s="832" t="s">
        <v>337</v>
      </c>
      <c r="C166" s="780">
        <f>C167*C168</f>
        <v>0</v>
      </c>
      <c r="D166" s="780">
        <f>D167*D168</f>
        <v>0</v>
      </c>
      <c r="E166" s="1192">
        <f>E167*E168</f>
        <v>0</v>
      </c>
      <c r="F166" s="1269"/>
      <c r="G166" s="1109">
        <f>D12</f>
        <v>2028</v>
      </c>
      <c r="H166" s="1109">
        <f>E12</f>
        <v>2029</v>
      </c>
      <c r="I166" s="1383"/>
      <c r="K166" s="1025" t="s">
        <v>310</v>
      </c>
      <c r="L166" s="1055"/>
      <c r="M166" s="1055"/>
      <c r="N166" s="1056"/>
      <c r="O166" s="1056"/>
      <c r="P166" s="1056"/>
      <c r="Q166" s="1056"/>
      <c r="R166" s="1056"/>
      <c r="S166" s="1056"/>
      <c r="T166" s="1057"/>
    </row>
    <row r="167" spans="1:20" ht="12" customHeight="1" x14ac:dyDescent="0.2">
      <c r="B167" s="364" t="s">
        <v>849</v>
      </c>
      <c r="C167" s="892">
        <v>0</v>
      </c>
      <c r="D167" s="892">
        <f>C167*(1+G167)</f>
        <v>0</v>
      </c>
      <c r="E167" s="1193">
        <f>D167*(1+H167)</f>
        <v>0</v>
      </c>
      <c r="F167" s="1269" t="s">
        <v>682</v>
      </c>
      <c r="G167" s="1190">
        <v>0.03</v>
      </c>
      <c r="H167" s="1190">
        <f>G167</f>
        <v>0.03</v>
      </c>
      <c r="I167" s="1249"/>
      <c r="K167" s="1041"/>
      <c r="L167" s="1042"/>
      <c r="M167" s="1042"/>
      <c r="N167" s="1042"/>
      <c r="O167" s="1042"/>
      <c r="P167" s="1042"/>
      <c r="Q167" s="1042"/>
      <c r="R167" s="1042"/>
      <c r="S167" s="1042"/>
      <c r="T167" s="1049"/>
    </row>
    <row r="168" spans="1:20" ht="12" customHeight="1" x14ac:dyDescent="0.2">
      <c r="A168" s="162"/>
      <c r="B168" s="894" t="s">
        <v>850</v>
      </c>
      <c r="C168" s="893">
        <v>0</v>
      </c>
      <c r="D168" s="893">
        <f>C168*12/C$13+G168*C168*12/C$13</f>
        <v>0</v>
      </c>
      <c r="E168" s="1194">
        <f>D168*(1+H168)</f>
        <v>0</v>
      </c>
      <c r="F168" s="1269" t="s">
        <v>681</v>
      </c>
      <c r="G168" s="1190">
        <v>0</v>
      </c>
      <c r="H168" s="1190">
        <f>G168</f>
        <v>0</v>
      </c>
      <c r="I168" s="1249"/>
      <c r="K168" s="1041"/>
      <c r="L168" s="1042"/>
      <c r="M168" s="1042"/>
      <c r="N168" s="1042"/>
      <c r="O168" s="1042"/>
      <c r="P168" s="1042"/>
      <c r="Q168" s="1042"/>
      <c r="R168" s="1042"/>
      <c r="S168" s="1042"/>
      <c r="T168" s="1049"/>
    </row>
    <row r="169" spans="1:20" ht="4.1500000000000004" customHeight="1" x14ac:dyDescent="0.2">
      <c r="A169" s="2"/>
      <c r="B169" s="1134"/>
      <c r="C169" s="1207"/>
      <c r="D169" s="1214"/>
      <c r="E169" s="1214"/>
      <c r="F169" s="1269"/>
      <c r="G169" s="831"/>
      <c r="H169" s="831"/>
      <c r="I169" s="1249"/>
      <c r="K169" s="1050"/>
      <c r="L169" s="411"/>
      <c r="M169" s="411"/>
      <c r="N169" s="411"/>
      <c r="O169" s="411"/>
      <c r="P169" s="411"/>
      <c r="Q169" s="411"/>
      <c r="R169" s="411"/>
      <c r="S169" s="411"/>
      <c r="T169" s="1051"/>
    </row>
    <row r="170" spans="1:20" ht="12" customHeight="1" x14ac:dyDescent="0.2">
      <c r="A170" s="162"/>
      <c r="B170" s="890" t="s">
        <v>399</v>
      </c>
      <c r="C170" s="891">
        <v>0.255</v>
      </c>
      <c r="D170" s="891">
        <f>C170</f>
        <v>0.255</v>
      </c>
      <c r="E170" s="1195">
        <f>D170</f>
        <v>0.255</v>
      </c>
      <c r="F170" s="1209"/>
      <c r="G170" s="912"/>
      <c r="H170" s="912"/>
      <c r="I170" s="1238"/>
      <c r="K170" s="1041"/>
      <c r="L170" s="1042"/>
      <c r="M170" s="1042"/>
      <c r="N170" s="1042"/>
      <c r="O170" s="1042"/>
      <c r="P170" s="1042"/>
      <c r="Q170" s="1042"/>
      <c r="R170" s="1042"/>
      <c r="S170" s="1042"/>
      <c r="T170" s="1049"/>
    </row>
    <row r="171" spans="1:20" ht="12" customHeight="1" x14ac:dyDescent="0.2">
      <c r="B171" s="832" t="s">
        <v>337</v>
      </c>
      <c r="C171" s="780">
        <f>C172*C173</f>
        <v>0</v>
      </c>
      <c r="D171" s="780">
        <f>D172*D173</f>
        <v>0</v>
      </c>
      <c r="E171" s="1192">
        <f>E172*E173</f>
        <v>0</v>
      </c>
      <c r="F171" s="1384"/>
      <c r="G171" s="1109">
        <f>D$12</f>
        <v>2028</v>
      </c>
      <c r="H171" s="1109">
        <f>E$12</f>
        <v>2029</v>
      </c>
      <c r="I171" s="1250"/>
      <c r="K171" s="1041"/>
      <c r="L171" s="1042"/>
      <c r="M171" s="1042"/>
      <c r="N171" s="1042"/>
      <c r="O171" s="1042"/>
      <c r="P171" s="1042"/>
      <c r="Q171" s="1042"/>
      <c r="R171" s="1042"/>
      <c r="S171" s="1042"/>
      <c r="T171" s="1049"/>
    </row>
    <row r="172" spans="1:20" ht="12" customHeight="1" x14ac:dyDescent="0.2">
      <c r="A172" s="162"/>
      <c r="B172" s="364" t="s">
        <v>849</v>
      </c>
      <c r="C172" s="892">
        <v>0</v>
      </c>
      <c r="D172" s="892">
        <f>C172*(1+G172)</f>
        <v>0</v>
      </c>
      <c r="E172" s="1193">
        <f>D172*(1+H172)</f>
        <v>0</v>
      </c>
      <c r="F172" s="1269" t="s">
        <v>682</v>
      </c>
      <c r="G172" s="1190">
        <v>0.03</v>
      </c>
      <c r="H172" s="1190">
        <f>G172</f>
        <v>0.03</v>
      </c>
      <c r="I172" s="1249"/>
      <c r="K172" s="701"/>
      <c r="L172" s="751"/>
      <c r="M172" s="751"/>
      <c r="N172" s="751"/>
      <c r="O172" s="751"/>
      <c r="P172" s="1042"/>
      <c r="Q172" s="1042"/>
      <c r="R172" s="1042"/>
      <c r="S172" s="1042"/>
      <c r="T172" s="1049"/>
    </row>
    <row r="173" spans="1:20" ht="12" customHeight="1" x14ac:dyDescent="0.2">
      <c r="B173" s="894" t="s">
        <v>850</v>
      </c>
      <c r="C173" s="893">
        <v>0</v>
      </c>
      <c r="D173" s="893">
        <f>C173*12/C$13+G173*C173*12/C$13</f>
        <v>0</v>
      </c>
      <c r="E173" s="1194">
        <f>D173*(1+H173)</f>
        <v>0</v>
      </c>
      <c r="F173" s="1269" t="s">
        <v>681</v>
      </c>
      <c r="G173" s="1190">
        <v>0</v>
      </c>
      <c r="H173" s="1190">
        <f>G173</f>
        <v>0</v>
      </c>
      <c r="I173" s="1249"/>
      <c r="K173" s="701"/>
      <c r="L173" s="751"/>
      <c r="M173" s="751"/>
      <c r="N173" s="751"/>
      <c r="O173" s="751"/>
      <c r="P173" s="1042"/>
      <c r="Q173" s="1042"/>
      <c r="R173" s="1042"/>
      <c r="S173" s="1042"/>
      <c r="T173" s="1049"/>
    </row>
    <row r="174" spans="1:20" ht="4.1500000000000004" customHeight="1" x14ac:dyDescent="0.2">
      <c r="A174" s="162"/>
      <c r="B174" s="1134"/>
      <c r="C174" s="1207"/>
      <c r="D174" s="1214"/>
      <c r="E174" s="1214"/>
      <c r="F174" s="1269"/>
      <c r="G174" s="831"/>
      <c r="H174" s="831"/>
      <c r="I174" s="1249"/>
      <c r="K174" s="1029"/>
      <c r="L174" s="412"/>
      <c r="M174" s="412"/>
      <c r="N174" s="412"/>
      <c r="O174" s="412"/>
      <c r="P174" s="411"/>
      <c r="Q174" s="411"/>
      <c r="R174" s="411"/>
      <c r="S174" s="411"/>
      <c r="T174" s="1051"/>
    </row>
    <row r="175" spans="1:20" ht="12" customHeight="1" x14ac:dyDescent="0.2">
      <c r="A175" s="2"/>
      <c r="B175" s="890" t="s">
        <v>400</v>
      </c>
      <c r="C175" s="891">
        <v>0.255</v>
      </c>
      <c r="D175" s="891">
        <f>C175</f>
        <v>0.255</v>
      </c>
      <c r="E175" s="1195">
        <f>D175</f>
        <v>0.255</v>
      </c>
      <c r="F175" s="1209" t="s">
        <v>0</v>
      </c>
      <c r="G175" s="912"/>
      <c r="H175" s="912"/>
      <c r="I175" s="1238"/>
      <c r="K175" s="701"/>
      <c r="L175" s="751"/>
      <c r="M175" s="751"/>
      <c r="N175" s="751"/>
      <c r="O175" s="751"/>
      <c r="P175" s="1042"/>
      <c r="Q175" s="1042"/>
      <c r="R175" s="1042"/>
      <c r="S175" s="1042"/>
      <c r="T175" s="1049"/>
    </row>
    <row r="176" spans="1:20" ht="12" customHeight="1" x14ac:dyDescent="0.2">
      <c r="B176" s="832" t="s">
        <v>337</v>
      </c>
      <c r="C176" s="780">
        <f>C177*C178</f>
        <v>0</v>
      </c>
      <c r="D176" s="780">
        <f>D177*D178</f>
        <v>0</v>
      </c>
      <c r="E176" s="1192">
        <f>E177*E178</f>
        <v>0</v>
      </c>
      <c r="F176" s="1269"/>
      <c r="G176" s="1109">
        <f>D$12</f>
        <v>2028</v>
      </c>
      <c r="H176" s="1109">
        <f>E$12</f>
        <v>2029</v>
      </c>
      <c r="I176" s="1250"/>
      <c r="K176" s="701"/>
      <c r="L176" s="751"/>
      <c r="M176" s="751"/>
      <c r="N176" s="751"/>
      <c r="O176" s="751"/>
      <c r="P176" s="1042"/>
      <c r="Q176" s="1042"/>
      <c r="R176" s="1042"/>
      <c r="S176" s="1042"/>
      <c r="T176" s="1049"/>
    </row>
    <row r="177" spans="1:20" ht="12" customHeight="1" x14ac:dyDescent="0.2">
      <c r="B177" s="364" t="s">
        <v>849</v>
      </c>
      <c r="C177" s="892">
        <v>0</v>
      </c>
      <c r="D177" s="892">
        <f>C177*(1+G177)</f>
        <v>0</v>
      </c>
      <c r="E177" s="1193">
        <f>D177*(1+H177)</f>
        <v>0</v>
      </c>
      <c r="F177" s="1269" t="s">
        <v>682</v>
      </c>
      <c r="G177" s="1190">
        <v>0.03</v>
      </c>
      <c r="H177" s="1190">
        <f>G177</f>
        <v>0.03</v>
      </c>
      <c r="I177" s="1249"/>
      <c r="K177" s="701"/>
      <c r="L177" s="751"/>
      <c r="M177" s="751"/>
      <c r="N177" s="751"/>
      <c r="O177" s="751"/>
      <c r="P177" s="1042"/>
      <c r="Q177" s="1042"/>
      <c r="R177" s="1042"/>
      <c r="S177" s="1042"/>
      <c r="T177" s="1049"/>
    </row>
    <row r="178" spans="1:20" ht="12" customHeight="1" x14ac:dyDescent="0.2">
      <c r="B178" s="894" t="s">
        <v>850</v>
      </c>
      <c r="C178" s="893">
        <v>0</v>
      </c>
      <c r="D178" s="893">
        <f>C178*12/C$13+G178*C178*12/C$13</f>
        <v>0</v>
      </c>
      <c r="E178" s="1194">
        <f>D178*(1+H178)</f>
        <v>0</v>
      </c>
      <c r="F178" s="1269" t="s">
        <v>681</v>
      </c>
      <c r="G178" s="1190">
        <v>0</v>
      </c>
      <c r="H178" s="1190">
        <f>G178</f>
        <v>0</v>
      </c>
      <c r="I178" s="1249"/>
      <c r="K178" s="701"/>
      <c r="L178" s="751"/>
      <c r="M178" s="751"/>
      <c r="N178" s="751"/>
      <c r="O178" s="751"/>
      <c r="P178" s="1042"/>
      <c r="Q178" s="1042"/>
      <c r="R178" s="1042"/>
      <c r="S178" s="1042"/>
      <c r="T178" s="1049"/>
    </row>
    <row r="179" spans="1:20" ht="4.1500000000000004" customHeight="1" x14ac:dyDescent="0.2">
      <c r="B179" s="1134"/>
      <c r="C179" s="1207"/>
      <c r="D179" s="1214"/>
      <c r="E179" s="1214"/>
      <c r="F179" s="1269"/>
      <c r="G179" s="831"/>
      <c r="H179" s="831"/>
      <c r="I179" s="1249"/>
      <c r="K179" s="1029"/>
      <c r="L179" s="412"/>
      <c r="M179" s="412"/>
      <c r="N179" s="412"/>
      <c r="O179" s="412"/>
      <c r="P179" s="411"/>
      <c r="Q179" s="411"/>
      <c r="R179" s="411"/>
      <c r="S179" s="411"/>
      <c r="T179" s="1051"/>
    </row>
    <row r="180" spans="1:20" ht="12" customHeight="1" x14ac:dyDescent="0.2">
      <c r="A180" s="162"/>
      <c r="B180" s="890" t="s">
        <v>401</v>
      </c>
      <c r="C180" s="891">
        <v>0.255</v>
      </c>
      <c r="D180" s="891">
        <f>C180</f>
        <v>0.255</v>
      </c>
      <c r="E180" s="1195">
        <f>D180</f>
        <v>0.255</v>
      </c>
      <c r="F180" s="1209"/>
      <c r="G180" s="912"/>
      <c r="H180" s="912"/>
      <c r="I180" s="1238"/>
      <c r="J180" s="24"/>
      <c r="K180" s="701"/>
      <c r="L180" s="751"/>
      <c r="M180" s="751"/>
      <c r="N180" s="751"/>
      <c r="O180" s="751"/>
      <c r="P180" s="1042"/>
      <c r="Q180" s="1042"/>
      <c r="R180" s="1042"/>
      <c r="S180" s="1042"/>
      <c r="T180" s="1049"/>
    </row>
    <row r="181" spans="1:20" ht="12" customHeight="1" x14ac:dyDescent="0.2">
      <c r="B181" s="832" t="s">
        <v>337</v>
      </c>
      <c r="C181" s="780">
        <f>C182*C183</f>
        <v>0</v>
      </c>
      <c r="D181" s="780">
        <f>D182*D183</f>
        <v>0</v>
      </c>
      <c r="E181" s="1192">
        <f>E182*E183</f>
        <v>0</v>
      </c>
      <c r="F181" s="1269"/>
      <c r="G181" s="1109">
        <f>D$12</f>
        <v>2028</v>
      </c>
      <c r="H181" s="1109">
        <f>E$12</f>
        <v>2029</v>
      </c>
      <c r="I181" s="1238"/>
      <c r="J181" s="29"/>
      <c r="K181" s="701"/>
      <c r="L181" s="751"/>
      <c r="M181" s="751"/>
      <c r="N181" s="751"/>
      <c r="O181" s="751"/>
      <c r="P181" s="1042"/>
      <c r="Q181" s="1042"/>
      <c r="R181" s="1042"/>
      <c r="S181" s="1042"/>
      <c r="T181" s="1049"/>
    </row>
    <row r="182" spans="1:20" ht="12" customHeight="1" x14ac:dyDescent="0.2">
      <c r="A182" s="162"/>
      <c r="B182" s="364" t="s">
        <v>849</v>
      </c>
      <c r="C182" s="892">
        <v>0</v>
      </c>
      <c r="D182" s="892">
        <f>C182*(1+G182)</f>
        <v>0</v>
      </c>
      <c r="E182" s="1193">
        <f>D182*(1+H182)</f>
        <v>0</v>
      </c>
      <c r="F182" s="1269" t="s">
        <v>682</v>
      </c>
      <c r="G182" s="1190">
        <v>0.03</v>
      </c>
      <c r="H182" s="1190">
        <f>G182</f>
        <v>0.03</v>
      </c>
      <c r="I182" s="1238"/>
      <c r="J182" s="29"/>
      <c r="K182" s="701"/>
      <c r="L182" s="751"/>
      <c r="M182" s="751"/>
      <c r="N182" s="751"/>
      <c r="O182" s="751"/>
      <c r="P182" s="1042"/>
      <c r="Q182" s="1042"/>
      <c r="R182" s="1042"/>
      <c r="S182" s="1042"/>
      <c r="T182" s="1049"/>
    </row>
    <row r="183" spans="1:20" ht="12" customHeight="1" x14ac:dyDescent="0.2">
      <c r="A183" s="2"/>
      <c r="B183" s="894" t="s">
        <v>850</v>
      </c>
      <c r="C183" s="893">
        <v>0</v>
      </c>
      <c r="D183" s="893">
        <f>C183*12/C$13+G183*C183*12/C$13</f>
        <v>0</v>
      </c>
      <c r="E183" s="1194">
        <f>D183*(1+H183)</f>
        <v>0</v>
      </c>
      <c r="F183" s="1269" t="s">
        <v>681</v>
      </c>
      <c r="G183" s="1190">
        <v>0</v>
      </c>
      <c r="H183" s="1190">
        <f>G183</f>
        <v>0</v>
      </c>
      <c r="I183" s="1251"/>
      <c r="J183" s="29"/>
      <c r="K183" s="701"/>
      <c r="L183" s="751"/>
      <c r="M183" s="751"/>
      <c r="N183" s="751"/>
      <c r="O183" s="751"/>
      <c r="P183" s="1042"/>
      <c r="Q183" s="1042"/>
      <c r="R183" s="1042"/>
      <c r="S183" s="1042"/>
      <c r="T183" s="1049"/>
    </row>
    <row r="184" spans="1:20" ht="4.1500000000000004" customHeight="1" x14ac:dyDescent="0.2">
      <c r="A184" s="162"/>
      <c r="B184" s="1134"/>
      <c r="C184" s="1207"/>
      <c r="D184" s="1207"/>
      <c r="E184" s="1207"/>
      <c r="F184" s="1269"/>
      <c r="G184" s="339"/>
      <c r="H184" s="831"/>
      <c r="I184" s="1249"/>
      <c r="K184" s="1029"/>
      <c r="L184" s="412"/>
      <c r="M184" s="412"/>
      <c r="N184" s="412"/>
      <c r="O184" s="412"/>
      <c r="P184" s="411"/>
      <c r="Q184" s="411"/>
      <c r="R184" s="411"/>
      <c r="S184" s="411"/>
      <c r="T184" s="1051"/>
    </row>
    <row r="185" spans="1:20" ht="12" customHeight="1" x14ac:dyDescent="0.2">
      <c r="A185" s="162"/>
      <c r="B185" s="890" t="s">
        <v>402</v>
      </c>
      <c r="C185" s="891">
        <v>0.255</v>
      </c>
      <c r="D185" s="891">
        <f>C185</f>
        <v>0.255</v>
      </c>
      <c r="E185" s="1195">
        <f>D185</f>
        <v>0.255</v>
      </c>
      <c r="F185" s="1209"/>
      <c r="G185" s="912"/>
      <c r="H185" s="912"/>
      <c r="I185" s="1238"/>
      <c r="K185" s="701"/>
      <c r="L185" s="751"/>
      <c r="M185" s="751"/>
      <c r="N185" s="751"/>
      <c r="O185" s="751"/>
      <c r="P185" s="1042"/>
      <c r="Q185" s="1042"/>
      <c r="R185" s="1042"/>
      <c r="S185" s="1042"/>
      <c r="T185" s="1049"/>
    </row>
    <row r="186" spans="1:20" ht="12" customHeight="1" x14ac:dyDescent="0.2">
      <c r="B186" s="832" t="s">
        <v>337</v>
      </c>
      <c r="C186" s="780">
        <f>C187*C188</f>
        <v>0</v>
      </c>
      <c r="D186" s="780">
        <f>D187*D188</f>
        <v>0</v>
      </c>
      <c r="E186" s="1192">
        <f>E187*E188</f>
        <v>0</v>
      </c>
      <c r="F186" s="1269"/>
      <c r="G186" s="1109">
        <f>D$12</f>
        <v>2028</v>
      </c>
      <c r="H186" s="1109">
        <f>E$12</f>
        <v>2029</v>
      </c>
      <c r="I186" s="1238"/>
      <c r="K186" s="701"/>
      <c r="L186" s="751"/>
      <c r="M186" s="751"/>
      <c r="N186" s="751"/>
      <c r="O186" s="751"/>
      <c r="P186" s="1042"/>
      <c r="Q186" s="1042"/>
      <c r="R186" s="1042"/>
      <c r="S186" s="1042"/>
      <c r="T186" s="1049"/>
    </row>
    <row r="187" spans="1:20" ht="12" customHeight="1" x14ac:dyDescent="0.2">
      <c r="A187" s="162"/>
      <c r="B187" s="364" t="s">
        <v>849</v>
      </c>
      <c r="C187" s="892">
        <v>0</v>
      </c>
      <c r="D187" s="892">
        <f>C187*(1+G187)</f>
        <v>0</v>
      </c>
      <c r="E187" s="1193">
        <f>D187*(1+H187)</f>
        <v>0</v>
      </c>
      <c r="F187" s="1269" t="s">
        <v>682</v>
      </c>
      <c r="G187" s="1190">
        <v>0.03</v>
      </c>
      <c r="H187" s="1190">
        <f>G187</f>
        <v>0.03</v>
      </c>
      <c r="I187" s="1251"/>
      <c r="K187" s="701"/>
      <c r="L187" s="751"/>
      <c r="M187" s="751"/>
      <c r="N187" s="751"/>
      <c r="O187" s="751"/>
      <c r="P187" s="1042"/>
      <c r="Q187" s="1042"/>
      <c r="R187" s="1042"/>
      <c r="S187" s="1042"/>
      <c r="T187" s="1049"/>
    </row>
    <row r="188" spans="1:20" ht="12" customHeight="1" x14ac:dyDescent="0.2">
      <c r="A188" s="2"/>
      <c r="B188" s="894" t="s">
        <v>850</v>
      </c>
      <c r="C188" s="893">
        <v>0</v>
      </c>
      <c r="D188" s="893">
        <f>C188*12/C$13+G188*C188*12/C$13</f>
        <v>0</v>
      </c>
      <c r="E188" s="1194">
        <f>D188*(1+H188)</f>
        <v>0</v>
      </c>
      <c r="F188" s="1269" t="s">
        <v>681</v>
      </c>
      <c r="G188" s="1190">
        <v>0</v>
      </c>
      <c r="H188" s="1190">
        <f>G188</f>
        <v>0</v>
      </c>
      <c r="I188" s="1251"/>
      <c r="K188" s="701"/>
      <c r="L188" s="751"/>
      <c r="M188" s="751"/>
      <c r="N188" s="751"/>
      <c r="O188" s="751"/>
      <c r="P188" s="1042"/>
      <c r="Q188" s="1042"/>
      <c r="R188" s="1042"/>
      <c r="S188" s="1042"/>
      <c r="T188" s="1049"/>
    </row>
    <row r="189" spans="1:20" ht="4.1500000000000004" customHeight="1" x14ac:dyDescent="0.2">
      <c r="A189" s="2"/>
      <c r="B189" s="1134"/>
      <c r="C189" s="1207"/>
      <c r="D189" s="1207"/>
      <c r="E189" s="1207"/>
      <c r="F189" s="1269"/>
      <c r="G189" s="339"/>
      <c r="H189" s="831"/>
      <c r="I189" s="1249"/>
      <c r="K189" s="1029"/>
      <c r="L189" s="412"/>
      <c r="M189" s="412"/>
      <c r="N189" s="412"/>
      <c r="O189" s="412"/>
      <c r="P189" s="411"/>
      <c r="Q189" s="411"/>
      <c r="R189" s="411"/>
      <c r="S189" s="411"/>
      <c r="T189" s="1051"/>
    </row>
    <row r="190" spans="1:20" ht="12" customHeight="1" x14ac:dyDescent="0.2">
      <c r="A190" s="162"/>
      <c r="B190" s="890" t="s">
        <v>403</v>
      </c>
      <c r="C190" s="891">
        <v>0.255</v>
      </c>
      <c r="D190" s="891">
        <f>C190</f>
        <v>0.255</v>
      </c>
      <c r="E190" s="1195">
        <f>D190</f>
        <v>0.255</v>
      </c>
      <c r="F190" s="1209"/>
      <c r="G190" s="912"/>
      <c r="H190" s="912"/>
      <c r="I190" s="1238"/>
      <c r="K190" s="701"/>
      <c r="L190" s="751"/>
      <c r="M190" s="751"/>
      <c r="N190" s="751"/>
      <c r="O190" s="751"/>
      <c r="P190" s="1042"/>
      <c r="Q190" s="1042"/>
      <c r="R190" s="1042"/>
      <c r="S190" s="1042"/>
      <c r="T190" s="1049"/>
    </row>
    <row r="191" spans="1:20" ht="12" customHeight="1" x14ac:dyDescent="0.2">
      <c r="B191" s="832" t="s">
        <v>337</v>
      </c>
      <c r="C191" s="780">
        <f>C192*C193</f>
        <v>0</v>
      </c>
      <c r="D191" s="780">
        <f>D192*D193</f>
        <v>0</v>
      </c>
      <c r="E191" s="1192">
        <f>E192*E193</f>
        <v>0</v>
      </c>
      <c r="F191" s="1269"/>
      <c r="G191" s="1109">
        <f>D$12</f>
        <v>2028</v>
      </c>
      <c r="H191" s="1109">
        <f>E$12</f>
        <v>2029</v>
      </c>
      <c r="I191" s="1238"/>
      <c r="K191" s="1041"/>
      <c r="L191" s="1042"/>
      <c r="M191" s="1042"/>
      <c r="N191" s="1042"/>
      <c r="O191" s="1042"/>
      <c r="P191" s="1042"/>
      <c r="Q191" s="1042"/>
      <c r="R191" s="1042"/>
      <c r="S191" s="1042"/>
      <c r="T191" s="1049"/>
    </row>
    <row r="192" spans="1:20" ht="12" customHeight="1" x14ac:dyDescent="0.2">
      <c r="A192" s="162"/>
      <c r="B192" s="364" t="s">
        <v>849</v>
      </c>
      <c r="C192" s="892">
        <v>0</v>
      </c>
      <c r="D192" s="892">
        <f>C192*(1+G192)</f>
        <v>0</v>
      </c>
      <c r="E192" s="1193">
        <f>D192*(1+H192)</f>
        <v>0</v>
      </c>
      <c r="F192" s="1269" t="s">
        <v>682</v>
      </c>
      <c r="G192" s="1190">
        <v>0.03</v>
      </c>
      <c r="H192" s="1190">
        <f>G192</f>
        <v>0.03</v>
      </c>
      <c r="I192" s="1251"/>
      <c r="K192" s="1041"/>
      <c r="L192" s="1042"/>
      <c r="M192" s="1042"/>
      <c r="N192" s="1042"/>
      <c r="O192" s="1042"/>
      <c r="P192" s="1042"/>
      <c r="Q192" s="1042"/>
      <c r="R192" s="1042"/>
      <c r="S192" s="1042"/>
      <c r="T192" s="1049"/>
    </row>
    <row r="193" spans="1:20" ht="12" customHeight="1" x14ac:dyDescent="0.2">
      <c r="A193" s="2"/>
      <c r="B193" s="894" t="s">
        <v>850</v>
      </c>
      <c r="C193" s="893">
        <v>0</v>
      </c>
      <c r="D193" s="893">
        <f>C193*12/C$13+G193*C193*12/C$13</f>
        <v>0</v>
      </c>
      <c r="E193" s="1194">
        <f>D193*(1+H193)</f>
        <v>0</v>
      </c>
      <c r="F193" s="1269" t="s">
        <v>681</v>
      </c>
      <c r="G193" s="1190">
        <v>0</v>
      </c>
      <c r="H193" s="1190">
        <f>G193</f>
        <v>0</v>
      </c>
      <c r="I193" s="1251"/>
      <c r="K193" s="1041"/>
      <c r="L193" s="1042"/>
      <c r="M193" s="1042"/>
      <c r="N193" s="1042"/>
      <c r="O193" s="1042"/>
      <c r="P193" s="1042"/>
      <c r="Q193" s="1042"/>
      <c r="R193" s="1042"/>
      <c r="S193" s="1042"/>
      <c r="T193" s="1049"/>
    </row>
    <row r="194" spans="1:20" ht="4.1500000000000004" customHeight="1" x14ac:dyDescent="0.2">
      <c r="B194" s="1134"/>
      <c r="C194" s="1207"/>
      <c r="D194" s="1207"/>
      <c r="E194" s="1207"/>
      <c r="F194" s="1269"/>
      <c r="G194" s="339"/>
      <c r="H194" s="831"/>
      <c r="I194" s="1249"/>
      <c r="K194" s="1050"/>
      <c r="L194" s="411"/>
      <c r="M194" s="411"/>
      <c r="N194" s="411"/>
      <c r="O194" s="411"/>
      <c r="P194" s="411"/>
      <c r="Q194" s="411"/>
      <c r="R194" s="411"/>
      <c r="S194" s="411"/>
      <c r="T194" s="1051"/>
    </row>
    <row r="195" spans="1:20" ht="12" customHeight="1" x14ac:dyDescent="0.2">
      <c r="A195" s="162"/>
      <c r="B195" s="890" t="s">
        <v>404</v>
      </c>
      <c r="C195" s="891">
        <v>0.255</v>
      </c>
      <c r="D195" s="891">
        <f>C195</f>
        <v>0.255</v>
      </c>
      <c r="E195" s="1195">
        <f>D195</f>
        <v>0.255</v>
      </c>
      <c r="F195" s="1209"/>
      <c r="G195" s="912"/>
      <c r="H195" s="912"/>
      <c r="I195" s="1238"/>
      <c r="K195" s="1041"/>
      <c r="L195" s="1042"/>
      <c r="M195" s="1042"/>
      <c r="N195" s="1042"/>
      <c r="O195" s="1042"/>
      <c r="P195" s="1042"/>
      <c r="Q195" s="1042"/>
      <c r="R195" s="1042"/>
      <c r="S195" s="1042"/>
      <c r="T195" s="1049"/>
    </row>
    <row r="196" spans="1:20" ht="12" customHeight="1" x14ac:dyDescent="0.2">
      <c r="B196" s="833" t="s">
        <v>337</v>
      </c>
      <c r="C196" s="780">
        <f>C199*C198</f>
        <v>0</v>
      </c>
      <c r="D196" s="780">
        <f>D199*D198</f>
        <v>0</v>
      </c>
      <c r="E196" s="1192">
        <f>E199*E198</f>
        <v>0</v>
      </c>
      <c r="F196" s="1269"/>
      <c r="G196" s="1109">
        <f>D$12</f>
        <v>2028</v>
      </c>
      <c r="H196" s="1109">
        <f>E$12</f>
        <v>2029</v>
      </c>
      <c r="I196" s="1250"/>
      <c r="K196" s="1050"/>
      <c r="L196" s="411"/>
      <c r="M196" s="411"/>
      <c r="N196" s="411"/>
      <c r="O196" s="411"/>
      <c r="P196" s="411"/>
      <c r="Q196" s="411"/>
      <c r="R196" s="411"/>
      <c r="S196" s="411"/>
      <c r="T196" s="1051"/>
    </row>
    <row r="197" spans="1:20" ht="12" customHeight="1" x14ac:dyDescent="0.2">
      <c r="A197" s="162"/>
      <c r="B197" s="364" t="s">
        <v>770</v>
      </c>
      <c r="C197" s="892">
        <v>0</v>
      </c>
      <c r="D197" s="892">
        <f t="shared" ref="D197:E199" si="15">C197*(1+G197)</f>
        <v>0</v>
      </c>
      <c r="E197" s="1193">
        <f t="shared" si="15"/>
        <v>0</v>
      </c>
      <c r="F197" s="1269" t="s">
        <v>678</v>
      </c>
      <c r="G197" s="1190">
        <v>0.03</v>
      </c>
      <c r="H197" s="1190">
        <f>G197</f>
        <v>0.03</v>
      </c>
      <c r="I197" s="1249"/>
      <c r="K197" s="1052"/>
      <c r="L197" s="1042"/>
      <c r="M197" s="1042"/>
      <c r="N197" s="1042"/>
      <c r="O197" s="1042"/>
      <c r="P197" s="1042"/>
      <c r="Q197" s="1042"/>
      <c r="R197" s="1042"/>
      <c r="S197" s="1042"/>
      <c r="T197" s="1049"/>
    </row>
    <row r="198" spans="1:20" ht="12" customHeight="1" x14ac:dyDescent="0.2">
      <c r="A198" s="2"/>
      <c r="B198" s="364" t="s">
        <v>396</v>
      </c>
      <c r="C198" s="893">
        <v>0</v>
      </c>
      <c r="D198" s="893">
        <f>C198*12/C$13+G198*C198*12/C$13</f>
        <v>0</v>
      </c>
      <c r="E198" s="1194">
        <f t="shared" si="15"/>
        <v>0</v>
      </c>
      <c r="F198" s="1269" t="s">
        <v>679</v>
      </c>
      <c r="G198" s="1190">
        <v>0</v>
      </c>
      <c r="H198" s="1190">
        <f>G198</f>
        <v>0</v>
      </c>
      <c r="I198" s="1249"/>
      <c r="K198" s="1052"/>
      <c r="L198" s="1042"/>
      <c r="M198" s="1042"/>
      <c r="N198" s="1042"/>
      <c r="O198" s="1042"/>
      <c r="P198" s="1042"/>
      <c r="Q198" s="1042"/>
      <c r="R198" s="1042"/>
      <c r="S198" s="1042"/>
      <c r="T198" s="1049"/>
    </row>
    <row r="199" spans="1:20" ht="12" customHeight="1" x14ac:dyDescent="0.2">
      <c r="A199" s="2"/>
      <c r="B199" s="364" t="s">
        <v>771</v>
      </c>
      <c r="C199" s="892">
        <v>0</v>
      </c>
      <c r="D199" s="892">
        <f t="shared" si="15"/>
        <v>0</v>
      </c>
      <c r="E199" s="1193">
        <f t="shared" si="15"/>
        <v>0</v>
      </c>
      <c r="F199" s="1269" t="s">
        <v>680</v>
      </c>
      <c r="G199" s="1190">
        <v>0.03</v>
      </c>
      <c r="H199" s="1190">
        <f>G199</f>
        <v>0.03</v>
      </c>
      <c r="I199" s="1249"/>
      <c r="K199" s="1041"/>
      <c r="L199" s="1042"/>
      <c r="M199" s="1042"/>
      <c r="N199" s="1042"/>
      <c r="O199" s="1042"/>
      <c r="P199" s="1042"/>
      <c r="Q199" s="1042"/>
      <c r="R199" s="1042"/>
      <c r="S199" s="1042"/>
      <c r="T199" s="1049"/>
    </row>
    <row r="200" spans="1:20" ht="12" customHeight="1" x14ac:dyDescent="0.2">
      <c r="A200" s="162"/>
      <c r="B200" s="364" t="s">
        <v>397</v>
      </c>
      <c r="C200" s="775">
        <f>IF(C199=0,0,(C199-C197)/C199)</f>
        <v>0</v>
      </c>
      <c r="D200" s="775">
        <f>IF(D199=0,0,(D199-D197)/D199)</f>
        <v>0</v>
      </c>
      <c r="E200" s="1122">
        <f>IF(E199=0,0,(E199-E197)/E199)</f>
        <v>0</v>
      </c>
      <c r="F200" s="1209"/>
      <c r="G200" s="912"/>
      <c r="H200" s="912"/>
      <c r="I200" s="1238"/>
      <c r="J200" s="84"/>
      <c r="K200" s="1041"/>
      <c r="L200" s="1042"/>
      <c r="M200" s="1042"/>
      <c r="N200" s="1042"/>
      <c r="O200" s="1042"/>
      <c r="P200" s="1042"/>
      <c r="Q200" s="1042"/>
      <c r="R200" s="1042"/>
      <c r="S200" s="1042"/>
      <c r="T200" s="1049"/>
    </row>
    <row r="201" spans="1:20" ht="4.1500000000000004" customHeight="1" x14ac:dyDescent="0.2">
      <c r="B201" s="1134"/>
      <c r="C201" s="1208"/>
      <c r="D201" s="1208"/>
      <c r="E201" s="1208"/>
      <c r="F201" s="1269"/>
      <c r="G201" s="339"/>
      <c r="H201" s="339"/>
      <c r="I201" s="1252"/>
      <c r="K201" s="1050"/>
      <c r="L201" s="411"/>
      <c r="M201" s="411"/>
      <c r="N201" s="411"/>
      <c r="O201" s="411"/>
      <c r="P201" s="411"/>
      <c r="Q201" s="411"/>
      <c r="R201" s="411"/>
      <c r="S201" s="411"/>
      <c r="T201" s="1051"/>
    </row>
    <row r="202" spans="1:20" ht="12" customHeight="1" x14ac:dyDescent="0.2">
      <c r="A202" s="162"/>
      <c r="B202" s="890" t="s">
        <v>408</v>
      </c>
      <c r="C202" s="891">
        <v>0.255</v>
      </c>
      <c r="D202" s="891">
        <f>C202</f>
        <v>0.255</v>
      </c>
      <c r="E202" s="1195">
        <f>D202</f>
        <v>0.255</v>
      </c>
      <c r="F202" s="1209"/>
      <c r="G202" s="912"/>
      <c r="H202" s="912"/>
      <c r="I202" s="1238"/>
      <c r="K202" s="1041"/>
      <c r="L202" s="1042"/>
      <c r="M202" s="1042"/>
      <c r="N202" s="1042"/>
      <c r="O202" s="1042"/>
      <c r="P202" s="1042"/>
      <c r="Q202" s="1042"/>
      <c r="R202" s="1042"/>
      <c r="S202" s="1042"/>
      <c r="T202" s="1049"/>
    </row>
    <row r="203" spans="1:20" ht="12" customHeight="1" x14ac:dyDescent="0.2">
      <c r="A203" s="2"/>
      <c r="B203" s="833" t="s">
        <v>337</v>
      </c>
      <c r="C203" s="780">
        <f>C206*C205</f>
        <v>0</v>
      </c>
      <c r="D203" s="780">
        <f>D206*D205</f>
        <v>0</v>
      </c>
      <c r="E203" s="1192">
        <f>E206*E205</f>
        <v>0</v>
      </c>
      <c r="F203" s="1384"/>
      <c r="G203" s="1109">
        <f>D$12</f>
        <v>2028</v>
      </c>
      <c r="H203" s="1109">
        <f>E$12</f>
        <v>2029</v>
      </c>
      <c r="I203" s="1250"/>
      <c r="K203" s="1050"/>
      <c r="L203" s="411"/>
      <c r="M203" s="411"/>
      <c r="N203" s="411"/>
      <c r="O203" s="411"/>
      <c r="P203" s="411"/>
      <c r="Q203" s="411"/>
      <c r="R203" s="411"/>
      <c r="S203" s="411"/>
      <c r="T203" s="1051"/>
    </row>
    <row r="204" spans="1:20" ht="12" customHeight="1" x14ac:dyDescent="0.2">
      <c r="B204" s="364" t="s">
        <v>770</v>
      </c>
      <c r="C204" s="892">
        <v>0</v>
      </c>
      <c r="D204" s="892">
        <f t="shared" ref="D204:E206" si="16">C204*(1+G204)</f>
        <v>0</v>
      </c>
      <c r="E204" s="1193">
        <f t="shared" si="16"/>
        <v>0</v>
      </c>
      <c r="F204" s="1269" t="s">
        <v>678</v>
      </c>
      <c r="G204" s="1190">
        <v>0.03</v>
      </c>
      <c r="H204" s="1190">
        <f>G204</f>
        <v>0.03</v>
      </c>
      <c r="I204" s="1249"/>
      <c r="K204" s="1041"/>
      <c r="L204" s="1042"/>
      <c r="M204" s="1042"/>
      <c r="N204" s="1042"/>
      <c r="O204" s="1042"/>
      <c r="P204" s="1042"/>
      <c r="Q204" s="1042"/>
      <c r="R204" s="1042"/>
      <c r="S204" s="1042"/>
      <c r="T204" s="1049"/>
    </row>
    <row r="205" spans="1:20" ht="12" customHeight="1" x14ac:dyDescent="0.2">
      <c r="A205" s="162"/>
      <c r="B205" s="364" t="s">
        <v>396</v>
      </c>
      <c r="C205" s="893">
        <v>0</v>
      </c>
      <c r="D205" s="893">
        <f>C205*12/C$13+G205*C205*12/C$13</f>
        <v>0</v>
      </c>
      <c r="E205" s="1194">
        <f t="shared" si="16"/>
        <v>0</v>
      </c>
      <c r="F205" s="1269" t="s">
        <v>679</v>
      </c>
      <c r="G205" s="1190">
        <v>0</v>
      </c>
      <c r="H205" s="1190">
        <f>G205</f>
        <v>0</v>
      </c>
      <c r="I205" s="1249"/>
      <c r="K205" s="701"/>
      <c r="L205" s="751"/>
      <c r="M205" s="751"/>
      <c r="N205" s="751"/>
      <c r="O205" s="751"/>
      <c r="P205" s="751"/>
      <c r="Q205" s="751"/>
      <c r="R205" s="751"/>
      <c r="S205" s="751"/>
      <c r="T205" s="1020"/>
    </row>
    <row r="206" spans="1:20" ht="12" customHeight="1" x14ac:dyDescent="0.2">
      <c r="A206" s="162"/>
      <c r="B206" s="364" t="s">
        <v>771</v>
      </c>
      <c r="C206" s="892">
        <v>0</v>
      </c>
      <c r="D206" s="892">
        <f t="shared" si="16"/>
        <v>0</v>
      </c>
      <c r="E206" s="1193">
        <f t="shared" si="16"/>
        <v>0</v>
      </c>
      <c r="F206" s="1269" t="s">
        <v>680</v>
      </c>
      <c r="G206" s="1190">
        <v>0.03</v>
      </c>
      <c r="H206" s="1190">
        <f>G206</f>
        <v>0.03</v>
      </c>
      <c r="I206" s="1249"/>
      <c r="K206" s="701"/>
      <c r="L206" s="751"/>
      <c r="M206" s="751"/>
      <c r="N206" s="751"/>
      <c r="O206" s="751"/>
      <c r="P206" s="751"/>
      <c r="Q206" s="751"/>
      <c r="R206" s="751"/>
      <c r="S206" s="751"/>
      <c r="T206" s="1020"/>
    </row>
    <row r="207" spans="1:20" ht="12" customHeight="1" x14ac:dyDescent="0.2">
      <c r="B207" s="364" t="s">
        <v>397</v>
      </c>
      <c r="C207" s="775">
        <f>IF(C206=0,0,(C206-C204)/C206)</f>
        <v>0</v>
      </c>
      <c r="D207" s="775">
        <f>IF(D206=0,0,(D206-D204)/D206)</f>
        <v>0</v>
      </c>
      <c r="E207" s="1122">
        <f>IF(E206=0,0,(E206-E204)/E206)</f>
        <v>0</v>
      </c>
      <c r="F207" s="1209"/>
      <c r="G207" s="912"/>
      <c r="H207" s="912"/>
      <c r="I207" s="1238"/>
      <c r="K207" s="701"/>
      <c r="L207" s="751"/>
      <c r="M207" s="751"/>
      <c r="N207" s="751"/>
      <c r="O207" s="751"/>
      <c r="P207" s="751"/>
      <c r="Q207" s="751"/>
      <c r="R207" s="751"/>
      <c r="S207" s="751"/>
      <c r="T207" s="1020"/>
    </row>
    <row r="208" spans="1:20" ht="4.1500000000000004" customHeight="1" x14ac:dyDescent="0.2">
      <c r="A208" s="162"/>
      <c r="B208" s="1134"/>
      <c r="C208" s="1208"/>
      <c r="D208" s="1208"/>
      <c r="E208" s="1208"/>
      <c r="F208" s="1269"/>
      <c r="G208" s="339"/>
      <c r="H208" s="339"/>
      <c r="I208" s="1252"/>
      <c r="K208" s="1050"/>
      <c r="L208" s="411"/>
      <c r="M208" s="411"/>
      <c r="N208" s="411"/>
      <c r="O208" s="411"/>
      <c r="P208" s="411"/>
      <c r="Q208" s="411"/>
      <c r="R208" s="411"/>
      <c r="S208" s="411"/>
      <c r="T208" s="1051"/>
    </row>
    <row r="209" spans="1:20" ht="12" customHeight="1" x14ac:dyDescent="0.2">
      <c r="A209" s="2"/>
      <c r="B209" s="890" t="s">
        <v>409</v>
      </c>
      <c r="C209" s="891">
        <v>0.255</v>
      </c>
      <c r="D209" s="891">
        <f>C209</f>
        <v>0.255</v>
      </c>
      <c r="E209" s="1195">
        <f>D209</f>
        <v>0.255</v>
      </c>
      <c r="F209" s="1209"/>
      <c r="G209" s="912"/>
      <c r="H209" s="912"/>
      <c r="I209" s="1238"/>
      <c r="K209" s="701"/>
      <c r="L209" s="751"/>
      <c r="M209" s="751"/>
      <c r="N209" s="751"/>
      <c r="O209" s="751"/>
      <c r="P209" s="751"/>
      <c r="Q209" s="751"/>
      <c r="R209" s="751"/>
      <c r="S209" s="751"/>
      <c r="T209" s="1020"/>
    </row>
    <row r="210" spans="1:20" ht="12" customHeight="1" x14ac:dyDescent="0.2">
      <c r="B210" s="833" t="s">
        <v>337</v>
      </c>
      <c r="C210" s="780">
        <f>C213*C212</f>
        <v>0</v>
      </c>
      <c r="D210" s="780">
        <f>D213*D212</f>
        <v>0</v>
      </c>
      <c r="E210" s="1192">
        <f>E213*E212</f>
        <v>0</v>
      </c>
      <c r="F210" s="1384"/>
      <c r="G210" s="1109">
        <f>D$12</f>
        <v>2028</v>
      </c>
      <c r="H210" s="1109">
        <f>E$12</f>
        <v>2029</v>
      </c>
      <c r="I210" s="1250"/>
      <c r="K210" s="1029"/>
      <c r="L210" s="412"/>
      <c r="M210" s="412"/>
      <c r="N210" s="412"/>
      <c r="O210" s="412"/>
      <c r="P210" s="412"/>
      <c r="Q210" s="412"/>
      <c r="R210" s="412"/>
      <c r="S210" s="412"/>
      <c r="T210" s="1022"/>
    </row>
    <row r="211" spans="1:20" ht="12" customHeight="1" x14ac:dyDescent="0.2">
      <c r="B211" s="364" t="s">
        <v>770</v>
      </c>
      <c r="C211" s="892">
        <v>0</v>
      </c>
      <c r="D211" s="892">
        <f t="shared" ref="D211:E213" si="17">C211*(1+G211)</f>
        <v>0</v>
      </c>
      <c r="E211" s="1193">
        <f t="shared" si="17"/>
        <v>0</v>
      </c>
      <c r="F211" s="1269" t="s">
        <v>678</v>
      </c>
      <c r="G211" s="1190">
        <v>0.03</v>
      </c>
      <c r="H211" s="1190">
        <f>G211</f>
        <v>0.03</v>
      </c>
      <c r="I211" s="1249"/>
      <c r="K211" s="701"/>
      <c r="L211" s="751"/>
      <c r="M211" s="751"/>
      <c r="N211" s="751"/>
      <c r="O211" s="751"/>
      <c r="P211" s="751"/>
      <c r="Q211" s="751"/>
      <c r="R211" s="751"/>
      <c r="S211" s="751"/>
      <c r="T211" s="1020"/>
    </row>
    <row r="212" spans="1:20" ht="12" customHeight="1" x14ac:dyDescent="0.2">
      <c r="B212" s="364" t="s">
        <v>396</v>
      </c>
      <c r="C212" s="893">
        <v>0</v>
      </c>
      <c r="D212" s="893">
        <f>C212*12/C$13+G212*C212*12/C$13</f>
        <v>0</v>
      </c>
      <c r="E212" s="1194">
        <f t="shared" si="17"/>
        <v>0</v>
      </c>
      <c r="F212" s="1269" t="s">
        <v>679</v>
      </c>
      <c r="G212" s="1190">
        <v>0</v>
      </c>
      <c r="H212" s="1190">
        <f>G212</f>
        <v>0</v>
      </c>
      <c r="I212" s="1249"/>
      <c r="K212" s="701"/>
      <c r="L212" s="751"/>
      <c r="M212" s="751"/>
      <c r="N212" s="751"/>
      <c r="O212" s="751"/>
      <c r="P212" s="751"/>
      <c r="Q212" s="751"/>
      <c r="R212" s="751"/>
      <c r="S212" s="751"/>
      <c r="T212" s="1020"/>
    </row>
    <row r="213" spans="1:20" ht="12" customHeight="1" x14ac:dyDescent="0.2">
      <c r="B213" s="364" t="s">
        <v>771</v>
      </c>
      <c r="C213" s="892">
        <v>0</v>
      </c>
      <c r="D213" s="892">
        <f t="shared" si="17"/>
        <v>0</v>
      </c>
      <c r="E213" s="1193">
        <f t="shared" si="17"/>
        <v>0</v>
      </c>
      <c r="F213" s="1269" t="s">
        <v>680</v>
      </c>
      <c r="G213" s="1190">
        <v>0.03</v>
      </c>
      <c r="H213" s="1190">
        <f>G213</f>
        <v>0.03</v>
      </c>
      <c r="I213" s="1249"/>
      <c r="K213" s="701"/>
      <c r="L213" s="751"/>
      <c r="M213" s="751"/>
      <c r="N213" s="751"/>
      <c r="O213" s="751"/>
      <c r="P213" s="751"/>
      <c r="Q213" s="751"/>
      <c r="R213" s="751"/>
      <c r="S213" s="751"/>
      <c r="T213" s="1020"/>
    </row>
    <row r="214" spans="1:20" ht="12" customHeight="1" x14ac:dyDescent="0.2">
      <c r="B214" s="364" t="s">
        <v>397</v>
      </c>
      <c r="C214" s="775">
        <f>IF(C213=0,0,(C213-C211)/C213)</f>
        <v>0</v>
      </c>
      <c r="D214" s="775">
        <f>IF(D213=0,0,(D213-D211)/D213)</f>
        <v>0</v>
      </c>
      <c r="E214" s="1122">
        <f>IF(E213=0,0,(E213-E211)/E213)</f>
        <v>0</v>
      </c>
      <c r="F214" s="1209"/>
      <c r="G214" s="912"/>
      <c r="H214" s="912"/>
      <c r="I214" s="1238"/>
      <c r="K214" s="1041"/>
      <c r="L214" s="1042"/>
      <c r="M214" s="1042"/>
      <c r="N214" s="1042"/>
      <c r="O214" s="1042"/>
      <c r="P214" s="751"/>
      <c r="Q214" s="751"/>
      <c r="R214" s="751"/>
      <c r="S214" s="751"/>
      <c r="T214" s="1020"/>
    </row>
    <row r="215" spans="1:20" ht="4.1500000000000004" customHeight="1" x14ac:dyDescent="0.2">
      <c r="B215" s="1134"/>
      <c r="C215" s="1208"/>
      <c r="D215" s="1208"/>
      <c r="E215" s="1208"/>
      <c r="F215" s="1269"/>
      <c r="G215" s="339"/>
      <c r="H215" s="339"/>
      <c r="I215" s="1252"/>
      <c r="K215" s="1050"/>
      <c r="L215" s="411"/>
      <c r="M215" s="411"/>
      <c r="N215" s="411"/>
      <c r="O215" s="411"/>
      <c r="P215" s="411"/>
      <c r="Q215" s="411"/>
      <c r="R215" s="411"/>
      <c r="S215" s="411"/>
      <c r="T215" s="1051"/>
    </row>
    <row r="216" spans="1:20" ht="12" customHeight="1" x14ac:dyDescent="0.2">
      <c r="B216" s="890" t="s">
        <v>405</v>
      </c>
      <c r="C216" s="891">
        <v>0.255</v>
      </c>
      <c r="D216" s="891">
        <f>C216</f>
        <v>0.255</v>
      </c>
      <c r="E216" s="1195">
        <f>D216</f>
        <v>0.255</v>
      </c>
      <c r="F216" s="1209"/>
      <c r="G216" s="912"/>
      <c r="H216" s="912"/>
      <c r="I216" s="1238"/>
      <c r="K216" s="1041"/>
      <c r="L216" s="1042"/>
      <c r="M216" s="1042"/>
      <c r="N216" s="1042"/>
      <c r="O216" s="1042"/>
      <c r="P216" s="751"/>
      <c r="Q216" s="751"/>
      <c r="R216" s="751"/>
      <c r="S216" s="751"/>
      <c r="T216" s="1020"/>
    </row>
    <row r="217" spans="1:20" ht="12" customHeight="1" x14ac:dyDescent="0.2">
      <c r="B217" s="833" t="s">
        <v>337</v>
      </c>
      <c r="C217" s="780">
        <f>C220*C219</f>
        <v>0</v>
      </c>
      <c r="D217" s="780">
        <f>D220*D219</f>
        <v>0</v>
      </c>
      <c r="E217" s="1192">
        <f>E220*E219</f>
        <v>0</v>
      </c>
      <c r="F217" s="1384"/>
      <c r="G217" s="1109">
        <f>D$12</f>
        <v>2028</v>
      </c>
      <c r="H217" s="1109">
        <f>E$12</f>
        <v>2029</v>
      </c>
      <c r="I217" s="1252"/>
      <c r="K217" s="1050"/>
      <c r="L217" s="411"/>
      <c r="M217" s="411"/>
      <c r="N217" s="411"/>
      <c r="O217" s="411"/>
      <c r="P217" s="412"/>
      <c r="Q217" s="412"/>
      <c r="R217" s="412"/>
      <c r="S217" s="412"/>
      <c r="T217" s="1022"/>
    </row>
    <row r="218" spans="1:20" ht="12" customHeight="1" x14ac:dyDescent="0.2">
      <c r="B218" s="364" t="s">
        <v>770</v>
      </c>
      <c r="C218" s="892">
        <v>0</v>
      </c>
      <c r="D218" s="892">
        <f t="shared" ref="D218:E220" si="18">C218*(1+G218)</f>
        <v>0</v>
      </c>
      <c r="E218" s="1193">
        <f t="shared" si="18"/>
        <v>0</v>
      </c>
      <c r="F218" s="1269" t="s">
        <v>678</v>
      </c>
      <c r="G218" s="1190">
        <v>0.03</v>
      </c>
      <c r="H218" s="1190">
        <f>G218</f>
        <v>0.03</v>
      </c>
      <c r="I218" s="1252"/>
      <c r="K218" s="1041"/>
      <c r="L218" s="1042"/>
      <c r="M218" s="1042"/>
      <c r="N218" s="1042"/>
      <c r="O218" s="1042"/>
      <c r="P218" s="751"/>
      <c r="Q218" s="751"/>
      <c r="R218" s="751"/>
      <c r="S218" s="751"/>
      <c r="T218" s="1020"/>
    </row>
    <row r="219" spans="1:20" ht="12" customHeight="1" x14ac:dyDescent="0.2">
      <c r="B219" s="364" t="s">
        <v>396</v>
      </c>
      <c r="C219" s="893">
        <v>0</v>
      </c>
      <c r="D219" s="893">
        <f>C219*12/C$13+G219*C219*12/C$13</f>
        <v>0</v>
      </c>
      <c r="E219" s="1194">
        <f t="shared" si="18"/>
        <v>0</v>
      </c>
      <c r="F219" s="1269" t="s">
        <v>679</v>
      </c>
      <c r="G219" s="1190">
        <v>0</v>
      </c>
      <c r="H219" s="1190">
        <f>G219</f>
        <v>0</v>
      </c>
      <c r="I219" s="1252"/>
      <c r="K219" s="1041"/>
      <c r="L219" s="1042"/>
      <c r="M219" s="1042"/>
      <c r="N219" s="1042"/>
      <c r="O219" s="1042"/>
      <c r="P219" s="751"/>
      <c r="Q219" s="751"/>
      <c r="R219" s="751"/>
      <c r="S219" s="751"/>
      <c r="T219" s="1020"/>
    </row>
    <row r="220" spans="1:20" ht="12" customHeight="1" x14ac:dyDescent="0.2">
      <c r="B220" s="364" t="s">
        <v>771</v>
      </c>
      <c r="C220" s="892">
        <v>0</v>
      </c>
      <c r="D220" s="892">
        <f t="shared" si="18"/>
        <v>0</v>
      </c>
      <c r="E220" s="1193">
        <f t="shared" si="18"/>
        <v>0</v>
      </c>
      <c r="F220" s="1269" t="s">
        <v>680</v>
      </c>
      <c r="G220" s="1190">
        <v>0.03</v>
      </c>
      <c r="H220" s="1190">
        <f>G220</f>
        <v>0.03</v>
      </c>
      <c r="I220" s="1252"/>
      <c r="K220" s="1041"/>
      <c r="L220" s="1042"/>
      <c r="M220" s="1042"/>
      <c r="N220" s="1042"/>
      <c r="O220" s="1042"/>
      <c r="P220" s="751"/>
      <c r="Q220" s="751"/>
      <c r="R220" s="751"/>
      <c r="S220" s="751"/>
      <c r="T220" s="1020"/>
    </row>
    <row r="221" spans="1:20" ht="12" customHeight="1" x14ac:dyDescent="0.2">
      <c r="B221" s="364" t="s">
        <v>397</v>
      </c>
      <c r="C221" s="775">
        <f>IF(C220=0,0,(C220-C218)/C220)</f>
        <v>0</v>
      </c>
      <c r="D221" s="775">
        <f>IF(D220=0,0,(D220-D218)/D220)</f>
        <v>0</v>
      </c>
      <c r="E221" s="1122">
        <f>IF(E220=0,0,(E220-E218)/E220)</f>
        <v>0</v>
      </c>
      <c r="F221" s="1209" t="s">
        <v>0</v>
      </c>
      <c r="G221" s="912"/>
      <c r="H221" s="912"/>
      <c r="I221" s="1238"/>
      <c r="K221" s="1041"/>
      <c r="L221" s="1042"/>
      <c r="M221" s="1042"/>
      <c r="N221" s="1042"/>
      <c r="O221" s="1042"/>
      <c r="P221" s="751"/>
      <c r="Q221" s="751"/>
      <c r="R221" s="751"/>
      <c r="S221" s="751"/>
      <c r="T221" s="1020"/>
    </row>
    <row r="222" spans="1:20" ht="4.1500000000000004" customHeight="1" x14ac:dyDescent="0.2">
      <c r="B222" s="1134"/>
      <c r="C222" s="1208"/>
      <c r="D222" s="1208"/>
      <c r="E222" s="1208"/>
      <c r="F222" s="1269"/>
      <c r="G222" s="339"/>
      <c r="H222" s="339"/>
      <c r="I222" s="1252"/>
      <c r="K222" s="1050"/>
      <c r="L222" s="411"/>
      <c r="M222" s="411"/>
      <c r="N222" s="411"/>
      <c r="O222" s="411"/>
      <c r="P222" s="411"/>
      <c r="Q222" s="411"/>
      <c r="R222" s="411"/>
      <c r="S222" s="411"/>
      <c r="T222" s="1051"/>
    </row>
    <row r="223" spans="1:20" ht="12" customHeight="1" x14ac:dyDescent="0.2">
      <c r="B223" s="890" t="s">
        <v>406</v>
      </c>
      <c r="C223" s="891">
        <v>0.255</v>
      </c>
      <c r="D223" s="891">
        <f>C223</f>
        <v>0.255</v>
      </c>
      <c r="E223" s="1195">
        <f>D223</f>
        <v>0.255</v>
      </c>
      <c r="F223" s="1209"/>
      <c r="G223" s="912"/>
      <c r="H223" s="912"/>
      <c r="I223" s="1238"/>
      <c r="K223" s="1041"/>
      <c r="L223" s="1042"/>
      <c r="M223" s="1042"/>
      <c r="N223" s="1042"/>
      <c r="O223" s="1042"/>
      <c r="P223" s="751"/>
      <c r="Q223" s="751"/>
      <c r="R223" s="751"/>
      <c r="S223" s="751"/>
      <c r="T223" s="1020"/>
    </row>
    <row r="224" spans="1:20" ht="12" customHeight="1" x14ac:dyDescent="0.2">
      <c r="B224" s="833" t="s">
        <v>337</v>
      </c>
      <c r="C224" s="780">
        <f>C227*C226</f>
        <v>0</v>
      </c>
      <c r="D224" s="780">
        <f>D227*D226</f>
        <v>0</v>
      </c>
      <c r="E224" s="1192">
        <f>E227*E226</f>
        <v>0</v>
      </c>
      <c r="F224" s="1384"/>
      <c r="G224" s="1109">
        <f>D$12</f>
        <v>2028</v>
      </c>
      <c r="H224" s="1109">
        <f>E$12</f>
        <v>2029</v>
      </c>
      <c r="I224" s="1249"/>
      <c r="K224" s="1029"/>
      <c r="L224" s="412"/>
      <c r="M224" s="412"/>
      <c r="N224" s="412"/>
      <c r="O224" s="412"/>
      <c r="P224" s="412"/>
      <c r="Q224" s="412"/>
      <c r="R224" s="412"/>
      <c r="S224" s="412"/>
      <c r="T224" s="1022"/>
    </row>
    <row r="225" spans="2:20" ht="12" customHeight="1" x14ac:dyDescent="0.2">
      <c r="B225" s="364" t="s">
        <v>770</v>
      </c>
      <c r="C225" s="892">
        <v>0</v>
      </c>
      <c r="D225" s="892">
        <f t="shared" ref="D225:E227" si="19">C225*(1+G225)</f>
        <v>0</v>
      </c>
      <c r="E225" s="1193">
        <f t="shared" si="19"/>
        <v>0</v>
      </c>
      <c r="F225" s="1269" t="s">
        <v>678</v>
      </c>
      <c r="G225" s="1190">
        <v>0.03</v>
      </c>
      <c r="H225" s="1190">
        <f>G225</f>
        <v>0.03</v>
      </c>
      <c r="I225" s="1249"/>
      <c r="K225" s="1029"/>
      <c r="L225" s="412"/>
      <c r="M225" s="412"/>
      <c r="N225" s="412"/>
      <c r="O225" s="412"/>
      <c r="P225" s="412"/>
      <c r="Q225" s="412"/>
      <c r="R225" s="412"/>
      <c r="S225" s="412"/>
      <c r="T225" s="1022"/>
    </row>
    <row r="226" spans="2:20" ht="12" customHeight="1" x14ac:dyDescent="0.2">
      <c r="B226" s="364" t="s">
        <v>396</v>
      </c>
      <c r="C226" s="893">
        <v>0</v>
      </c>
      <c r="D226" s="893">
        <f>C226*12/C$13+G226*C226*12/C$13</f>
        <v>0</v>
      </c>
      <c r="E226" s="1194">
        <f t="shared" si="19"/>
        <v>0</v>
      </c>
      <c r="F226" s="1269" t="s">
        <v>679</v>
      </c>
      <c r="G226" s="1190">
        <v>0</v>
      </c>
      <c r="H226" s="1190">
        <f>G226</f>
        <v>0</v>
      </c>
      <c r="I226" s="1249"/>
      <c r="K226" s="1029"/>
      <c r="L226" s="412"/>
      <c r="M226" s="412"/>
      <c r="N226" s="412"/>
      <c r="O226" s="412"/>
      <c r="P226" s="412"/>
      <c r="Q226" s="412"/>
      <c r="R226" s="412"/>
      <c r="S226" s="412"/>
      <c r="T226" s="1022"/>
    </row>
    <row r="227" spans="2:20" ht="12" customHeight="1" x14ac:dyDescent="0.2">
      <c r="B227" s="364" t="s">
        <v>771</v>
      </c>
      <c r="C227" s="892">
        <v>0</v>
      </c>
      <c r="D227" s="892">
        <f t="shared" si="19"/>
        <v>0</v>
      </c>
      <c r="E227" s="1193">
        <f t="shared" si="19"/>
        <v>0</v>
      </c>
      <c r="F227" s="1269" t="s">
        <v>680</v>
      </c>
      <c r="G227" s="1190">
        <v>0.03</v>
      </c>
      <c r="H227" s="1190">
        <f>G227</f>
        <v>0.03</v>
      </c>
      <c r="I227" s="1249"/>
      <c r="K227" s="1029"/>
      <c r="L227" s="412"/>
      <c r="M227" s="412"/>
      <c r="N227" s="412"/>
      <c r="O227" s="412"/>
      <c r="P227" s="412"/>
      <c r="Q227" s="412"/>
      <c r="R227" s="412"/>
      <c r="S227" s="412"/>
      <c r="T227" s="1022"/>
    </row>
    <row r="228" spans="2:20" ht="12" customHeight="1" x14ac:dyDescent="0.2">
      <c r="B228" s="364" t="s">
        <v>397</v>
      </c>
      <c r="C228" s="775">
        <f>IF(C227=0,0,(C227-C225)/C227)</f>
        <v>0</v>
      </c>
      <c r="D228" s="775">
        <f>IF(D227=0,0,(D227-D225)/D227)</f>
        <v>0</v>
      </c>
      <c r="E228" s="1122">
        <f>IF(E227=0,0,(E227-E225)/E227)</f>
        <v>0</v>
      </c>
      <c r="F228" s="1209"/>
      <c r="G228" s="912"/>
      <c r="H228" s="912"/>
      <c r="I228" s="1238"/>
      <c r="K228" s="1029"/>
      <c r="L228" s="412"/>
      <c r="M228" s="412"/>
      <c r="N228" s="412"/>
      <c r="O228" s="412"/>
      <c r="P228" s="412"/>
      <c r="Q228" s="412"/>
      <c r="R228" s="412"/>
      <c r="S228" s="412"/>
      <c r="T228" s="1022"/>
    </row>
    <row r="229" spans="2:20" ht="4.1500000000000004" customHeight="1" x14ac:dyDescent="0.2">
      <c r="B229" s="1134"/>
      <c r="C229" s="1208"/>
      <c r="D229" s="1208"/>
      <c r="E229" s="1208"/>
      <c r="F229" s="1269"/>
      <c r="G229" s="339"/>
      <c r="H229" s="339"/>
      <c r="I229" s="1252"/>
      <c r="K229" s="1029"/>
      <c r="L229" s="412"/>
      <c r="M229" s="412"/>
      <c r="N229" s="412"/>
      <c r="O229" s="412"/>
      <c r="P229" s="412"/>
      <c r="Q229" s="412"/>
      <c r="R229" s="412"/>
      <c r="S229" s="412"/>
      <c r="T229" s="1022"/>
    </row>
    <row r="230" spans="2:20" ht="12" customHeight="1" x14ac:dyDescent="0.2">
      <c r="B230" s="890" t="s">
        <v>407</v>
      </c>
      <c r="C230" s="891">
        <v>0.255</v>
      </c>
      <c r="D230" s="891">
        <f>C230</f>
        <v>0.255</v>
      </c>
      <c r="E230" s="1195">
        <f>D230</f>
        <v>0.255</v>
      </c>
      <c r="F230" s="1209"/>
      <c r="G230" s="912"/>
      <c r="H230" s="912"/>
      <c r="I230" s="1238"/>
      <c r="K230" s="1029"/>
      <c r="L230" s="412"/>
      <c r="M230" s="412"/>
      <c r="N230" s="412"/>
      <c r="O230" s="412"/>
      <c r="P230" s="412"/>
      <c r="Q230" s="412"/>
      <c r="R230" s="412"/>
      <c r="S230" s="412"/>
      <c r="T230" s="1022"/>
    </row>
    <row r="231" spans="2:20" ht="12" customHeight="1" x14ac:dyDescent="0.2">
      <c r="B231" s="833" t="s">
        <v>337</v>
      </c>
      <c r="C231" s="780">
        <f>C234*C233</f>
        <v>0</v>
      </c>
      <c r="D231" s="780">
        <f>D234*D233</f>
        <v>0</v>
      </c>
      <c r="E231" s="1192">
        <f>E234*E233</f>
        <v>0</v>
      </c>
      <c r="F231" s="1384"/>
      <c r="G231" s="1109">
        <f>D$12</f>
        <v>2028</v>
      </c>
      <c r="H231" s="1109">
        <f>E$12</f>
        <v>2029</v>
      </c>
      <c r="I231" s="1249"/>
      <c r="K231" s="1029"/>
      <c r="L231" s="411"/>
      <c r="M231" s="411"/>
      <c r="N231" s="411"/>
      <c r="O231" s="411"/>
      <c r="P231" s="411"/>
      <c r="Q231" s="411"/>
      <c r="R231" s="411"/>
      <c r="S231" s="411"/>
      <c r="T231" s="1022"/>
    </row>
    <row r="232" spans="2:20" ht="12" customHeight="1" x14ac:dyDescent="0.2">
      <c r="B232" s="364" t="s">
        <v>770</v>
      </c>
      <c r="C232" s="1196">
        <v>0</v>
      </c>
      <c r="D232" s="892">
        <f t="shared" ref="D232:E234" si="20">C232*(1+G232)</f>
        <v>0</v>
      </c>
      <c r="E232" s="1193">
        <f t="shared" si="20"/>
        <v>0</v>
      </c>
      <c r="F232" s="1269" t="s">
        <v>678</v>
      </c>
      <c r="G232" s="1190">
        <v>0.03</v>
      </c>
      <c r="H232" s="1190">
        <f>G232</f>
        <v>0.03</v>
      </c>
      <c r="I232" s="1249"/>
      <c r="K232" s="1029"/>
      <c r="L232" s="411"/>
      <c r="M232" s="411"/>
      <c r="N232" s="411"/>
      <c r="O232" s="411"/>
      <c r="P232" s="411"/>
      <c r="Q232" s="411"/>
      <c r="R232" s="411"/>
      <c r="S232" s="411"/>
      <c r="T232" s="1022"/>
    </row>
    <row r="233" spans="2:20" ht="12" customHeight="1" x14ac:dyDescent="0.2">
      <c r="B233" s="364" t="s">
        <v>396</v>
      </c>
      <c r="C233" s="1197">
        <v>0</v>
      </c>
      <c r="D233" s="893">
        <f>C233*12/C$13+G233*C233*12/C$13</f>
        <v>0</v>
      </c>
      <c r="E233" s="1194">
        <f t="shared" si="20"/>
        <v>0</v>
      </c>
      <c r="F233" s="1269" t="s">
        <v>679</v>
      </c>
      <c r="G233" s="1190">
        <v>0</v>
      </c>
      <c r="H233" s="1190">
        <f>G233</f>
        <v>0</v>
      </c>
      <c r="I233" s="1249"/>
      <c r="K233" s="1029"/>
      <c r="L233" s="411"/>
      <c r="M233" s="411"/>
      <c r="N233" s="411"/>
      <c r="O233" s="411"/>
      <c r="P233" s="411"/>
      <c r="Q233" s="411"/>
      <c r="R233" s="411"/>
      <c r="S233" s="411"/>
      <c r="T233" s="1022"/>
    </row>
    <row r="234" spans="2:20" ht="12" customHeight="1" x14ac:dyDescent="0.2">
      <c r="B234" s="364" t="s">
        <v>771</v>
      </c>
      <c r="C234" s="1196">
        <v>0</v>
      </c>
      <c r="D234" s="892">
        <f t="shared" si="20"/>
        <v>0</v>
      </c>
      <c r="E234" s="1193">
        <f t="shared" si="20"/>
        <v>0</v>
      </c>
      <c r="F234" s="1269" t="s">
        <v>680</v>
      </c>
      <c r="G234" s="1190">
        <v>0.03</v>
      </c>
      <c r="H234" s="1190">
        <f>G234</f>
        <v>0.03</v>
      </c>
      <c r="I234" s="1249"/>
      <c r="K234" s="1029"/>
      <c r="L234" s="411"/>
      <c r="M234" s="411"/>
      <c r="N234" s="411"/>
      <c r="O234" s="411"/>
      <c r="P234" s="411"/>
      <c r="Q234" s="411"/>
      <c r="R234" s="411"/>
      <c r="S234" s="411"/>
      <c r="T234" s="1022"/>
    </row>
    <row r="235" spans="2:20" ht="12" customHeight="1" x14ac:dyDescent="0.2">
      <c r="B235" s="364" t="s">
        <v>397</v>
      </c>
      <c r="C235" s="775">
        <f>IF(C234=0,0,(C234-C232)/C234)</f>
        <v>0</v>
      </c>
      <c r="D235" s="775">
        <f>IF(D234=0,0,(D234-D232)/D234)</f>
        <v>0</v>
      </c>
      <c r="E235" s="1122">
        <f>IF(E234=0,0,(E234-E232)/E234)</f>
        <v>0</v>
      </c>
      <c r="F235" s="1273"/>
      <c r="G235" s="1245"/>
      <c r="H235" s="1245"/>
      <c r="I235" s="1246"/>
      <c r="K235" s="1385"/>
      <c r="L235" s="1386"/>
      <c r="M235" s="1386"/>
      <c r="N235" s="1386"/>
      <c r="O235" s="1386"/>
      <c r="P235" s="1386"/>
      <c r="Q235" s="1386"/>
      <c r="R235" s="1386"/>
      <c r="S235" s="1386"/>
      <c r="T235" s="1387"/>
    </row>
    <row r="236" spans="2:20" ht="4.1500000000000004" customHeight="1" x14ac:dyDescent="0.2">
      <c r="B236" s="362"/>
      <c r="C236" s="777"/>
      <c r="D236" s="777"/>
      <c r="E236" s="777"/>
      <c r="F236" s="361"/>
      <c r="G236" s="362"/>
      <c r="H236" s="365"/>
      <c r="I236" s="365"/>
      <c r="L236" s="19"/>
      <c r="M236" s="19"/>
      <c r="N236" s="19"/>
      <c r="O236" s="19"/>
      <c r="P236" s="19"/>
      <c r="Q236" s="19"/>
      <c r="R236" s="19"/>
      <c r="S236" s="19"/>
    </row>
    <row r="237" spans="2:20" ht="12.75" customHeight="1" x14ac:dyDescent="0.2">
      <c r="B237" s="1115" t="s">
        <v>786</v>
      </c>
      <c r="C237" s="1116">
        <f>C166*(1+C165)+C171*(1+C170)+C176*(1+C175)+C181*(1+C180)+C186*(1+C185)+C191*(1+C190)+C196*(1+C195)+C203*(1+C202)+C210*(1+C209)+C217*(1+C216)+C224*(1+C223)+C231*(1+C230)+C156</f>
        <v>0</v>
      </c>
      <c r="D237" s="1116">
        <f>D166*(1+D165)+D171*(1+D170)+D176*(1+D175)+D181*(1+D180)+D186*(1+D185)+D191*(1+D190)+D196*(1+D195)+D203*(1+D202)+D210*(1+D209)+D217*(1+D216)+D224*(1+D223)+D231*(1+D230)+D156</f>
        <v>0</v>
      </c>
      <c r="E237" s="1116">
        <f>E166*(1+E165)+E171*(1+E170)+E176*(1+E175)+E181*(1+E180)+E186*(1+E185)+E191*(1+E190)+E196*(1+E195)+E203*(1+E202)+E210*(1+E209)+E217*(1+E216)+E224*(1+E223)+E231*(1+E230)+E156</f>
        <v>0</v>
      </c>
      <c r="I237" s="19"/>
      <c r="J237" s="19"/>
      <c r="K237" s="19"/>
      <c r="L237" s="19"/>
      <c r="M237" s="19"/>
      <c r="N237" s="19"/>
      <c r="O237" s="19"/>
      <c r="P237" s="19"/>
      <c r="Q237" s="19"/>
      <c r="R237" s="19"/>
      <c r="S237" s="19"/>
    </row>
    <row r="238" spans="2:20" x14ac:dyDescent="0.2">
      <c r="B238" s="1117" t="s">
        <v>787</v>
      </c>
      <c r="C238" s="1116">
        <f>C166+C171+C176+C181+C186+C191+C196+C203+C210+C217+C224+C231+C157</f>
        <v>0</v>
      </c>
      <c r="D238" s="1116">
        <f>D166+D171+D176+D181+D186+D191+D196+D203+D210+D217+D224+D231+D157</f>
        <v>0</v>
      </c>
      <c r="E238" s="1116">
        <f>E166+E171+E176+E181+E186+E191+E196+E203+E210+E217+E224+E231+E157</f>
        <v>0</v>
      </c>
      <c r="F238" s="1274"/>
      <c r="G238" s="19"/>
      <c r="H238" s="19"/>
      <c r="I238" s="19"/>
      <c r="J238" s="19"/>
      <c r="K238" s="19"/>
      <c r="L238" s="19"/>
      <c r="M238" s="19"/>
      <c r="N238" s="19"/>
      <c r="O238" s="19"/>
      <c r="P238" s="19"/>
      <c r="Q238" s="19"/>
      <c r="R238" s="19"/>
      <c r="S238" s="19"/>
    </row>
    <row r="239" spans="2:20" x14ac:dyDescent="0.2">
      <c r="B239" s="1117" t="s">
        <v>788</v>
      </c>
      <c r="C239" s="1116">
        <f>C196*(1-C200)+C203*(1-C207)+C210*(1-C214)+C217*(1-C221)+C224*(1-C228)+C231*(1-C235)+C158</f>
        <v>0</v>
      </c>
      <c r="D239" s="1116">
        <f>D196*(1-D200)+D203*(1-D207)+D210*(1-D214)+D217*(1-D221)+D224*(1-D228)+D231*(1-D235)+D158</f>
        <v>0</v>
      </c>
      <c r="E239" s="1116">
        <f>E196*(1-E200)+E203*(1-E207)+E210*(1-E214)+E217*(1-E221)+E224*(1-E228)+E231*(1-E235)+E158</f>
        <v>0</v>
      </c>
      <c r="F239" s="1274"/>
      <c r="G239" s="19"/>
      <c r="H239" s="19"/>
      <c r="I239" s="19"/>
      <c r="J239" s="19"/>
      <c r="K239" s="19"/>
    </row>
    <row r="240" spans="2:20" x14ac:dyDescent="0.2">
      <c r="F240" s="1274"/>
      <c r="G240" s="19"/>
      <c r="H240" s="19"/>
      <c r="I240" s="19"/>
      <c r="J240" s="19"/>
      <c r="K240" s="19"/>
    </row>
    <row r="241" spans="2:11" x14ac:dyDescent="0.2">
      <c r="F241" s="1274"/>
      <c r="G241" s="19"/>
      <c r="H241" s="19"/>
      <c r="I241" s="19"/>
      <c r="J241" s="19"/>
      <c r="K241" s="19"/>
    </row>
    <row r="242" spans="2:11" x14ac:dyDescent="0.2">
      <c r="B242" s="353" t="s">
        <v>306</v>
      </c>
    </row>
    <row r="243" spans="2:11" x14ac:dyDescent="0.2">
      <c r="B243" s="102" t="s">
        <v>307</v>
      </c>
    </row>
    <row r="244" spans="2:11" x14ac:dyDescent="0.2">
      <c r="B244" s="102" t="s">
        <v>308</v>
      </c>
    </row>
  </sheetData>
  <sheetProtection algorithmName="SHA-512" hashValue="iuOub2j7fpZcovi55hhw74BJ/O/JlKQ3LEqK0Df4qj962T30LHJECa2TkIge8632A+2x+6ionD0KWFD5hES6Kw==" saltValue="DKO8w2kyS6nEIlXwLZ+4iw==" spinCount="100000" sheet="1" objects="1" scenarios="1"/>
  <mergeCells count="15">
    <mergeCell ref="B2:I2"/>
    <mergeCell ref="F84:H84"/>
    <mergeCell ref="F165:H165"/>
    <mergeCell ref="B1:H1"/>
    <mergeCell ref="F15:H15"/>
    <mergeCell ref="C8:E8"/>
    <mergeCell ref="C9:E9"/>
    <mergeCell ref="B11:B12"/>
    <mergeCell ref="B80:B81"/>
    <mergeCell ref="B161:B162"/>
    <mergeCell ref="N3:P3"/>
    <mergeCell ref="K3:L3"/>
    <mergeCell ref="B6:E6"/>
    <mergeCell ref="F9:I9"/>
    <mergeCell ref="B4:I4"/>
  </mergeCells>
  <phoneticPr fontId="10" type="noConversion"/>
  <printOptions horizontalCentered="1"/>
  <pageMargins left="0.25" right="0.25" top="0.75" bottom="0.75" header="0.3" footer="0.3"/>
  <pageSetup paperSize="9" scale="85" orientation="portrait" r:id="rId1"/>
  <headerFooter alignWithMargins="0">
    <oddFooter xml:space="preserve">&amp;C&amp;8FT5 Nyföretagets ekonomiplan </oddFooter>
  </headerFooter>
  <rowBreaks count="2" manualBreakCount="2">
    <brk id="79" min="1" max="19" man="1"/>
    <brk id="160" min="1" max="19" man="1"/>
  </rowBreaks>
  <colBreaks count="1" manualBreakCount="1">
    <brk id="9" min="3" max="239" man="1"/>
  </col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ul9">
    <tabColor theme="4" tint="0.59999389629810485"/>
  </sheetPr>
  <dimension ref="A2:X139"/>
  <sheetViews>
    <sheetView showGridLines="0" showZeros="0" zoomScaleNormal="100" workbookViewId="0"/>
  </sheetViews>
  <sheetFormatPr defaultRowHeight="12.75" x14ac:dyDescent="0.2"/>
  <cols>
    <col min="1" max="1" width="5.7109375" customWidth="1"/>
    <col min="2" max="2" width="3.28515625" customWidth="1"/>
    <col min="3" max="3" width="26.7109375" customWidth="1"/>
    <col min="4" max="4" width="8.7109375" customWidth="1"/>
    <col min="5" max="5" width="11.140625" customWidth="1"/>
    <col min="6" max="6" width="10.85546875" customWidth="1"/>
    <col min="7" max="7" width="5.140625" customWidth="1"/>
    <col min="8" max="8" width="6.7109375" customWidth="1"/>
    <col min="9" max="9" width="4.85546875" customWidth="1"/>
    <col min="10" max="10" width="5.140625" customWidth="1"/>
    <col min="11" max="11" width="10.5703125" customWidth="1"/>
    <col min="12" max="12" width="5.140625" customWidth="1"/>
    <col min="13" max="13" width="3.7109375" customWidth="1"/>
    <col min="14" max="16" width="10" customWidth="1"/>
    <col min="24" max="24" width="9.140625" customWidth="1"/>
  </cols>
  <sheetData>
    <row r="2" spans="2:24" ht="15" customHeight="1" x14ac:dyDescent="0.2">
      <c r="B2" s="1849" t="s">
        <v>391</v>
      </c>
      <c r="C2" s="1849"/>
      <c r="D2" s="1849"/>
      <c r="E2" s="1849"/>
      <c r="F2" s="1849"/>
      <c r="G2" s="1849"/>
      <c r="H2" s="1849"/>
      <c r="I2" s="1849"/>
      <c r="J2" s="1849"/>
      <c r="K2" s="1849"/>
      <c r="L2" s="1849"/>
    </row>
    <row r="3" spans="2:24" ht="15" customHeight="1" x14ac:dyDescent="0.2">
      <c r="N3" s="1719" t="s">
        <v>239</v>
      </c>
      <c r="O3" s="1719"/>
      <c r="Q3" s="1719" t="s">
        <v>240</v>
      </c>
      <c r="R3" s="1719"/>
      <c r="S3" s="1719"/>
    </row>
    <row r="4" spans="2:24" ht="15" customHeight="1" x14ac:dyDescent="0.2">
      <c r="B4" s="1851" t="s">
        <v>410</v>
      </c>
      <c r="C4" s="1851"/>
      <c r="D4" s="1851"/>
      <c r="E4" s="1851"/>
      <c r="F4" s="1851"/>
      <c r="G4" s="1851"/>
      <c r="H4" s="1851"/>
      <c r="I4" s="1851"/>
      <c r="J4" s="1851"/>
      <c r="K4" s="1851"/>
      <c r="L4" s="1851"/>
      <c r="N4" s="400"/>
      <c r="O4" s="400"/>
      <c r="Q4" s="1043"/>
      <c r="R4" s="1043"/>
      <c r="S4" s="286"/>
      <c r="T4" s="286"/>
      <c r="U4" s="286"/>
      <c r="V4" s="286"/>
      <c r="W4" s="286"/>
      <c r="X4" s="286"/>
    </row>
    <row r="5" spans="2:24" ht="15" customHeight="1" x14ac:dyDescent="0.2">
      <c r="B5" s="487" t="str">
        <f>'FS2 Försäljning '!B5</f>
        <v>Tjänsten erbjuds av</v>
      </c>
      <c r="Q5" s="286"/>
      <c r="R5" s="286"/>
      <c r="S5" s="286"/>
      <c r="T5" s="286"/>
      <c r="U5" s="286"/>
      <c r="V5" s="286"/>
      <c r="W5" s="286"/>
      <c r="X5" s="286"/>
    </row>
    <row r="6" spans="2:24" ht="12" customHeight="1" x14ac:dyDescent="0.2">
      <c r="B6" s="345" t="str">
        <f>Startsidan!G35</f>
        <v>Business Kristinestad och Dynamo Närpes</v>
      </c>
      <c r="C6" s="72"/>
      <c r="D6" s="53"/>
      <c r="E6" s="53"/>
      <c r="F6" s="72"/>
      <c r="G6" s="52"/>
      <c r="H6" s="52"/>
      <c r="I6" s="490"/>
      <c r="J6" s="1921"/>
      <c r="K6" s="1921"/>
      <c r="L6" s="1921"/>
      <c r="Q6" s="286"/>
      <c r="R6" s="286"/>
      <c r="S6" s="286"/>
      <c r="T6" s="286"/>
      <c r="U6" s="286"/>
      <c r="V6" s="286"/>
      <c r="W6" s="286"/>
      <c r="X6" s="286"/>
    </row>
    <row r="7" spans="2:24" ht="12" customHeight="1" x14ac:dyDescent="0.2">
      <c r="B7" s="479"/>
      <c r="C7" s="72"/>
      <c r="D7" s="53"/>
      <c r="E7" s="53"/>
      <c r="F7" s="72"/>
      <c r="G7" s="52"/>
      <c r="H7" s="52"/>
      <c r="I7" s="490"/>
      <c r="J7" s="491"/>
      <c r="K7" s="491"/>
      <c r="L7" s="491"/>
      <c r="Q7" s="286"/>
      <c r="R7" s="286"/>
      <c r="S7" s="286"/>
      <c r="T7" s="286"/>
      <c r="U7" s="286"/>
      <c r="V7" s="286"/>
      <c r="W7" s="286"/>
      <c r="X7" s="286"/>
    </row>
    <row r="8" spans="2:24" ht="12" customHeight="1" x14ac:dyDescent="0.2">
      <c r="B8" s="101" t="s">
        <v>238</v>
      </c>
      <c r="C8" s="291"/>
      <c r="D8" s="409"/>
      <c r="E8" s="53"/>
      <c r="F8" s="72"/>
      <c r="G8" s="72" t="s">
        <v>696</v>
      </c>
      <c r="H8" s="291"/>
      <c r="I8" s="291"/>
      <c r="J8" s="291"/>
      <c r="K8" s="72"/>
      <c r="L8" s="150"/>
      <c r="Q8" s="286"/>
      <c r="R8" s="286"/>
      <c r="S8" s="286"/>
      <c r="T8" s="286"/>
      <c r="U8" s="286"/>
      <c r="V8" s="286"/>
      <c r="W8" s="286"/>
      <c r="X8" s="286"/>
    </row>
    <row r="9" spans="2:24" x14ac:dyDescent="0.2">
      <c r="B9" s="1746">
        <f>'FS1 Kostnader '!C9</f>
        <v>0</v>
      </c>
      <c r="C9" s="1746"/>
      <c r="D9" s="1746"/>
      <c r="E9" s="1746"/>
      <c r="F9" s="366"/>
      <c r="G9" s="1866">
        <v>0</v>
      </c>
      <c r="H9" s="1866"/>
      <c r="I9" s="1866"/>
      <c r="J9" s="1866"/>
      <c r="K9" s="1866"/>
      <c r="L9" s="1866"/>
      <c r="Q9" s="286"/>
      <c r="R9" s="286"/>
      <c r="S9" s="286"/>
      <c r="T9" s="286"/>
      <c r="U9" s="286"/>
      <c r="V9" s="286"/>
      <c r="W9" s="286"/>
      <c r="X9" s="286"/>
    </row>
    <row r="10" spans="2:24" ht="6" customHeight="1" x14ac:dyDescent="0.2">
      <c r="B10" s="52"/>
      <c r="D10" s="53"/>
      <c r="E10" s="53"/>
      <c r="F10" s="52"/>
      <c r="G10" s="36"/>
      <c r="H10" s="36"/>
      <c r="I10" s="36"/>
      <c r="J10" s="36"/>
      <c r="Q10" s="286"/>
      <c r="R10" s="286"/>
      <c r="S10" s="286"/>
      <c r="T10" s="286"/>
      <c r="U10" s="286"/>
      <c r="V10" s="286"/>
      <c r="W10" s="286"/>
      <c r="X10" s="286"/>
    </row>
    <row r="11" spans="2:24" ht="13.5" customHeight="1" x14ac:dyDescent="0.2">
      <c r="B11" s="52"/>
      <c r="C11" s="1871"/>
      <c r="D11" s="1872"/>
      <c r="E11" s="1872"/>
      <c r="I11" s="474"/>
      <c r="J11" s="474"/>
      <c r="K11" s="474"/>
      <c r="L11" s="474" t="s">
        <v>377</v>
      </c>
      <c r="M11" s="474"/>
      <c r="N11" s="71"/>
      <c r="Q11" s="286"/>
      <c r="R11" s="286"/>
      <c r="S11" s="286"/>
      <c r="T11" s="286"/>
      <c r="U11" s="286"/>
      <c r="V11" s="286"/>
      <c r="W11" s="286"/>
      <c r="X11" s="286"/>
    </row>
    <row r="12" spans="2:24" ht="6" customHeight="1" x14ac:dyDescent="0.2">
      <c r="B12" s="52"/>
      <c r="C12" s="6"/>
      <c r="D12" s="6"/>
      <c r="E12" s="6"/>
      <c r="G12" s="54"/>
      <c r="H12" s="54"/>
      <c r="I12" s="30"/>
      <c r="J12" s="30"/>
      <c r="O12" s="381"/>
      <c r="P12" s="381"/>
      <c r="Q12" s="286"/>
      <c r="R12" s="286"/>
      <c r="S12" s="286"/>
      <c r="T12" s="286"/>
      <c r="U12" s="286"/>
      <c r="V12" s="286"/>
      <c r="W12" s="286"/>
      <c r="X12" s="286"/>
    </row>
    <row r="13" spans="2:24" ht="12.75" customHeight="1" x14ac:dyDescent="0.2">
      <c r="B13" s="1223"/>
      <c r="C13" s="1918" t="s">
        <v>323</v>
      </c>
      <c r="D13" s="1918"/>
      <c r="E13" s="1918"/>
      <c r="F13" s="1918"/>
      <c r="G13" s="1224"/>
      <c r="H13" s="1224"/>
      <c r="I13" s="1224"/>
      <c r="J13" s="1224"/>
      <c r="K13" s="1225"/>
      <c r="L13" s="1225"/>
      <c r="N13" s="271">
        <f>B9</f>
        <v>0</v>
      </c>
      <c r="O13" s="271"/>
      <c r="P13" s="271"/>
      <c r="Q13" s="822"/>
      <c r="R13" s="822"/>
      <c r="S13" s="286"/>
      <c r="T13" s="286"/>
      <c r="U13" s="286"/>
      <c r="V13" s="286"/>
      <c r="W13" s="286"/>
      <c r="X13" s="286"/>
    </row>
    <row r="14" spans="2:24" ht="10.5" customHeight="1" x14ac:dyDescent="0.2">
      <c r="B14" s="1225"/>
      <c r="C14" s="1918"/>
      <c r="D14" s="1918"/>
      <c r="E14" s="1918"/>
      <c r="F14" s="1918"/>
      <c r="G14" s="1226"/>
      <c r="H14" s="1226"/>
      <c r="I14" s="1226"/>
      <c r="J14" s="1226"/>
      <c r="K14" s="1225"/>
      <c r="L14" s="1225"/>
    </row>
    <row r="15" spans="2:24" ht="16.5" customHeight="1" x14ac:dyDescent="0.2">
      <c r="B15" s="1217" t="s">
        <v>772</v>
      </c>
      <c r="C15" s="1218"/>
      <c r="D15" s="1219"/>
      <c r="E15" s="1220" t="s">
        <v>324</v>
      </c>
      <c r="F15" s="1221" t="s">
        <v>647</v>
      </c>
      <c r="G15" s="1222"/>
      <c r="H15" s="1222"/>
      <c r="I15" s="1222"/>
      <c r="J15" s="1222"/>
      <c r="K15" s="1884" t="s">
        <v>324</v>
      </c>
      <c r="L15" s="1885"/>
      <c r="N15" s="1025" t="s">
        <v>697</v>
      </c>
      <c r="O15" s="1016"/>
      <c r="P15" s="1016"/>
      <c r="Q15" s="1016"/>
      <c r="R15" s="1016"/>
      <c r="S15" s="1016"/>
      <c r="T15" s="1016"/>
      <c r="U15" s="1016"/>
      <c r="V15" s="1016"/>
      <c r="W15" s="1016"/>
      <c r="X15" s="1388"/>
    </row>
    <row r="16" spans="2:24" x14ac:dyDescent="0.2">
      <c r="B16" s="1715" t="s">
        <v>684</v>
      </c>
      <c r="C16" s="1716"/>
      <c r="D16" s="87" t="s">
        <v>325</v>
      </c>
      <c r="E16" s="583">
        <f>E17+E18+E19</f>
        <v>0</v>
      </c>
      <c r="F16" s="605" t="s">
        <v>528</v>
      </c>
      <c r="G16" s="62"/>
      <c r="H16" s="154"/>
      <c r="I16" s="156"/>
      <c r="J16" s="155"/>
      <c r="K16" s="1717">
        <f>SUM(K18:K20)</f>
        <v>0</v>
      </c>
      <c r="L16" s="1718"/>
      <c r="N16" s="1029"/>
      <c r="O16" s="412"/>
      <c r="P16" s="412"/>
      <c r="Q16" s="412"/>
      <c r="R16" s="412"/>
      <c r="S16" s="412"/>
      <c r="T16" s="412"/>
      <c r="U16" s="412"/>
      <c r="V16" s="412"/>
      <c r="W16" s="412"/>
      <c r="X16" s="1022"/>
    </row>
    <row r="17" spans="1:24" x14ac:dyDescent="0.2">
      <c r="A17" s="162"/>
      <c r="B17" s="1671" t="s">
        <v>854</v>
      </c>
      <c r="C17" s="1672"/>
      <c r="D17" s="962">
        <v>0</v>
      </c>
      <c r="E17" s="886">
        <v>0</v>
      </c>
      <c r="F17" s="1688" t="s">
        <v>328</v>
      </c>
      <c r="G17" s="1689"/>
      <c r="H17" s="606" t="s">
        <v>329</v>
      </c>
      <c r="I17" s="1731" t="s">
        <v>330</v>
      </c>
      <c r="J17" s="1732"/>
      <c r="K17" s="1684" t="s">
        <v>331</v>
      </c>
      <c r="L17" s="1685"/>
      <c r="N17" s="1029"/>
      <c r="O17" s="412"/>
      <c r="P17" s="412"/>
      <c r="Q17" s="412"/>
      <c r="R17" s="1389" t="s">
        <v>760</v>
      </c>
      <c r="S17" s="288"/>
      <c r="T17" s="288"/>
      <c r="U17" s="412"/>
      <c r="V17" s="412"/>
      <c r="W17" s="412"/>
      <c r="X17" s="1022"/>
    </row>
    <row r="18" spans="1:24" x14ac:dyDescent="0.2">
      <c r="B18" s="1671" t="s">
        <v>855</v>
      </c>
      <c r="C18" s="1672"/>
      <c r="D18" s="962">
        <v>0</v>
      </c>
      <c r="E18" s="886">
        <v>0</v>
      </c>
      <c r="F18" s="1888" t="s">
        <v>775</v>
      </c>
      <c r="G18" s="1874"/>
      <c r="H18" s="962">
        <v>0</v>
      </c>
      <c r="I18" s="888">
        <v>0</v>
      </c>
      <c r="J18" s="888">
        <v>0</v>
      </c>
      <c r="K18" s="1880">
        <v>0</v>
      </c>
      <c r="L18" s="1881"/>
      <c r="N18" s="1027"/>
      <c r="O18" s="1021"/>
      <c r="P18" s="1021"/>
      <c r="Q18" s="1021"/>
      <c r="R18" s="1264"/>
      <c r="S18" s="1264"/>
      <c r="T18" s="1264"/>
      <c r="U18" s="1264"/>
      <c r="V18" s="1264"/>
      <c r="W18" s="1264"/>
      <c r="X18" s="1265"/>
    </row>
    <row r="19" spans="1:24" x14ac:dyDescent="0.2">
      <c r="A19" s="162"/>
      <c r="B19" s="1671" t="s">
        <v>856</v>
      </c>
      <c r="C19" s="1672"/>
      <c r="D19" s="962">
        <v>0</v>
      </c>
      <c r="E19" s="886">
        <v>0</v>
      </c>
      <c r="F19" s="1888" t="s">
        <v>516</v>
      </c>
      <c r="G19" s="1874"/>
      <c r="H19" s="962"/>
      <c r="I19" s="888">
        <v>0</v>
      </c>
      <c r="J19" s="888">
        <v>0</v>
      </c>
      <c r="K19" s="1880">
        <v>0</v>
      </c>
      <c r="L19" s="1881"/>
      <c r="N19" s="1027"/>
      <c r="O19" s="1021"/>
      <c r="P19" s="1021"/>
      <c r="Q19" s="1021"/>
      <c r="R19" s="1264"/>
      <c r="S19" s="1264"/>
      <c r="T19" s="1264"/>
      <c r="U19" s="1264"/>
      <c r="V19" s="1264"/>
      <c r="W19" s="1264"/>
      <c r="X19" s="1265"/>
    </row>
    <row r="20" spans="1:24" x14ac:dyDescent="0.2">
      <c r="A20" s="2"/>
      <c r="B20" s="1715" t="s">
        <v>411</v>
      </c>
      <c r="C20" s="1716"/>
      <c r="D20" s="87" t="s">
        <v>325</v>
      </c>
      <c r="E20" s="895">
        <f>SUM(E21:E26)</f>
        <v>0</v>
      </c>
      <c r="F20" s="1888">
        <v>0</v>
      </c>
      <c r="G20" s="1874"/>
      <c r="H20" s="962">
        <v>0</v>
      </c>
      <c r="I20" s="888">
        <v>0</v>
      </c>
      <c r="J20" s="888">
        <v>0</v>
      </c>
      <c r="K20" s="1880">
        <v>0</v>
      </c>
      <c r="L20" s="1881"/>
      <c r="N20" s="1027"/>
      <c r="O20" s="1021"/>
      <c r="P20" s="1021"/>
      <c r="Q20" s="1021"/>
      <c r="R20" s="1264"/>
      <c r="S20" s="1264"/>
      <c r="T20" s="1264"/>
      <c r="U20" s="1264"/>
      <c r="V20" s="1264"/>
      <c r="W20" s="1264"/>
      <c r="X20" s="1265"/>
    </row>
    <row r="21" spans="1:24" x14ac:dyDescent="0.2">
      <c r="A21" s="162"/>
      <c r="B21" s="1873">
        <v>0</v>
      </c>
      <c r="C21" s="1874"/>
      <c r="D21" s="962">
        <v>0</v>
      </c>
      <c r="E21" s="886">
        <v>0</v>
      </c>
      <c r="F21" s="1666" t="s">
        <v>529</v>
      </c>
      <c r="G21" s="1668"/>
      <c r="H21" s="962">
        <v>0</v>
      </c>
      <c r="I21" s="1880">
        <v>0</v>
      </c>
      <c r="J21" s="1881"/>
      <c r="K21" s="1880">
        <v>0</v>
      </c>
      <c r="L21" s="1881"/>
      <c r="N21" s="1027"/>
      <c r="O21" s="1021"/>
      <c r="P21" s="1021"/>
      <c r="Q21" s="1021"/>
      <c r="R21" s="1264"/>
      <c r="S21" s="1264"/>
      <c r="T21" s="1264"/>
      <c r="U21" s="1264"/>
      <c r="V21" s="1264"/>
      <c r="W21" s="1264"/>
      <c r="X21" s="1265"/>
    </row>
    <row r="22" spans="1:24" x14ac:dyDescent="0.2">
      <c r="A22" s="162"/>
      <c r="B22" s="1873">
        <v>0</v>
      </c>
      <c r="C22" s="1874"/>
      <c r="D22" s="962">
        <v>0</v>
      </c>
      <c r="E22" s="886">
        <v>0</v>
      </c>
      <c r="F22" s="1681" t="s">
        <v>530</v>
      </c>
      <c r="G22" s="1682"/>
      <c r="H22" s="962">
        <v>0</v>
      </c>
      <c r="I22" s="1880">
        <v>0</v>
      </c>
      <c r="J22" s="1881"/>
      <c r="K22" s="1880">
        <v>0</v>
      </c>
      <c r="L22" s="1881"/>
      <c r="N22" s="1027"/>
      <c r="O22" s="1021"/>
      <c r="P22" s="1021"/>
      <c r="Q22" s="1021"/>
      <c r="R22" s="1264"/>
      <c r="S22" s="1264"/>
      <c r="T22" s="1264"/>
      <c r="U22" s="1264"/>
      <c r="V22" s="1264"/>
      <c r="W22" s="1264"/>
      <c r="X22" s="1265"/>
    </row>
    <row r="23" spans="1:24" x14ac:dyDescent="0.2">
      <c r="B23" s="1873"/>
      <c r="C23" s="1874"/>
      <c r="D23" s="962">
        <v>0</v>
      </c>
      <c r="E23" s="886">
        <v>0</v>
      </c>
      <c r="F23" s="1666" t="s">
        <v>531</v>
      </c>
      <c r="G23" s="1667"/>
      <c r="H23" s="1667"/>
      <c r="I23" s="1667"/>
      <c r="J23" s="1668"/>
      <c r="K23" s="1717">
        <f>IF(E33=0,0,SUM(K24:K26))</f>
        <v>0</v>
      </c>
      <c r="L23" s="1718"/>
      <c r="N23" s="1027"/>
      <c r="O23" s="1021"/>
      <c r="P23" s="1021"/>
      <c r="Q23" s="1021"/>
      <c r="R23" s="1264"/>
      <c r="S23" s="1264"/>
      <c r="T23" s="1264"/>
      <c r="U23" s="1264"/>
      <c r="V23" s="1264"/>
      <c r="W23" s="1264"/>
      <c r="X23" s="1265"/>
    </row>
    <row r="24" spans="1:24" x14ac:dyDescent="0.2">
      <c r="A24" s="162"/>
      <c r="B24" s="965" t="s">
        <v>857</v>
      </c>
      <c r="C24" s="703"/>
      <c r="D24" s="470"/>
      <c r="E24" s="886">
        <v>0</v>
      </c>
      <c r="F24" s="1873" t="s">
        <v>867</v>
      </c>
      <c r="G24" s="1888"/>
      <c r="H24" s="1888"/>
      <c r="I24" s="1888"/>
      <c r="J24" s="1874"/>
      <c r="K24" s="1658">
        <f>IF('5 YP Lainat ja avustukset'!E$59&lt;0,0,'5 YP Lainat ja avustukset'!E$59)</f>
        <v>0</v>
      </c>
      <c r="L24" s="1659"/>
      <c r="N24" s="1027"/>
      <c r="O24" s="1021"/>
      <c r="P24" s="1021"/>
      <c r="Q24" s="1021"/>
      <c r="R24" s="1264"/>
      <c r="S24" s="1264"/>
      <c r="T24" s="1264"/>
      <c r="U24" s="1264"/>
      <c r="V24" s="1264"/>
      <c r="W24" s="1264"/>
      <c r="X24" s="1265"/>
    </row>
    <row r="25" spans="1:24" x14ac:dyDescent="0.2">
      <c r="A25" s="2"/>
      <c r="B25" s="1656" t="s">
        <v>858</v>
      </c>
      <c r="C25" s="1603"/>
      <c r="D25" s="1604"/>
      <c r="E25" s="886">
        <v>0</v>
      </c>
      <c r="F25" s="1889" t="s">
        <v>860</v>
      </c>
      <c r="G25" s="1882"/>
      <c r="H25" s="1882"/>
      <c r="I25" s="1882"/>
      <c r="J25" s="1883"/>
      <c r="K25" s="1880">
        <v>0</v>
      </c>
      <c r="L25" s="1881"/>
      <c r="N25" s="1027"/>
      <c r="O25" s="1922"/>
      <c r="P25" s="1922"/>
      <c r="Q25" s="1021"/>
      <c r="R25" s="1264"/>
      <c r="S25" s="1264"/>
      <c r="T25" s="1264"/>
      <c r="U25" s="1264"/>
      <c r="V25" s="1264"/>
      <c r="W25" s="1264"/>
      <c r="X25" s="1265"/>
    </row>
    <row r="26" spans="1:24" x14ac:dyDescent="0.2">
      <c r="A26" s="2"/>
      <c r="B26" s="1671" t="s">
        <v>859</v>
      </c>
      <c r="C26" s="1672"/>
      <c r="D26" s="962">
        <v>0</v>
      </c>
      <c r="E26" s="886">
        <v>0</v>
      </c>
      <c r="F26" s="1882" t="s">
        <v>865</v>
      </c>
      <c r="G26" s="1882"/>
      <c r="H26" s="1882"/>
      <c r="I26" s="1882"/>
      <c r="J26" s="1883"/>
      <c r="K26" s="1880">
        <v>0</v>
      </c>
      <c r="L26" s="1881"/>
      <c r="N26" s="1027"/>
      <c r="O26" s="1021"/>
      <c r="P26" s="1021"/>
      <c r="Q26" s="1021"/>
      <c r="R26" s="1264"/>
      <c r="S26" s="1264"/>
      <c r="T26" s="1264"/>
      <c r="U26" s="1264"/>
      <c r="V26" s="1264"/>
      <c r="W26" s="1264"/>
      <c r="X26" s="1265"/>
    </row>
    <row r="27" spans="1:24" x14ac:dyDescent="0.2">
      <c r="A27" s="162"/>
      <c r="B27" s="1666" t="s">
        <v>512</v>
      </c>
      <c r="C27" s="1916"/>
      <c r="D27" s="1917"/>
      <c r="E27" s="895">
        <f>E28+E29</f>
        <v>0</v>
      </c>
      <c r="F27" s="1886" t="s">
        <v>532</v>
      </c>
      <c r="G27" s="1886"/>
      <c r="H27" s="1886"/>
      <c r="I27" s="1886"/>
      <c r="J27" s="1887"/>
      <c r="K27" s="1717">
        <f>IF((E19+E20+E27-E26-K21-E24)*0.203187&lt;0,0,(E19+E20+E27-E26-K21-E24)*0.203187)</f>
        <v>0</v>
      </c>
      <c r="L27" s="1718"/>
      <c r="N27" s="1027"/>
      <c r="O27" s="1021"/>
      <c r="P27" s="1021"/>
      <c r="Q27" s="1021"/>
      <c r="R27" s="1264"/>
      <c r="S27" s="1264"/>
      <c r="T27" s="1264"/>
      <c r="U27" s="1264"/>
      <c r="V27" s="1264"/>
      <c r="W27" s="1264"/>
      <c r="X27" s="1265"/>
    </row>
    <row r="28" spans="1:24" x14ac:dyDescent="0.2">
      <c r="B28" s="1873"/>
      <c r="C28" s="1888"/>
      <c r="D28" s="1874"/>
      <c r="E28" s="886">
        <v>0</v>
      </c>
      <c r="F28" s="1886" t="s">
        <v>533</v>
      </c>
      <c r="G28" s="1886"/>
      <c r="H28" s="1886"/>
      <c r="I28" s="1886"/>
      <c r="J28" s="1887"/>
      <c r="K28" s="1717">
        <f>SUM(K29:K32)</f>
        <v>0</v>
      </c>
      <c r="L28" s="1718"/>
      <c r="N28" s="1027"/>
      <c r="O28" s="1021"/>
      <c r="P28" s="1021"/>
      <c r="Q28" s="1021"/>
      <c r="R28" s="1264"/>
      <c r="S28" s="1264"/>
      <c r="T28" s="1264"/>
      <c r="U28" s="1264"/>
      <c r="V28" s="1264"/>
      <c r="W28" s="1264"/>
      <c r="X28" s="1265"/>
    </row>
    <row r="29" spans="1:24" x14ac:dyDescent="0.2">
      <c r="A29" s="162"/>
      <c r="B29" s="1873"/>
      <c r="C29" s="1888"/>
      <c r="D29" s="1874"/>
      <c r="E29" s="886">
        <v>0</v>
      </c>
      <c r="F29" s="1736" t="s">
        <v>862</v>
      </c>
      <c r="G29" s="1736"/>
      <c r="H29" s="1736"/>
      <c r="I29" s="1736"/>
      <c r="J29" s="1737"/>
      <c r="K29" s="1880">
        <v>0</v>
      </c>
      <c r="L29" s="1881"/>
      <c r="N29" s="1027"/>
      <c r="O29" s="1021"/>
      <c r="P29" s="1021"/>
      <c r="Q29" s="1021"/>
      <c r="R29" s="1264"/>
      <c r="S29" s="1264"/>
      <c r="T29" s="1264"/>
      <c r="U29" s="1264"/>
      <c r="V29" s="1264"/>
      <c r="W29" s="1264"/>
      <c r="X29" s="1265"/>
    </row>
    <row r="30" spans="1:24" x14ac:dyDescent="0.2">
      <c r="A30" s="2"/>
      <c r="B30" s="1666" t="s">
        <v>762</v>
      </c>
      <c r="C30" s="1667"/>
      <c r="D30" s="1668"/>
      <c r="E30" s="887">
        <v>0</v>
      </c>
      <c r="F30" s="1882" t="s">
        <v>863</v>
      </c>
      <c r="G30" s="1882"/>
      <c r="H30" s="1882"/>
      <c r="I30" s="1882"/>
      <c r="J30" s="1883"/>
      <c r="K30" s="1880">
        <v>0</v>
      </c>
      <c r="L30" s="1881"/>
      <c r="N30" s="1027"/>
      <c r="O30" s="1021"/>
      <c r="P30" s="1021"/>
      <c r="Q30" s="1021"/>
      <c r="R30" s="1264"/>
      <c r="S30" s="1264"/>
      <c r="T30" s="1264"/>
      <c r="U30" s="1264"/>
      <c r="V30" s="1264"/>
      <c r="W30" s="1264"/>
      <c r="X30" s="1265"/>
    </row>
    <row r="31" spans="1:24" x14ac:dyDescent="0.2">
      <c r="B31" s="605" t="s">
        <v>773</v>
      </c>
      <c r="C31" s="702"/>
      <c r="D31" s="957"/>
      <c r="E31" s="887">
        <v>0</v>
      </c>
      <c r="F31" s="1882"/>
      <c r="G31" s="1882"/>
      <c r="H31" s="1882"/>
      <c r="I31" s="1882"/>
      <c r="J31" s="1883"/>
      <c r="K31" s="1880">
        <v>0</v>
      </c>
      <c r="L31" s="1881"/>
      <c r="N31" s="1027"/>
      <c r="O31" s="1021"/>
      <c r="P31" s="1021"/>
      <c r="Q31" s="1021"/>
      <c r="R31" s="1264"/>
      <c r="S31" s="1264"/>
      <c r="T31" s="1264"/>
      <c r="U31" s="1264"/>
      <c r="V31" s="1264"/>
      <c r="W31" s="1264"/>
      <c r="X31" s="1265"/>
    </row>
    <row r="32" spans="1:24" x14ac:dyDescent="0.2">
      <c r="A32" s="162"/>
      <c r="B32" s="1666" t="s">
        <v>527</v>
      </c>
      <c r="C32" s="1667"/>
      <c r="D32" s="1668"/>
      <c r="E32" s="887">
        <v>0</v>
      </c>
      <c r="F32" s="1882"/>
      <c r="G32" s="1882"/>
      <c r="H32" s="1882"/>
      <c r="I32" s="1882"/>
      <c r="J32" s="1883"/>
      <c r="K32" s="1880">
        <v>0</v>
      </c>
      <c r="L32" s="1881"/>
      <c r="N32" s="1027"/>
      <c r="O32" s="1021"/>
      <c r="P32" s="1021"/>
      <c r="Q32" s="1021"/>
      <c r="R32" s="1264"/>
      <c r="S32" s="1264"/>
      <c r="T32" s="1264"/>
      <c r="U32" s="1264"/>
      <c r="V32" s="1264"/>
      <c r="W32" s="1264"/>
      <c r="X32" s="1265"/>
    </row>
    <row r="33" spans="1:24" x14ac:dyDescent="0.2">
      <c r="C33" s="1910" t="s">
        <v>326</v>
      </c>
      <c r="D33" s="1911"/>
      <c r="E33" s="827">
        <f>E16+E20+E27+E31+E32+E30</f>
        <v>0</v>
      </c>
      <c r="F33" s="1740"/>
      <c r="G33" s="1741"/>
      <c r="H33" s="1701" t="s">
        <v>326</v>
      </c>
      <c r="I33" s="1701"/>
      <c r="J33" s="1702"/>
      <c r="K33" s="1891">
        <f>K16+K21+K23+K27+K28+K22</f>
        <v>0</v>
      </c>
      <c r="L33" s="1892"/>
      <c r="N33" s="1027"/>
      <c r="O33" s="1021"/>
      <c r="P33" s="1021"/>
      <c r="Q33" s="1021"/>
      <c r="R33" s="1264"/>
      <c r="S33" s="1264"/>
      <c r="T33" s="1264"/>
      <c r="U33" s="1264"/>
      <c r="V33" s="1264"/>
      <c r="W33" s="1264"/>
      <c r="X33" s="1265"/>
    </row>
    <row r="34" spans="1:24" ht="5.25" customHeight="1" x14ac:dyDescent="0.2">
      <c r="A34" s="162"/>
      <c r="C34" s="292"/>
      <c r="D34" s="292"/>
      <c r="E34" s="828"/>
      <c r="F34" s="292"/>
      <c r="G34" s="292"/>
      <c r="H34" s="292"/>
      <c r="I34" s="292"/>
      <c r="J34" s="63"/>
      <c r="K34" s="828"/>
      <c r="L34" s="95"/>
      <c r="N34" s="1040"/>
      <c r="O34" s="355"/>
      <c r="P34" s="355"/>
      <c r="Q34" s="355"/>
      <c r="R34" s="346"/>
      <c r="S34" s="346"/>
      <c r="T34" s="346"/>
      <c r="U34" s="346"/>
      <c r="V34" s="346"/>
      <c r="W34" s="346"/>
      <c r="X34" s="1298"/>
    </row>
    <row r="35" spans="1:24" ht="12.75" customHeight="1" x14ac:dyDescent="0.2">
      <c r="A35" s="2"/>
      <c r="B35" s="1734" t="s">
        <v>327</v>
      </c>
      <c r="C35" s="1734"/>
      <c r="D35" s="1788"/>
      <c r="E35" s="829">
        <f>ROUND(E33-K33,0)</f>
        <v>0</v>
      </c>
      <c r="F35" s="1734" t="s">
        <v>774</v>
      </c>
      <c r="G35" s="1734"/>
      <c r="H35" s="1734"/>
      <c r="I35" s="1734"/>
      <c r="J35" s="1734"/>
      <c r="K35" s="1893">
        <f>K23+K27</f>
        <v>0</v>
      </c>
      <c r="L35" s="1894"/>
      <c r="N35" s="1295"/>
      <c r="O35" s="1294"/>
      <c r="P35" s="1294"/>
      <c r="Q35" s="1294"/>
      <c r="R35" s="346"/>
      <c r="S35" s="346"/>
      <c r="T35" s="346"/>
      <c r="U35" s="346"/>
      <c r="V35" s="346"/>
      <c r="W35" s="346"/>
      <c r="X35" s="1298"/>
    </row>
    <row r="36" spans="1:24" ht="12.75" customHeight="1" x14ac:dyDescent="0.2">
      <c r="C36" s="1062" t="str">
        <f>IF( E35&lt;&gt;0,"FÖRSÄKRA, att FINANSIERINGSBEHOV-FINANSIERING = 0!","")</f>
        <v/>
      </c>
      <c r="D36" s="1061"/>
      <c r="E36" s="2"/>
      <c r="G36" s="241"/>
      <c r="H36" s="241"/>
      <c r="I36" s="241"/>
      <c r="J36" s="416"/>
      <c r="N36" s="1040"/>
      <c r="O36" s="355"/>
      <c r="P36" s="355"/>
      <c r="Q36" s="355"/>
      <c r="R36" s="346"/>
      <c r="S36" s="346"/>
      <c r="T36" s="346"/>
      <c r="U36" s="346"/>
      <c r="V36" s="346"/>
      <c r="W36" s="346"/>
      <c r="X36" s="1298"/>
    </row>
    <row r="37" spans="1:24" ht="13.5" customHeight="1" x14ac:dyDescent="0.2">
      <c r="B37" s="1085" t="s">
        <v>0</v>
      </c>
      <c r="C37" s="1912" t="s">
        <v>332</v>
      </c>
      <c r="D37" s="1086"/>
      <c r="E37" s="1086"/>
      <c r="F37" s="1879" t="s">
        <v>313</v>
      </c>
      <c r="G37" s="1879"/>
      <c r="H37" s="1879" t="s">
        <v>314</v>
      </c>
      <c r="I37" s="1879"/>
      <c r="J37" s="1879"/>
      <c r="K37" s="1879" t="s">
        <v>315</v>
      </c>
      <c r="L37" s="1879"/>
      <c r="N37" s="1027"/>
      <c r="O37" s="1021"/>
      <c r="P37" s="1021"/>
      <c r="Q37" s="1021"/>
      <c r="R37" s="1264"/>
      <c r="S37" s="1264"/>
      <c r="T37" s="1264"/>
      <c r="U37" s="1264"/>
      <c r="V37" s="1264"/>
      <c r="W37" s="1264"/>
      <c r="X37" s="1265"/>
    </row>
    <row r="38" spans="1:24" ht="13.5" customHeight="1" x14ac:dyDescent="0.2">
      <c r="A38" s="162"/>
      <c r="B38" s="1085" t="s">
        <v>0</v>
      </c>
      <c r="C38" s="1913"/>
      <c r="D38" s="1086"/>
      <c r="E38" s="1086"/>
      <c r="F38" s="1923">
        <f>'FS1 Kostnader '!F12</f>
        <v>2027</v>
      </c>
      <c r="G38" s="1923"/>
      <c r="H38" s="1915">
        <f>F38+1</f>
        <v>2028</v>
      </c>
      <c r="I38" s="1915"/>
      <c r="J38" s="1915"/>
      <c r="K38" s="1915">
        <f>H38+1</f>
        <v>2029</v>
      </c>
      <c r="L38" s="1915"/>
      <c r="N38" s="1027"/>
      <c r="O38" s="1021"/>
      <c r="P38" s="1021"/>
      <c r="Q38" s="1021"/>
      <c r="R38" s="1264"/>
      <c r="S38" s="1264"/>
      <c r="T38" s="1264"/>
      <c r="U38" s="1264"/>
      <c r="V38" s="1264"/>
      <c r="W38" s="1264"/>
      <c r="X38" s="1265"/>
    </row>
    <row r="39" spans="1:24" ht="13.5" customHeight="1" x14ac:dyDescent="0.2">
      <c r="A39" s="162"/>
      <c r="B39" s="972"/>
      <c r="C39" s="1077" t="s">
        <v>333</v>
      </c>
      <c r="D39" s="1084"/>
      <c r="E39" s="1084"/>
      <c r="F39" s="1924">
        <f>'FS1 Kostnader '!F13</f>
        <v>12</v>
      </c>
      <c r="G39" s="1925"/>
      <c r="H39" s="1876">
        <f>'FS1 Kostnader '!G13</f>
        <v>12</v>
      </c>
      <c r="I39" s="1877"/>
      <c r="J39" s="1878"/>
      <c r="K39" s="1876">
        <f>'FS1 Kostnader '!H13</f>
        <v>12</v>
      </c>
      <c r="L39" s="1878"/>
      <c r="N39" s="1027"/>
      <c r="O39" s="1021"/>
      <c r="P39" s="1021"/>
      <c r="Q39" s="1021"/>
      <c r="R39" s="1264"/>
      <c r="S39" s="1264"/>
      <c r="T39" s="1264"/>
      <c r="U39" s="1264"/>
      <c r="V39" s="1264"/>
      <c r="W39" s="1264"/>
      <c r="X39" s="1265"/>
    </row>
    <row r="40" spans="1:24" ht="13.5" thickBot="1" x14ac:dyDescent="0.25">
      <c r="B40" s="1006"/>
      <c r="C40" s="948" t="s">
        <v>334</v>
      </c>
      <c r="D40" s="86"/>
      <c r="E40" s="86"/>
      <c r="F40" s="960">
        <f>Lönekostnader!C11+'FS1 Kostnader '!F19</f>
        <v>1</v>
      </c>
      <c r="G40" s="1007" t="s">
        <v>76</v>
      </c>
      <c r="H40" s="1914">
        <f>Lönekostnader!D11+'FS1 Kostnader '!G19</f>
        <v>1</v>
      </c>
      <c r="I40" s="1914"/>
      <c r="J40" s="1007" t="s">
        <v>76</v>
      </c>
      <c r="K40" s="960">
        <f>Lönekostnader!E11+'FS1 Kostnader '!H19</f>
        <v>1</v>
      </c>
      <c r="L40" s="1007" t="s">
        <v>76</v>
      </c>
      <c r="N40" s="1027"/>
      <c r="O40" s="1021"/>
      <c r="P40" s="1021"/>
      <c r="Q40" s="1021"/>
      <c r="R40" s="1264"/>
      <c r="S40" s="1264"/>
      <c r="T40" s="1264"/>
      <c r="U40" s="1264"/>
      <c r="V40" s="1264"/>
      <c r="W40" s="1264"/>
      <c r="X40" s="1265"/>
    </row>
    <row r="41" spans="1:24" ht="12" customHeight="1" x14ac:dyDescent="0.2">
      <c r="A41" s="162"/>
      <c r="B41" s="1008">
        <v>1</v>
      </c>
      <c r="C41" s="269" t="s">
        <v>335</v>
      </c>
      <c r="D41" s="270"/>
      <c r="E41" s="270"/>
      <c r="F41" s="961">
        <f>'FS2 Försäljning '!C237</f>
        <v>0</v>
      </c>
      <c r="G41" s="1009"/>
      <c r="H41" s="1875">
        <f>'FS2 Försäljning '!D237</f>
        <v>0</v>
      </c>
      <c r="I41" s="1875"/>
      <c r="J41" s="1009"/>
      <c r="K41" s="961">
        <f>'FS2 Försäljning '!E237</f>
        <v>0</v>
      </c>
      <c r="L41" s="1009"/>
      <c r="N41" s="1027"/>
      <c r="O41" s="1021"/>
      <c r="P41" s="1021"/>
      <c r="Q41" s="1021"/>
      <c r="R41" s="1264"/>
      <c r="S41" s="1264"/>
      <c r="T41" s="1264"/>
      <c r="U41" s="1264"/>
      <c r="V41" s="1264"/>
      <c r="W41" s="1264"/>
      <c r="X41" s="1265"/>
    </row>
    <row r="42" spans="1:24" ht="12" customHeight="1" x14ac:dyDescent="0.2">
      <c r="A42" s="2"/>
      <c r="B42" s="839"/>
      <c r="C42" s="263" t="s">
        <v>336</v>
      </c>
      <c r="D42" s="264"/>
      <c r="E42" s="264"/>
      <c r="F42" s="834">
        <f>-(F41-F43)</f>
        <v>0</v>
      </c>
      <c r="G42" s="774"/>
      <c r="H42" s="1895">
        <f>-(H41-H43)</f>
        <v>0</v>
      </c>
      <c r="I42" s="1895"/>
      <c r="J42" s="774"/>
      <c r="K42" s="834">
        <f>-(K41-K43)</f>
        <v>0</v>
      </c>
      <c r="L42" s="774"/>
      <c r="N42" s="1027"/>
      <c r="O42" s="1021"/>
      <c r="P42" s="1021"/>
      <c r="Q42" s="1021"/>
      <c r="R42" s="1264"/>
      <c r="S42" s="1264"/>
      <c r="T42" s="1264"/>
      <c r="U42" s="1264"/>
      <c r="V42" s="1264"/>
      <c r="W42" s="1264"/>
      <c r="X42" s="1265"/>
    </row>
    <row r="43" spans="1:24" ht="12" customHeight="1" x14ac:dyDescent="0.2">
      <c r="B43" s="1010">
        <v>2</v>
      </c>
      <c r="C43" s="265" t="s">
        <v>337</v>
      </c>
      <c r="D43" s="266"/>
      <c r="E43" s="266"/>
      <c r="F43" s="741">
        <f>'FS2 Försäljning '!C238</f>
        <v>0</v>
      </c>
      <c r="G43" s="1011">
        <v>100</v>
      </c>
      <c r="H43" s="1870">
        <f>'FS2 Försäljning '!D238</f>
        <v>0</v>
      </c>
      <c r="I43" s="1870"/>
      <c r="J43" s="1011">
        <v>100</v>
      </c>
      <c r="K43" s="741">
        <f>'FS2 Försäljning '!E238</f>
        <v>0</v>
      </c>
      <c r="L43" s="1011">
        <v>100</v>
      </c>
      <c r="N43" s="1027"/>
      <c r="O43" s="1021"/>
      <c r="P43" s="1021"/>
      <c r="Q43" s="1021"/>
      <c r="R43" s="1264"/>
      <c r="S43" s="1264"/>
      <c r="T43" s="1264"/>
      <c r="U43" s="1264"/>
      <c r="V43" s="1264"/>
      <c r="W43" s="1264"/>
      <c r="X43" s="1265"/>
    </row>
    <row r="44" spans="1:24" ht="12" customHeight="1" x14ac:dyDescent="0.2">
      <c r="A44" s="162"/>
      <c r="B44" s="839">
        <v>3</v>
      </c>
      <c r="C44" s="263" t="s">
        <v>338</v>
      </c>
      <c r="D44" s="264"/>
      <c r="E44" s="264"/>
      <c r="F44" s="834">
        <f>-('FS2 Försäljning '!C239+'FS1 Kostnader '!F62*'FS1 Kostnader '!F63*'FS1 Kostnader '!F64+'FS1 Kostnader '!F65+'FS1 Kostnader '!F68)</f>
        <v>0</v>
      </c>
      <c r="G44" s="1012">
        <f>IF(F$43=0,0,F44/F$43)*-100</f>
        <v>0</v>
      </c>
      <c r="H44" s="1895">
        <f>-('FS2 Försäljning '!D239+'FS1 Kostnader '!G62*'FS1 Kostnader '!G63*'FS1 Kostnader '!G64+'FS1 Kostnader '!G65+'FS1 Kostnader '!G68)</f>
        <v>0</v>
      </c>
      <c r="I44" s="1895">
        <f>-('FS2 Försäljning '!F239+'FS1 Kostnader '!I62*'FS1 Kostnader '!I63*'FS1 Kostnader '!I64+'FS1 Kostnader '!I65+'FS1 Kostnader '!I68)</f>
        <v>0</v>
      </c>
      <c r="J44" s="1012">
        <f>IF(H$43=0,0,H44/H$43)*-100</f>
        <v>0</v>
      </c>
      <c r="K44" s="834">
        <f>-('FS2 Försäljning '!E239+'FS1 Kostnader '!H62*'FS1 Kostnader '!H63*'FS1 Kostnader '!H64+'FS1 Kostnader '!H65+'FS1 Kostnader '!H68)</f>
        <v>0</v>
      </c>
      <c r="L44" s="1012">
        <f>IF(K$43=0,0,K44/K$43)*-100</f>
        <v>0</v>
      </c>
      <c r="N44" s="1027"/>
      <c r="O44" s="1021"/>
      <c r="P44" s="1021"/>
      <c r="Q44" s="1021"/>
      <c r="R44" s="1264"/>
      <c r="S44" s="1264"/>
      <c r="T44" s="1264"/>
      <c r="U44" s="1264"/>
      <c r="V44" s="1264"/>
      <c r="W44" s="1264"/>
      <c r="X44" s="1265"/>
    </row>
    <row r="45" spans="1:24" ht="12" customHeight="1" x14ac:dyDescent="0.2">
      <c r="B45" s="839">
        <v>4</v>
      </c>
      <c r="C45" s="263" t="s">
        <v>339</v>
      </c>
      <c r="D45" s="264"/>
      <c r="E45" s="264"/>
      <c r="F45" s="834">
        <f>-('FS1 Kostnader '!F14+'FS1 Kostnader '!F28+'FS1 Kostnader '!F29+'FS1 Kostnader '!F36+'2 AT Palkat, alv'!H20+'2 AT Palkat, alv'!H36)</f>
        <v>0</v>
      </c>
      <c r="G45" s="1012">
        <f t="shared" ref="G45:G51" si="0">IF(F$43=0,0,F45/F$43)*-100</f>
        <v>0</v>
      </c>
      <c r="H45" s="1895">
        <f>-('FS1 Kostnader '!G14+'FS1 Kostnader '!G28+'FS1 Kostnader '!G29+'FS1 Kostnader '!G36+'2 AT Palkat, alv'!S20+'2 AT Palkat, alv'!S36)</f>
        <v>0</v>
      </c>
      <c r="I45" s="1895">
        <f>-('FS1 Kostnader '!F14+'FS1 Kostnader '!F28+'FS1 Kostnader '!F29+'FS1 Kostnader '!F36+'2 AT Palkat, alv'!S21+'2 AT Palkat, alv'!S36)</f>
        <v>0</v>
      </c>
      <c r="J45" s="1012">
        <f t="shared" ref="J45:J51" si="1">IF(H$43=0,0,H45/H$43)*-100</f>
        <v>0</v>
      </c>
      <c r="K45" s="834">
        <f>-('FS1 Kostnader '!H14+'FS1 Kostnader '!H28+'FS1 Kostnader '!H29+'FS1 Kostnader '!H36+'2 AT Palkat, alv'!U20+'2 AT Palkat, alv'!U36)</f>
        <v>0</v>
      </c>
      <c r="L45" s="1012">
        <f t="shared" ref="L45:L54" si="2">IF(K$43=0,0,K45/K$43)*-100</f>
        <v>0</v>
      </c>
      <c r="M45" s="76"/>
      <c r="N45" s="1296"/>
      <c r="O45" s="1297"/>
      <c r="P45" s="1021"/>
      <c r="Q45" s="1021"/>
      <c r="R45" s="1264"/>
      <c r="S45" s="1264"/>
      <c r="T45" s="1264"/>
      <c r="U45" s="1264"/>
      <c r="V45" s="1264"/>
      <c r="W45" s="1264"/>
      <c r="X45" s="1265"/>
    </row>
    <row r="46" spans="1:24" ht="12" customHeight="1" x14ac:dyDescent="0.2">
      <c r="A46" s="162"/>
      <c r="B46" s="839">
        <v>5</v>
      </c>
      <c r="C46" s="263" t="s">
        <v>340</v>
      </c>
      <c r="D46" s="264"/>
      <c r="E46" s="264"/>
      <c r="F46" s="834">
        <f>-('FS1 Kostnader '!F48+'FS1 Kostnader '!F59)</f>
        <v>0</v>
      </c>
      <c r="G46" s="1012">
        <f t="shared" si="0"/>
        <v>0</v>
      </c>
      <c r="H46" s="1895">
        <f>-('FS1 Kostnader '!G48+'FS1 Kostnader '!G59)</f>
        <v>0</v>
      </c>
      <c r="I46" s="1895">
        <f>-('FS1 Kostnader '!I48+'FS1 Kostnader '!I59)</f>
        <v>0</v>
      </c>
      <c r="J46" s="1012">
        <f t="shared" si="1"/>
        <v>0</v>
      </c>
      <c r="K46" s="834">
        <f>-('FS1 Kostnader '!H48+'FS1 Kostnader '!H59)</f>
        <v>0</v>
      </c>
      <c r="L46" s="1012">
        <f t="shared" si="2"/>
        <v>0</v>
      </c>
      <c r="M46" s="78"/>
      <c r="N46" s="1296"/>
      <c r="O46" s="1297"/>
      <c r="P46" s="1021"/>
      <c r="Q46" s="1021"/>
      <c r="R46" s="1264"/>
      <c r="S46" s="1264"/>
      <c r="T46" s="1264"/>
      <c r="U46" s="1264"/>
      <c r="V46" s="1264"/>
      <c r="W46" s="1264"/>
      <c r="X46" s="1265"/>
    </row>
    <row r="47" spans="1:24" ht="12" customHeight="1" x14ac:dyDescent="0.2">
      <c r="A47" s="2"/>
      <c r="B47" s="839">
        <v>6</v>
      </c>
      <c r="C47" s="263" t="s">
        <v>341</v>
      </c>
      <c r="D47" s="264"/>
      <c r="E47" s="264"/>
      <c r="F47" s="834">
        <f>-'FS1 Kostnader '!F89</f>
        <v>0</v>
      </c>
      <c r="G47" s="1012">
        <f t="shared" si="0"/>
        <v>0</v>
      </c>
      <c r="H47" s="1895">
        <f>-'FS1 Kostnader '!G89</f>
        <v>0</v>
      </c>
      <c r="I47" s="1895">
        <f>'FS1 Kostnader '!I89</f>
        <v>0</v>
      </c>
      <c r="J47" s="1012">
        <f t="shared" si="1"/>
        <v>0</v>
      </c>
      <c r="K47" s="834">
        <f>-'FS1 Kostnader '!H89</f>
        <v>0</v>
      </c>
      <c r="L47" s="1012">
        <f t="shared" si="2"/>
        <v>0</v>
      </c>
      <c r="M47" s="78"/>
      <c r="N47" s="1296"/>
      <c r="O47" s="1297"/>
      <c r="P47" s="1021"/>
      <c r="Q47" s="1021"/>
      <c r="R47" s="1264"/>
      <c r="S47" s="1264"/>
      <c r="T47" s="1264"/>
      <c r="U47" s="1264"/>
      <c r="V47" s="1264"/>
      <c r="W47" s="1264"/>
      <c r="X47" s="1265"/>
    </row>
    <row r="48" spans="1:24" ht="12" customHeight="1" x14ac:dyDescent="0.2">
      <c r="B48" s="839">
        <v>7</v>
      </c>
      <c r="C48" s="263" t="s">
        <v>342</v>
      </c>
      <c r="D48" s="264"/>
      <c r="E48" s="264"/>
      <c r="F48" s="834">
        <f>-('FS1 Kostnader '!F119+'FS1 Kostnader '!F118+'FS1 Kostnader '!F117+'FS1 Kostnader '!F114+'FS1 Kostnader '!F109+'FS1 Kostnader '!F104+'FS1 Kostnader '!F99+'FS1 Kostnader '!F95+'FS1 Kostnader '!F88+'FS1 Kostnader '!F83+'FS1 Kostnader '!F79+'FS1 Kostnader '!F74+'FS1 Kostnader '!F69+'FS1 Kostnader '!F67+'FS1 Kostnader '!F66+'FS1 Kostnader '!F47-'FS1 Kostnader '!F48+'FS1 Kostnader '!F41+'FS1 Kostnader '!F120+'FS1 Kostnader '!F121)</f>
        <v>0</v>
      </c>
      <c r="G48" s="1012">
        <f>IF(F$43=0,0,F48/F$43)*-100</f>
        <v>0</v>
      </c>
      <c r="H48" s="1895">
        <f>-('FS1 Kostnader '!G119+'FS1 Kostnader '!G118+'FS1 Kostnader '!G117+'FS1 Kostnader '!G114+'FS1 Kostnader '!G109+'FS1 Kostnader '!G104+'FS1 Kostnader '!G99+'FS1 Kostnader '!G95+'FS1 Kostnader '!G88+'FS1 Kostnader '!G83+'FS1 Kostnader '!G79+'FS1 Kostnader '!G74+'FS1 Kostnader '!G69+'FS1 Kostnader '!G67+'FS1 Kostnader '!G66+'FS1 Kostnader '!G47-'FS1 Kostnader '!G48+'FS1 Kostnader '!G41+'FS1 Kostnader '!G120+'FS1 Kostnader '!G121)</f>
        <v>0</v>
      </c>
      <c r="I48" s="1895" t="e">
        <f>-('FS1 Kostnader '!#REF!+'FS1 Kostnader '!I119+'FS1 Kostnader '!I118+'FS1 Kostnader '!I117+'FS1 Kostnader '!I114+'FS1 Kostnader '!I109+'FS1 Kostnader '!I104+'FS1 Kostnader '!I99+'FS1 Kostnader '!I95+'FS1 Kostnader '!I88+'FS1 Kostnader '!I83+'FS1 Kostnader '!I79+'FS1 Kostnader '!I74+'FS1 Kostnader '!I69+'FS1 Kostnader '!I61+'FS1 Kostnader '!I47-'FS1 Kostnader '!I48+'FS1 Kostnader '!I41)</f>
        <v>#REF!</v>
      </c>
      <c r="J48" s="1012">
        <f t="shared" si="1"/>
        <v>0</v>
      </c>
      <c r="K48" s="834">
        <f>-('FS1 Kostnader '!H119+'FS1 Kostnader '!H118+'FS1 Kostnader '!H117+'FS1 Kostnader '!H114+'FS1 Kostnader '!H109+'FS1 Kostnader '!H104+'FS1 Kostnader '!H99+'FS1 Kostnader '!H95+'FS1 Kostnader '!H88+'FS1 Kostnader '!H83+'FS1 Kostnader '!H79+'FS1 Kostnader '!H74+'FS1 Kostnader '!H69+'FS1 Kostnader '!H67+'FS1 Kostnader '!H66+'FS1 Kostnader '!H47-'FS1 Kostnader '!H48+'FS1 Kostnader '!H41+'FS1 Kostnader '!H120+'FS1 Kostnader '!H121)</f>
        <v>0</v>
      </c>
      <c r="L48" s="1012">
        <f t="shared" si="2"/>
        <v>0</v>
      </c>
      <c r="M48" s="78"/>
      <c r="N48" s="1296"/>
      <c r="O48" s="1297"/>
      <c r="P48" s="1021"/>
      <c r="Q48" s="1021"/>
      <c r="R48" s="1264"/>
      <c r="S48" s="1264"/>
      <c r="T48" s="1264"/>
      <c r="U48" s="1264"/>
      <c r="V48" s="1264"/>
      <c r="W48" s="1264"/>
      <c r="X48" s="1265"/>
    </row>
    <row r="49" spans="1:24" ht="12" customHeight="1" x14ac:dyDescent="0.2">
      <c r="A49" s="162"/>
      <c r="B49" s="1010">
        <v>8</v>
      </c>
      <c r="C49" s="265" t="s">
        <v>343</v>
      </c>
      <c r="D49" s="266"/>
      <c r="E49" s="266"/>
      <c r="F49" s="741">
        <f>F43+F44+F45+F46+F47+F48</f>
        <v>0</v>
      </c>
      <c r="G49" s="1013">
        <f>-(IF(F$43=0,0,F49/F$43)*-100)</f>
        <v>0</v>
      </c>
      <c r="H49" s="1870">
        <f>H43+H44+H45+H46+H47+H48</f>
        <v>0</v>
      </c>
      <c r="I49" s="1870"/>
      <c r="J49" s="1013">
        <f>-(IF(H$43=0,0,H49/H$43)*-100)</f>
        <v>0</v>
      </c>
      <c r="K49" s="741">
        <f>K43+K44+K45+K46+K47+K48</f>
        <v>0</v>
      </c>
      <c r="L49" s="1013">
        <f>-(IF(K$43=0,0,K49/K$43)*-100)</f>
        <v>0</v>
      </c>
      <c r="M49" s="78"/>
      <c r="N49" s="1296"/>
      <c r="O49" s="1297"/>
      <c r="P49" s="1021"/>
      <c r="Q49" s="1021"/>
      <c r="R49" s="1264"/>
      <c r="S49" s="1264"/>
      <c r="T49" s="1264"/>
      <c r="U49" s="1264"/>
      <c r="V49" s="1264"/>
      <c r="W49" s="1264"/>
      <c r="X49" s="1265"/>
    </row>
    <row r="50" spans="1:24" ht="12" customHeight="1" x14ac:dyDescent="0.2">
      <c r="B50" s="839">
        <v>9</v>
      </c>
      <c r="C50" s="263" t="s">
        <v>344</v>
      </c>
      <c r="D50" s="264"/>
      <c r="E50" s="264"/>
      <c r="F50" s="834">
        <f>-IF($F39=6,'5 YP Lainat ja avustukset'!B194,IF($F39=7,'5 YP Lainat ja avustukset'!C195,IF($F39=8,'5 YP Lainat ja avustukset'!D196,IF($F39=9,'5 YP Lainat ja avustukset'!E197,IF($F39=10,'5 YP Lainat ja avustukset'!F198,IF($F39=11,'5 YP Lainat ja avustukset'!G199,IF($F39=12,'5 YP Lainat ja avustukset'!H200,IF($F39=13,'5 YP Lainat ja avustukset'!I201,IF($F39=14,'5 YP Lainat ja avustukset'!J202,IF($F39=15,'5 YP Lainat ja avustukset'!K203,IF($F39=16,'5 YP Lainat ja avustukset'!L204,IF($F39=17,'5 YP Lainat ja avustukset'!M205,'5 YP Lainat ja avustukset'!N206))))))))))))</f>
        <v>0</v>
      </c>
      <c r="G50" s="1012">
        <f t="shared" si="0"/>
        <v>0</v>
      </c>
      <c r="H50" s="1658">
        <f>-IF($F39=6,'5 YP Lainat ja avustukset'!N194,IF($F39=7,'5 YP Lainat ja avustukset'!O195,IF($F39=8,'5 YP Lainat ja avustukset'!P196,IF($F39=9,'5 YP Lainat ja avustukset'!Q197,IF($F39=10,'5 YP Lainat ja avustukset'!R198,IF($F39=11,'5 YP Lainat ja avustukset'!S199,IF($F39=12,'5 YP Lainat ja avustukset'!T200,IF($F39=13,'5 YP Lainat ja avustukset'!U201,IF($F39=14,'5 YP Lainat ja avustukset'!V202,IF($F39=15,'5 YP Lainat ja avustukset'!W203,IF($F39=16,'5 YP Lainat ja avustukset'!X204,IF($F39=17,'5 YP Lainat ja avustukset'!Y205,'5 YP Lainat ja avustukset'!Z206))))))))))))</f>
        <v>0</v>
      </c>
      <c r="I50" s="1678">
        <f>-IF($F39=6,'1Kauppa AT lainat ja avustukset'!E194,IF($F39=7,'1Kauppa AT lainat ja avustukset'!F195,IF($F39=8,'1Kauppa AT lainat ja avustukset'!G196,IF($F39=9,'1Kauppa AT lainat ja avustukset'!H197,IF($F39=10,'1Kauppa AT lainat ja avustukset'!I198,IF($F39=11,'1Kauppa AT lainat ja avustukset'!J199,IF($F39=12,'1Kauppa AT lainat ja avustukset'!K200,IF($F39=13,'1Kauppa AT lainat ja avustukset'!L201,IF($F39=14,'1Kauppa AT lainat ja avustukset'!M202,IF($F39=15,'1Kauppa AT lainat ja avustukset'!N203,IF($F39=16,'1Kauppa AT lainat ja avustukset'!O204,IF($F39=17,'1Kauppa AT lainat ja avustukset'!P205,'1Kauppa AT lainat ja avustukset'!Q206))))))))))))</f>
        <v>0</v>
      </c>
      <c r="J50" s="1012">
        <f t="shared" si="1"/>
        <v>0</v>
      </c>
      <c r="K50" s="959">
        <f>-IF($F39=6,'5 YP Lainat ja avustukset'!Z194,IF($F39=7,'5 YP Lainat ja avustukset'!AA195,IF($F39=8,'5 YP Lainat ja avustukset'!AB196,IF($F39=9,'5 YP Lainat ja avustukset'!AC197,IF($F39=10,'5 YP Lainat ja avustukset'!AD198,IF($F39=11,'5 YP Lainat ja avustukset'!AE199,IF($F39=12,'5 YP Lainat ja avustukset'!AF200,IF($F39=13,'5 YP Lainat ja avustukset'!AG201,IF($F39=14,'5 YP Lainat ja avustukset'!AH202,IF($F39=15,'5 YP Lainat ja avustukset'!AI203,IF($F39=16,'5 YP Lainat ja avustukset'!AJ204,IF($F39=17,'5 YP Lainat ja avustukset'!AK205,'5 YP Lainat ja avustukset'!AL206))))))))))))</f>
        <v>0</v>
      </c>
      <c r="L50" s="1012">
        <f t="shared" si="2"/>
        <v>0</v>
      </c>
      <c r="M50" s="78"/>
      <c r="N50" s="1296"/>
      <c r="O50" s="1297"/>
      <c r="P50" s="1021"/>
      <c r="Q50" s="1021"/>
      <c r="R50" s="1264"/>
      <c r="S50" s="1264"/>
      <c r="T50" s="1264"/>
      <c r="U50" s="1264"/>
      <c r="V50" s="1264"/>
      <c r="W50" s="1264"/>
      <c r="X50" s="1265"/>
    </row>
    <row r="51" spans="1:24" ht="12" customHeight="1" x14ac:dyDescent="0.2">
      <c r="A51" s="162"/>
      <c r="B51" s="839">
        <v>10</v>
      </c>
      <c r="C51" s="263" t="s">
        <v>345</v>
      </c>
      <c r="D51" s="264"/>
      <c r="E51" s="264"/>
      <c r="F51" s="834">
        <f>-IF(F52*(F49+F50+F54+0.5*'FS1 Kostnader '!F88)&lt;0,0,F52*(F49+F50+0.5*'FS1 Kostnader '!F88))</f>
        <v>0</v>
      </c>
      <c r="G51" s="1012">
        <f t="shared" si="0"/>
        <v>0</v>
      </c>
      <c r="H51" s="1658">
        <f>-IF(H52*(H49+H50+H54+0.5*'FS1 Kostnader '!G88)&lt;0,0,H52*(H49+H50+H54+0.5*'FS1 Kostnader '!G88))</f>
        <v>0</v>
      </c>
      <c r="I51" s="1659"/>
      <c r="J51" s="1012">
        <f t="shared" si="1"/>
        <v>0</v>
      </c>
      <c r="K51" s="834">
        <f>-IF(K52*(K49+K50+K54+0.5*'FS1 Kostnader '!H88)&lt;0,0,K52*(K49+K50+K54+0.5*'FS1 Kostnader '!H88))</f>
        <v>0</v>
      </c>
      <c r="L51" s="1012">
        <f t="shared" si="2"/>
        <v>0</v>
      </c>
      <c r="N51" s="1027"/>
      <c r="O51" s="1021"/>
      <c r="P51" s="1021"/>
      <c r="Q51" s="1021"/>
      <c r="R51" s="1264"/>
      <c r="S51" s="1264"/>
      <c r="T51" s="1264"/>
      <c r="U51" s="1264"/>
      <c r="V51" s="1264"/>
      <c r="W51" s="1264"/>
      <c r="X51" s="1265"/>
    </row>
    <row r="52" spans="1:24" ht="12" customHeight="1" x14ac:dyDescent="0.2">
      <c r="A52" s="162"/>
      <c r="B52" s="839"/>
      <c r="C52" s="946" t="s">
        <v>346</v>
      </c>
      <c r="D52" s="264"/>
      <c r="E52" s="264"/>
      <c r="F52" s="989">
        <v>0.2</v>
      </c>
      <c r="G52" s="990"/>
      <c r="H52" s="1772">
        <v>0.2</v>
      </c>
      <c r="I52" s="1773"/>
      <c r="J52" s="990"/>
      <c r="K52" s="989">
        <v>0.2</v>
      </c>
      <c r="L52" s="979"/>
      <c r="N52" s="1027"/>
      <c r="O52" s="1021"/>
      <c r="P52" s="1021"/>
      <c r="Q52" s="1021"/>
      <c r="R52" s="1264"/>
      <c r="S52" s="1264"/>
      <c r="T52" s="1264"/>
      <c r="U52" s="1264"/>
      <c r="V52" s="1264"/>
      <c r="W52" s="1264"/>
      <c r="X52" s="1265"/>
    </row>
    <row r="53" spans="1:24" ht="12" customHeight="1" x14ac:dyDescent="0.2">
      <c r="A53" s="2"/>
      <c r="B53" s="1010">
        <v>11</v>
      </c>
      <c r="C53" s="265" t="s">
        <v>347</v>
      </c>
      <c r="D53" s="266"/>
      <c r="E53" s="266"/>
      <c r="F53" s="741">
        <f>SUM(F49:F51)</f>
        <v>0</v>
      </c>
      <c r="G53" s="1013">
        <f>-(IF(F$43=0,0,F53/F$43)*-100)</f>
        <v>0</v>
      </c>
      <c r="H53" s="1870">
        <f>SUM(H49:H51)</f>
        <v>0</v>
      </c>
      <c r="I53" s="1870"/>
      <c r="J53" s="1013">
        <f>-(IF(H$43=0,0,H53/H$43)*-100)</f>
        <v>0</v>
      </c>
      <c r="K53" s="741">
        <f>SUM(K49:K51)</f>
        <v>0</v>
      </c>
      <c r="L53" s="1013">
        <f>-(IF(K$43=0,0,K53/K$43)*-100)</f>
        <v>0</v>
      </c>
      <c r="N53" s="1027"/>
      <c r="O53" s="1021"/>
      <c r="P53" s="1021"/>
      <c r="Q53" s="1021"/>
      <c r="R53" s="1264"/>
      <c r="S53" s="1264"/>
      <c r="T53" s="1264"/>
      <c r="U53" s="1264"/>
      <c r="V53" s="1264"/>
      <c r="W53" s="1264"/>
      <c r="X53" s="1265"/>
    </row>
    <row r="54" spans="1:24" ht="12" customHeight="1" x14ac:dyDescent="0.2">
      <c r="B54" s="839">
        <v>12</v>
      </c>
      <c r="C54" s="263" t="s">
        <v>348</v>
      </c>
      <c r="D54" s="267"/>
      <c r="E54" s="267"/>
      <c r="F54" s="959">
        <f>-'5 YP Lainat ja avustukset'!F2</f>
        <v>0</v>
      </c>
      <c r="G54" s="978">
        <f>IF(F$43=0,0,F54/F$43)*-100</f>
        <v>0</v>
      </c>
      <c r="H54" s="1658">
        <f>-'5 YP Lainat ja avustukset'!G2</f>
        <v>0</v>
      </c>
      <c r="I54" s="1678">
        <f>'5 YP Lainat ja avustukset'!I2</f>
        <v>0</v>
      </c>
      <c r="J54" s="978">
        <f>IF(H$43=0,0,H54/H$43)*-100</f>
        <v>0</v>
      </c>
      <c r="K54" s="959">
        <f>-'5 YP Lainat ja avustukset'!H2</f>
        <v>0</v>
      </c>
      <c r="L54" s="1012">
        <f t="shared" si="2"/>
        <v>0</v>
      </c>
      <c r="N54" s="1027"/>
      <c r="O54" s="1021"/>
      <c r="P54" s="1021"/>
      <c r="Q54" s="1021"/>
      <c r="R54" s="1264"/>
      <c r="S54" s="1264"/>
      <c r="T54" s="1264"/>
      <c r="U54" s="1264"/>
      <c r="V54" s="1264"/>
      <c r="W54" s="1264"/>
      <c r="X54" s="1265"/>
    </row>
    <row r="55" spans="1:24" ht="12" customHeight="1" x14ac:dyDescent="0.2">
      <c r="B55" s="839"/>
      <c r="C55" s="263" t="s">
        <v>349</v>
      </c>
      <c r="D55" s="267"/>
      <c r="E55" s="267"/>
      <c r="F55" s="962">
        <v>7.0000000000000007E-2</v>
      </c>
      <c r="G55" s="1012" t="s">
        <v>0</v>
      </c>
      <c r="H55" s="1869">
        <v>7.0000000000000007E-2</v>
      </c>
      <c r="I55" s="1869"/>
      <c r="J55" s="1012" t="s">
        <v>0</v>
      </c>
      <c r="K55" s="962">
        <v>7.0000000000000007E-2</v>
      </c>
      <c r="L55" s="1012" t="s">
        <v>0</v>
      </c>
      <c r="N55" s="1027"/>
      <c r="O55" s="1021"/>
      <c r="P55" s="1021"/>
      <c r="Q55" s="1021"/>
      <c r="R55" s="1264"/>
      <c r="S55" s="1264"/>
      <c r="T55" s="1264"/>
      <c r="U55" s="1264"/>
      <c r="V55" s="1264"/>
      <c r="W55" s="1264"/>
      <c r="X55" s="1265"/>
    </row>
    <row r="56" spans="1:24" ht="12" customHeight="1" x14ac:dyDescent="0.2">
      <c r="B56" s="839"/>
      <c r="C56" s="263" t="s">
        <v>350</v>
      </c>
      <c r="D56" s="267"/>
      <c r="E56" s="267"/>
      <c r="F56" s="962">
        <v>0.2</v>
      </c>
      <c r="G56" s="1012" t="s">
        <v>0</v>
      </c>
      <c r="H56" s="1869">
        <v>0.2</v>
      </c>
      <c r="I56" s="1869"/>
      <c r="J56" s="1012" t="s">
        <v>0</v>
      </c>
      <c r="K56" s="962">
        <v>0.2</v>
      </c>
      <c r="L56" s="1012" t="s">
        <v>0</v>
      </c>
      <c r="N56" s="1027"/>
      <c r="O56" s="1021"/>
      <c r="P56" s="1021"/>
      <c r="Q56" s="1021"/>
      <c r="R56" s="1264"/>
      <c r="S56" s="1264"/>
      <c r="T56" s="1264"/>
      <c r="U56" s="1264"/>
      <c r="V56" s="1264"/>
      <c r="W56" s="1264"/>
      <c r="X56" s="1265"/>
    </row>
    <row r="57" spans="1:24" x14ac:dyDescent="0.2">
      <c r="B57" s="839"/>
      <c r="C57" s="263" t="s">
        <v>685</v>
      </c>
      <c r="D57" s="267"/>
      <c r="E57" s="267"/>
      <c r="F57" s="1284">
        <v>0.2</v>
      </c>
      <c r="G57" s="980"/>
      <c r="H57" s="1867">
        <v>0.2</v>
      </c>
      <c r="I57" s="1868"/>
      <c r="J57" s="980"/>
      <c r="K57" s="1285">
        <v>0.2</v>
      </c>
      <c r="L57" s="980"/>
      <c r="M57" s="34"/>
      <c r="N57" s="1027"/>
      <c r="O57" s="1021"/>
      <c r="P57" s="1021"/>
      <c r="Q57" s="1021"/>
      <c r="R57" s="1264"/>
      <c r="S57" s="1264"/>
      <c r="T57" s="1264"/>
      <c r="U57" s="1264"/>
      <c r="V57" s="1264"/>
      <c r="W57" s="1264"/>
      <c r="X57" s="1265"/>
    </row>
    <row r="58" spans="1:24" x14ac:dyDescent="0.2">
      <c r="B58" s="839"/>
      <c r="C58" s="263" t="s">
        <v>350</v>
      </c>
      <c r="D58" s="267"/>
      <c r="E58" s="267"/>
      <c r="F58" s="1284">
        <v>0.2</v>
      </c>
      <c r="G58" s="980"/>
      <c r="H58" s="1867">
        <v>0.2</v>
      </c>
      <c r="I58" s="1868"/>
      <c r="J58" s="980"/>
      <c r="K58" s="1285">
        <v>0.2</v>
      </c>
      <c r="L58" s="980"/>
      <c r="M58" s="34"/>
      <c r="N58" s="1027"/>
      <c r="O58" s="1021"/>
      <c r="P58" s="1021"/>
      <c r="Q58" s="1021"/>
      <c r="R58" s="1264"/>
      <c r="S58" s="1264"/>
      <c r="T58" s="1264"/>
      <c r="U58" s="1264"/>
      <c r="V58" s="1264"/>
      <c r="W58" s="1264"/>
      <c r="X58" s="1265"/>
    </row>
    <row r="59" spans="1:24" ht="12" customHeight="1" x14ac:dyDescent="0.2">
      <c r="B59" s="1010">
        <v>13</v>
      </c>
      <c r="C59" s="265" t="s">
        <v>351</v>
      </c>
      <c r="D59" s="266"/>
      <c r="E59" s="266"/>
      <c r="F59" s="741">
        <f>F53+F54</f>
        <v>0</v>
      </c>
      <c r="G59" s="1013">
        <f>-(IF(F$43=0,0,F59/F$43)*-100)</f>
        <v>0</v>
      </c>
      <c r="H59" s="1870">
        <f>H53+H54</f>
        <v>0</v>
      </c>
      <c r="I59" s="1870"/>
      <c r="J59" s="1013">
        <f>-(IF(H$43=0,0,H59/H$43)*-100)</f>
        <v>0</v>
      </c>
      <c r="K59" s="741">
        <f>K53+K54</f>
        <v>0</v>
      </c>
      <c r="L59" s="1013">
        <f>-(IF(K$43=0,0,K59/K$43)*-100)</f>
        <v>0</v>
      </c>
      <c r="N59" s="1027"/>
      <c r="O59" s="1021"/>
      <c r="P59" s="1021"/>
      <c r="Q59" s="1021"/>
      <c r="R59" s="1264"/>
      <c r="S59" s="1264"/>
      <c r="T59" s="1264"/>
      <c r="U59" s="1264"/>
      <c r="V59" s="1264"/>
      <c r="W59" s="1264"/>
      <c r="X59" s="1265"/>
    </row>
    <row r="60" spans="1:24" ht="12" customHeight="1" x14ac:dyDescent="0.2">
      <c r="B60" s="1010">
        <v>14</v>
      </c>
      <c r="C60" s="265" t="s">
        <v>352</v>
      </c>
      <c r="D60" s="266"/>
      <c r="E60" s="266"/>
      <c r="F60" s="741">
        <f>F59</f>
        <v>0</v>
      </c>
      <c r="G60" s="1013">
        <f>-(IF(F43=0,0,F60/F$43)*-100)</f>
        <v>0</v>
      </c>
      <c r="H60" s="1870">
        <f t="shared" ref="H60:I60" si="3">H59</f>
        <v>0</v>
      </c>
      <c r="I60" s="1870">
        <f t="shared" si="3"/>
        <v>0</v>
      </c>
      <c r="J60" s="1013">
        <f>-(IF(H43=0,0,H60/H$43)*-100)</f>
        <v>0</v>
      </c>
      <c r="K60" s="741">
        <f>K59</f>
        <v>0</v>
      </c>
      <c r="L60" s="1013">
        <f>-(IF(K43=0,0,K60/K$43)*-100)</f>
        <v>0</v>
      </c>
      <c r="N60" s="1027"/>
      <c r="O60" s="1021"/>
      <c r="P60" s="1021"/>
      <c r="Q60" s="1021"/>
      <c r="R60" s="1264"/>
      <c r="S60" s="1264"/>
      <c r="T60" s="1264"/>
      <c r="U60" s="1264"/>
      <c r="V60" s="1264"/>
      <c r="W60" s="1264"/>
      <c r="X60" s="1265"/>
    </row>
    <row r="61" spans="1:24" ht="6" customHeight="1" x14ac:dyDescent="0.2">
      <c r="B61" s="412"/>
      <c r="C61" s="345"/>
      <c r="D61" s="345"/>
      <c r="E61" s="345"/>
      <c r="F61" s="417"/>
      <c r="G61" s="162"/>
      <c r="H61" s="418"/>
      <c r="I61" s="418"/>
      <c r="J61" s="162"/>
      <c r="K61" s="417"/>
      <c r="L61" s="162"/>
      <c r="N61" s="1040"/>
      <c r="O61" s="355"/>
      <c r="P61" s="355"/>
      <c r="Q61" s="355"/>
      <c r="R61" s="346"/>
      <c r="S61" s="346"/>
      <c r="T61" s="346"/>
      <c r="U61" s="346"/>
      <c r="V61" s="346"/>
      <c r="W61" s="346"/>
      <c r="X61" s="1298"/>
    </row>
    <row r="62" spans="1:24" ht="25.5" customHeight="1" x14ac:dyDescent="0.2">
      <c r="B62" s="839">
        <v>15</v>
      </c>
      <c r="C62" s="1783" t="s">
        <v>866</v>
      </c>
      <c r="D62" s="1784"/>
      <c r="E62" s="1784"/>
      <c r="F62" s="1717">
        <f>IF($F39=6,'5 YP Lainat ja avustukset'!B181,IF($F39=7,'5 YP Lainat ja avustukset'!C182,IF($F39=8,'5 YP Lainat ja avustukset'!D183,IF($F39=9,'5 YP Lainat ja avustukset'!E184,IF($F39=10,'5 YP Lainat ja avustukset'!F185,IF($F39=11,'5 YP Lainat ja avustukset'!G186,IF($F39=12,'5 YP Lainat ja avustukset'!H187,IF($F39=13,'5 YP Lainat ja avustukset'!I188,IF($F39=14,'5 YP Lainat ja avustukset'!J189,IF($F39=15,'5 YP Lainat ja avustukset'!K190,IF($F39=16,'5 YP Lainat ja avustukset'!L191,IF($F39=17,'5 YP Lainat ja avustukset'!M192,'5 YP Lainat ja avustukset'!N193))))))))))))</f>
        <v>0</v>
      </c>
      <c r="G62" s="1718"/>
      <c r="H62" s="1717">
        <f>IF($F39=6,'5 YP Lainat ja avustukset'!N181,IF($F39=7,'5 YP Lainat ja avustukset'!O182,IF($F39=8,'5 YP Lainat ja avustukset'!P183,IF($F39=9,'5 YP Lainat ja avustukset'!Q184,IF($F39=10,'5 YP Lainat ja avustukset'!R185,IF($F39=11,'5 YP Lainat ja avustukset'!S186,IF($F39=12,'5 YP Lainat ja avustukset'!T187,IF($F39=13,'5 YP Lainat ja avustukset'!U188,IF($F39=14,'5 YP Lainat ja avustukset'!V189,IF($F39=15,'5 YP Lainat ja avustukset'!W190,IF($F39=16,'5 YP Lainat ja avustukset'!X191,IF($F39=17,'5 YP Lainat ja avustukset'!Y192,'5 YP Lainat ja avustukset'!Z193))))))))))))</f>
        <v>0</v>
      </c>
      <c r="I62" s="1726"/>
      <c r="J62" s="1718"/>
      <c r="K62" s="1726">
        <f>IF($F39=6,'5 YP Lainat ja avustukset'!Z181,IF($F39=7,'5 YP Lainat ja avustukset'!AA182,IF($F39=8,'5 YP Lainat ja avustukset'!AB183,IF($F39=9,'5 YP Lainat ja avustukset'!AC184,IF($F39=10,'5 YP Lainat ja avustukset'!AD185,IF($F39=11,'5 YP Lainat ja avustukset'!AE186,IF($F39=12,'5 YP Lainat ja avustukset'!AF187,IF($F39=13,'5 YP Lainat ja avustukset'!AG188,IF($F39=14,'5 YP Lainat ja avustukset'!AH189,IF($F39=15,'5 YP Lainat ja avustukset'!AI190,IF($F39=16,'5 YP Lainat ja avustukset'!AJ191,IF($F39=17,'5 YP Lainat ja avustukset'!AK192,'5 YP Lainat ja avustukset'!AL193))))))))))))</f>
        <v>0</v>
      </c>
      <c r="L62" s="1718"/>
      <c r="N62" s="1027"/>
      <c r="O62" s="1021"/>
      <c r="P62" s="1021"/>
      <c r="Q62" s="1021"/>
      <c r="R62" s="1264"/>
      <c r="S62" s="1264"/>
      <c r="T62" s="1264"/>
      <c r="U62" s="1264"/>
      <c r="V62" s="1264"/>
      <c r="W62" s="1264"/>
      <c r="X62" s="1265"/>
    </row>
    <row r="63" spans="1:24" ht="6" customHeight="1" x14ac:dyDescent="0.2">
      <c r="B63" s="412"/>
      <c r="C63" s="345"/>
      <c r="D63" s="345"/>
      <c r="E63" s="345"/>
      <c r="F63" s="417"/>
      <c r="G63" s="417"/>
      <c r="H63" s="417"/>
      <c r="I63" s="417"/>
      <c r="J63" s="417"/>
      <c r="K63" s="163"/>
      <c r="L63" s="162"/>
      <c r="N63" s="1040"/>
      <c r="O63" s="355"/>
      <c r="P63" s="355"/>
      <c r="Q63" s="355"/>
      <c r="R63" s="346"/>
      <c r="S63" s="346"/>
      <c r="T63" s="346"/>
      <c r="U63" s="346"/>
      <c r="V63" s="346"/>
      <c r="W63" s="346"/>
      <c r="X63" s="1298"/>
    </row>
    <row r="64" spans="1:24" ht="16.5" customHeight="1" x14ac:dyDescent="0.2">
      <c r="B64" s="1087"/>
      <c r="C64" s="1087" t="s">
        <v>598</v>
      </c>
      <c r="D64" s="1087"/>
      <c r="E64" s="1087"/>
      <c r="F64" s="1088"/>
      <c r="G64" s="1088"/>
      <c r="H64" s="1088"/>
      <c r="I64" s="1089"/>
      <c r="J64" s="1089"/>
      <c r="K64" s="1896"/>
      <c r="L64" s="1896"/>
      <c r="N64" s="1027"/>
      <c r="O64" s="1021"/>
      <c r="P64" s="1021"/>
      <c r="Q64" s="1021"/>
      <c r="R64" s="1264"/>
      <c r="S64" s="1264"/>
      <c r="T64" s="1264"/>
      <c r="U64" s="1264"/>
      <c r="V64" s="1264"/>
      <c r="W64" s="1264"/>
      <c r="X64" s="1265"/>
    </row>
    <row r="65" spans="2:24" ht="12" customHeight="1" x14ac:dyDescent="0.2">
      <c r="B65" s="1215">
        <v>16</v>
      </c>
      <c r="C65" s="325" t="s">
        <v>653</v>
      </c>
      <c r="D65" s="326"/>
      <c r="E65" s="1311">
        <f>'FS1 Kostnader '!F47-'FS1 Kostnader '!F48</f>
        <v>0</v>
      </c>
      <c r="F65" s="1313" t="s">
        <v>658</v>
      </c>
      <c r="G65" s="325"/>
      <c r="H65" s="325"/>
      <c r="I65" s="325"/>
      <c r="J65" s="1314"/>
      <c r="K65" s="1926">
        <f>'FS1 Kostnader '!F79+'FS1 Kostnader '!F83</f>
        <v>0</v>
      </c>
      <c r="L65" s="1926"/>
      <c r="N65" s="1027"/>
      <c r="O65" s="1021"/>
      <c r="P65" s="1021"/>
      <c r="Q65" s="1021"/>
      <c r="R65" s="1264"/>
      <c r="S65" s="1264"/>
      <c r="T65" s="1264"/>
      <c r="U65" s="1264"/>
      <c r="V65" s="1264"/>
      <c r="W65" s="1264"/>
      <c r="X65" s="1265"/>
    </row>
    <row r="66" spans="2:24" ht="12" customHeight="1" x14ac:dyDescent="0.2">
      <c r="B66" s="1216">
        <v>17</v>
      </c>
      <c r="C66" s="264" t="s">
        <v>654</v>
      </c>
      <c r="D66" s="268"/>
      <c r="E66" s="1312">
        <f>'FS1 Kostnader '!F41</f>
        <v>0</v>
      </c>
      <c r="F66" s="1310" t="s">
        <v>659</v>
      </c>
      <c r="G66" s="1308"/>
      <c r="H66" s="1308"/>
      <c r="I66" s="1308"/>
      <c r="J66" s="1309"/>
      <c r="K66" s="1895">
        <f>'FS1 Kostnader '!F99+'FS1 Kostnader '!F114+'FS1 Kostnader '!F117</f>
        <v>0</v>
      </c>
      <c r="L66" s="1895"/>
      <c r="N66" s="1027"/>
      <c r="O66" s="1021"/>
      <c r="P66" s="1021"/>
      <c r="Q66" s="1021"/>
      <c r="R66" s="1264"/>
      <c r="S66" s="1264"/>
      <c r="T66" s="1264"/>
      <c r="U66" s="1264"/>
      <c r="V66" s="1264"/>
      <c r="W66" s="1264"/>
      <c r="X66" s="1265"/>
    </row>
    <row r="67" spans="2:24" ht="12" customHeight="1" x14ac:dyDescent="0.2">
      <c r="B67" s="1216">
        <v>18</v>
      </c>
      <c r="C67" s="264" t="s">
        <v>655</v>
      </c>
      <c r="D67" s="268"/>
      <c r="E67" s="1312">
        <f>'FS1 Kostnader '!F66+'FS1 Kostnader '!F67</f>
        <v>0</v>
      </c>
      <c r="F67" s="1310" t="s">
        <v>660</v>
      </c>
      <c r="G67" s="1308"/>
      <c r="H67" s="1308"/>
      <c r="I67" s="1308"/>
      <c r="J67" s="1309"/>
      <c r="K67" s="1895">
        <f>'FS1 Kostnader '!F104</f>
        <v>0</v>
      </c>
      <c r="L67" s="1895"/>
      <c r="N67" s="1027"/>
      <c r="O67" s="1021"/>
      <c r="P67" s="1021"/>
      <c r="Q67" s="1021"/>
      <c r="R67" s="1264"/>
      <c r="S67" s="1264"/>
      <c r="T67" s="1264"/>
      <c r="U67" s="1264"/>
      <c r="V67" s="1264"/>
      <c r="W67" s="1264"/>
      <c r="X67" s="1265"/>
    </row>
    <row r="68" spans="2:24" ht="12" customHeight="1" x14ac:dyDescent="0.2">
      <c r="B68" s="1216">
        <v>19</v>
      </c>
      <c r="C68" s="264" t="s">
        <v>656</v>
      </c>
      <c r="D68" s="268"/>
      <c r="E68" s="1312">
        <f>'FS1 Kostnader '!F69</f>
        <v>0</v>
      </c>
      <c r="F68" s="1780" t="s">
        <v>661</v>
      </c>
      <c r="G68" s="1781"/>
      <c r="H68" s="1781"/>
      <c r="I68" s="1781"/>
      <c r="J68" s="1782"/>
      <c r="K68" s="1895">
        <f>'FS1 Kostnader '!F109</f>
        <v>0</v>
      </c>
      <c r="L68" s="1895"/>
      <c r="N68" s="1027"/>
      <c r="O68" s="1021"/>
      <c r="P68" s="1021"/>
      <c r="Q68" s="1021"/>
      <c r="R68" s="1264"/>
      <c r="S68" s="1264"/>
      <c r="T68" s="1264"/>
      <c r="U68" s="1264"/>
      <c r="V68" s="1264"/>
      <c r="W68" s="1264"/>
      <c r="X68" s="1265"/>
    </row>
    <row r="69" spans="2:24" ht="12" customHeight="1" x14ac:dyDescent="0.2">
      <c r="B69" s="1216">
        <v>20</v>
      </c>
      <c r="C69" s="1778" t="s">
        <v>657</v>
      </c>
      <c r="D69" s="1779"/>
      <c r="E69" s="1312">
        <f>'FS1 Kostnader '!F74+'FS1 Kostnader '!F78</f>
        <v>0</v>
      </c>
      <c r="F69" s="1798" t="s">
        <v>662</v>
      </c>
      <c r="G69" s="1799"/>
      <c r="H69" s="1799"/>
      <c r="I69" s="1799"/>
      <c r="J69" s="1800"/>
      <c r="K69" s="1895">
        <f>'FS1 Kostnader '!F119+'FS1 Kostnader '!F118+'FS1 Kostnader '!F95+'FS1 Kostnader '!F88+'FS1 Kostnader '!F120+'FS1 Kostnader '!F121</f>
        <v>0</v>
      </c>
      <c r="L69" s="1895"/>
      <c r="N69" s="1028"/>
      <c r="O69" s="1024"/>
      <c r="P69" s="1024"/>
      <c r="Q69" s="1024"/>
      <c r="R69" s="1266"/>
      <c r="S69" s="1266"/>
      <c r="T69" s="1266"/>
      <c r="U69" s="1266"/>
      <c r="V69" s="1266"/>
      <c r="W69" s="1266"/>
      <c r="X69" s="1267"/>
    </row>
    <row r="70" spans="2:24" x14ac:dyDescent="0.2">
      <c r="B70" s="60"/>
      <c r="C70" s="61"/>
      <c r="D70" s="61"/>
      <c r="E70" s="37"/>
      <c r="F70" s="60"/>
      <c r="G70" s="60"/>
      <c r="H70" s="60"/>
      <c r="I70" s="60"/>
      <c r="J70" s="37"/>
      <c r="K70" s="37"/>
    </row>
    <row r="71" spans="2:24" x14ac:dyDescent="0.2">
      <c r="B71" s="60"/>
      <c r="C71" s="61"/>
      <c r="D71" s="61"/>
      <c r="E71" s="37"/>
      <c r="F71" s="60"/>
      <c r="G71" s="60"/>
      <c r="H71" s="60"/>
      <c r="I71" s="60"/>
      <c r="J71" s="37"/>
      <c r="K71" s="37"/>
    </row>
    <row r="72" spans="2:24" ht="8.25" customHeight="1" x14ac:dyDescent="0.2">
      <c r="B72" s="60"/>
      <c r="C72" s="61"/>
      <c r="D72" s="61"/>
      <c r="E72" s="37"/>
      <c r="F72" s="60"/>
      <c r="G72" s="60"/>
      <c r="H72" s="60"/>
      <c r="I72" s="60"/>
      <c r="J72" s="37"/>
      <c r="K72" s="37"/>
    </row>
    <row r="73" spans="2:24" x14ac:dyDescent="0.2">
      <c r="B73" s="71" t="s">
        <v>238</v>
      </c>
      <c r="C73" s="291"/>
      <c r="D73" s="409"/>
      <c r="E73" s="53"/>
      <c r="F73" s="53"/>
      <c r="G73" s="290"/>
      <c r="H73" s="291"/>
      <c r="I73" s="291"/>
      <c r="J73" s="291"/>
      <c r="K73" s="53"/>
    </row>
    <row r="74" spans="2:24" x14ac:dyDescent="0.2">
      <c r="B74" s="1768">
        <f>B9</f>
        <v>0</v>
      </c>
      <c r="C74" s="1768"/>
      <c r="D74" s="1768"/>
      <c r="E74" s="1768"/>
      <c r="F74" s="1871"/>
      <c r="G74" s="1871"/>
      <c r="H74" s="1871"/>
      <c r="I74" s="1871"/>
      <c r="J74" s="1871"/>
      <c r="K74" s="1920"/>
      <c r="L74" s="1920"/>
    </row>
    <row r="75" spans="2:24" ht="7.5" customHeight="1" x14ac:dyDescent="0.2">
      <c r="B75" s="287"/>
      <c r="C75" s="287"/>
      <c r="D75" s="287"/>
      <c r="E75" s="287"/>
      <c r="F75" s="288"/>
      <c r="G75" s="288"/>
      <c r="H75" s="288"/>
      <c r="I75" s="288"/>
      <c r="J75" s="288"/>
      <c r="K75" s="289"/>
      <c r="L75" s="289"/>
      <c r="M75" s="50"/>
    </row>
    <row r="76" spans="2:24" ht="15.75" customHeight="1" x14ac:dyDescent="0.2">
      <c r="C76" s="492" t="s">
        <v>699</v>
      </c>
      <c r="D76" s="288"/>
      <c r="E76" s="288"/>
      <c r="F76" s="288"/>
      <c r="G76" s="288"/>
      <c r="H76" s="288"/>
      <c r="I76" s="288"/>
      <c r="J76" s="288"/>
      <c r="K76" s="289"/>
      <c r="L76" s="289"/>
      <c r="M76" s="50"/>
    </row>
    <row r="77" spans="2:24" ht="12.75" customHeight="1" x14ac:dyDescent="0.2">
      <c r="B77" s="287"/>
      <c r="C77" s="287"/>
      <c r="D77" s="287"/>
      <c r="E77" s="922">
        <f>F38</f>
        <v>2027</v>
      </c>
      <c r="F77" s="922">
        <f>H38</f>
        <v>2028</v>
      </c>
      <c r="G77" s="1792">
        <f>K38</f>
        <v>2029</v>
      </c>
      <c r="H77" s="1793"/>
      <c r="I77" s="288"/>
      <c r="J77" s="288"/>
      <c r="K77" s="289"/>
      <c r="L77" s="289"/>
      <c r="M77" s="50"/>
    </row>
    <row r="78" spans="2:24" ht="12.75" customHeight="1" x14ac:dyDescent="0.2">
      <c r="B78" s="287"/>
      <c r="C78" s="1765" t="s">
        <v>358</v>
      </c>
      <c r="D78" s="1766"/>
      <c r="E78" s="739">
        <f>'FS1 Kostnader '!F127</f>
        <v>0</v>
      </c>
      <c r="F78" s="739">
        <f>'FS1 Kostnader '!G127</f>
        <v>0</v>
      </c>
      <c r="G78" s="1724">
        <f>'FS1 Kostnader '!H127</f>
        <v>0</v>
      </c>
      <c r="H78" s="1725"/>
      <c r="I78" s="397"/>
      <c r="J78" s="288"/>
      <c r="K78" s="289"/>
      <c r="L78" s="289"/>
      <c r="M78" s="50"/>
    </row>
    <row r="79" spans="2:24" ht="12.75" customHeight="1" x14ac:dyDescent="0.2">
      <c r="B79" s="287"/>
      <c r="C79" s="1766" t="s">
        <v>359</v>
      </c>
      <c r="D79" s="1767"/>
      <c r="E79" s="739">
        <f>'FS1 Kostnader '!F128</f>
        <v>0</v>
      </c>
      <c r="F79" s="739">
        <f>'FS1 Kostnader '!G128</f>
        <v>0</v>
      </c>
      <c r="G79" s="1724">
        <f>'FS1 Kostnader '!H128</f>
        <v>0</v>
      </c>
      <c r="H79" s="1725"/>
      <c r="I79" s="397"/>
      <c r="J79" s="288"/>
      <c r="K79" s="289"/>
      <c r="L79" s="289"/>
      <c r="M79" s="50"/>
    </row>
    <row r="80" spans="2:24" ht="12.75" customHeight="1" x14ac:dyDescent="0.2">
      <c r="B80" s="287"/>
      <c r="C80" s="398" t="s">
        <v>360</v>
      </c>
      <c r="D80" s="399"/>
      <c r="E80" s="470">
        <f>'FS1 Kostnader '!F129</f>
        <v>0</v>
      </c>
      <c r="F80" s="470">
        <f>'FS1 Kostnader '!G129</f>
        <v>0</v>
      </c>
      <c r="G80" s="1727">
        <f>'FS1 Kostnader '!H129</f>
        <v>0</v>
      </c>
      <c r="H80" s="1728"/>
      <c r="I80" s="397"/>
      <c r="J80" s="288"/>
      <c r="K80" s="289"/>
      <c r="L80" s="289"/>
      <c r="M80" s="50"/>
    </row>
    <row r="81" spans="1:13" ht="12.75" customHeight="1" x14ac:dyDescent="0.2">
      <c r="B81" s="287"/>
      <c r="C81" s="1766" t="s">
        <v>361</v>
      </c>
      <c r="D81" s="1767"/>
      <c r="E81" s="739">
        <f>'FS1 Kostnader '!F131</f>
        <v>0</v>
      </c>
      <c r="F81" s="739">
        <f>'FS1 Kostnader '!G131</f>
        <v>0</v>
      </c>
      <c r="G81" s="1724">
        <f>'FS1 Kostnader '!H131</f>
        <v>0</v>
      </c>
      <c r="H81" s="1725"/>
      <c r="I81" s="397"/>
      <c r="J81" s="288"/>
      <c r="K81" s="289"/>
      <c r="L81" s="289"/>
      <c r="M81" s="50"/>
    </row>
    <row r="82" spans="1:13" ht="12.75" customHeight="1" x14ac:dyDescent="0.2">
      <c r="B82" s="287"/>
      <c r="C82" s="1765" t="s">
        <v>362</v>
      </c>
      <c r="D82" s="1766"/>
      <c r="E82" s="740">
        <f>F43/F40</f>
        <v>0</v>
      </c>
      <c r="F82" s="739">
        <f>H43/H40</f>
        <v>0</v>
      </c>
      <c r="G82" s="1771">
        <f>K43/K40</f>
        <v>0</v>
      </c>
      <c r="H82" s="1771"/>
      <c r="I82" s="397"/>
      <c r="J82" s="288"/>
      <c r="K82" s="289"/>
      <c r="L82" s="289"/>
      <c r="M82" s="50"/>
    </row>
    <row r="83" spans="1:13" ht="12.75" customHeight="1" x14ac:dyDescent="0.2">
      <c r="B83" s="287"/>
      <c r="C83" s="1765" t="s">
        <v>363</v>
      </c>
      <c r="D83" s="1766"/>
      <c r="E83" s="740">
        <f>-F45/F40</f>
        <v>0</v>
      </c>
      <c r="F83" s="739">
        <f>-H45/H40</f>
        <v>0</v>
      </c>
      <c r="G83" s="1771">
        <f>-K45/K40</f>
        <v>0</v>
      </c>
      <c r="H83" s="1771"/>
      <c r="I83" s="397"/>
      <c r="J83" s="288"/>
      <c r="K83" s="289"/>
      <c r="L83" s="289"/>
      <c r="M83" s="50"/>
    </row>
    <row r="84" spans="1:13" ht="6" customHeight="1" x14ac:dyDescent="0.2">
      <c r="B84" s="60"/>
      <c r="C84" s="8"/>
      <c r="D84" s="161"/>
      <c r="E84" s="319"/>
      <c r="F84" s="317"/>
      <c r="G84" s="69"/>
      <c r="H84" s="69"/>
      <c r="I84" s="161"/>
      <c r="J84" s="320"/>
      <c r="K84" s="321"/>
      <c r="L84" s="321"/>
    </row>
    <row r="85" spans="1:13" ht="17.25" customHeight="1" x14ac:dyDescent="0.2">
      <c r="C85" s="496" t="s">
        <v>700</v>
      </c>
      <c r="D85" s="161"/>
      <c r="E85" s="319"/>
      <c r="F85" s="317"/>
      <c r="G85" s="161"/>
      <c r="H85" s="161"/>
      <c r="I85" s="161"/>
      <c r="J85" s="320"/>
      <c r="K85" s="321"/>
      <c r="L85" s="321"/>
    </row>
    <row r="86" spans="1:13" ht="12" customHeight="1" x14ac:dyDescent="0.2">
      <c r="B86" s="60"/>
      <c r="C86" s="71" t="s">
        <v>364</v>
      </c>
      <c r="D86" s="161"/>
      <c r="E86" s="924">
        <f>E77</f>
        <v>2027</v>
      </c>
      <c r="F86" s="924">
        <f>F77</f>
        <v>2028</v>
      </c>
      <c r="G86" s="1908">
        <f>G77</f>
        <v>2029</v>
      </c>
      <c r="H86" s="1909"/>
      <c r="I86" s="161"/>
      <c r="J86" s="320"/>
      <c r="K86" s="321"/>
      <c r="L86" s="321"/>
    </row>
    <row r="87" spans="1:13" ht="12" customHeight="1" x14ac:dyDescent="0.2">
      <c r="B87" s="322"/>
      <c r="C87" s="324" t="s">
        <v>365</v>
      </c>
      <c r="D87" s="323"/>
      <c r="E87" s="889">
        <v>1</v>
      </c>
      <c r="F87" s="889">
        <v>1</v>
      </c>
      <c r="G87" s="1901">
        <v>1</v>
      </c>
      <c r="H87" s="1901"/>
      <c r="I87" s="323"/>
      <c r="J87" s="320"/>
      <c r="K87" s="321"/>
      <c r="L87" s="321"/>
    </row>
    <row r="88" spans="1:13" ht="12" customHeight="1" x14ac:dyDescent="0.2">
      <c r="A88" s="162"/>
      <c r="B88" s="322"/>
      <c r="C88" s="324" t="s">
        <v>366</v>
      </c>
      <c r="D88" s="323"/>
      <c r="E88" s="889">
        <v>1</v>
      </c>
      <c r="F88" s="889">
        <v>1</v>
      </c>
      <c r="G88" s="1901">
        <v>1</v>
      </c>
      <c r="H88" s="1901"/>
      <c r="I88" s="323"/>
      <c r="J88" s="320"/>
      <c r="K88" s="321"/>
      <c r="L88" s="321"/>
    </row>
    <row r="89" spans="1:13" ht="12" customHeight="1" x14ac:dyDescent="0.2">
      <c r="B89" s="322"/>
      <c r="C89" s="324" t="s">
        <v>367</v>
      </c>
      <c r="D89" s="323"/>
      <c r="E89" s="710">
        <f>E$87*F$43+E$88*(F$44+F$45+F$46+F$47+F$48)+F$50+F51</f>
        <v>0</v>
      </c>
      <c r="F89" s="710">
        <f>F87*H$43+F88*(H$44+H$45+H$46+H$47+H$48)+H$50+H51</f>
        <v>0</v>
      </c>
      <c r="G89" s="1691">
        <f>G$87*K$43+G$88*(K$44+K$45+K$46+K$47+K$48)+K$50+K51</f>
        <v>0</v>
      </c>
      <c r="H89" s="1692"/>
      <c r="I89" s="323"/>
      <c r="J89" s="320"/>
      <c r="K89" s="321"/>
      <c r="L89" s="321"/>
    </row>
    <row r="90" spans="1:13" ht="17.649999999999999" customHeight="1" x14ac:dyDescent="0.2">
      <c r="A90" s="162"/>
      <c r="B90" s="60"/>
      <c r="C90" s="71" t="s">
        <v>368</v>
      </c>
      <c r="D90" s="161"/>
      <c r="E90" s="69"/>
      <c r="F90" s="360"/>
      <c r="G90" s="161"/>
      <c r="H90" s="161"/>
      <c r="I90" s="161"/>
      <c r="J90" s="320"/>
      <c r="K90" s="321"/>
      <c r="L90" s="321"/>
    </row>
    <row r="91" spans="1:13" ht="12" customHeight="1" x14ac:dyDescent="0.2">
      <c r="A91" s="2"/>
      <c r="B91" s="322"/>
      <c r="C91" s="324" t="s">
        <v>365</v>
      </c>
      <c r="D91" s="323"/>
      <c r="E91" s="889">
        <v>1</v>
      </c>
      <c r="F91" s="889">
        <v>1</v>
      </c>
      <c r="G91" s="1901">
        <v>1</v>
      </c>
      <c r="H91" s="1901"/>
      <c r="I91" s="323"/>
      <c r="J91" s="320"/>
      <c r="K91" s="321"/>
      <c r="L91" s="321"/>
    </row>
    <row r="92" spans="1:13" ht="12" customHeight="1" x14ac:dyDescent="0.2">
      <c r="A92" s="162"/>
      <c r="B92" s="322"/>
      <c r="C92" s="324" t="s">
        <v>366</v>
      </c>
      <c r="D92" s="323"/>
      <c r="E92" s="889">
        <v>1</v>
      </c>
      <c r="F92" s="889">
        <v>1</v>
      </c>
      <c r="G92" s="1901">
        <v>1</v>
      </c>
      <c r="H92" s="1901"/>
      <c r="I92" s="323"/>
      <c r="J92" s="320"/>
      <c r="K92" s="321"/>
      <c r="L92" s="321"/>
    </row>
    <row r="93" spans="1:13" ht="12" customHeight="1" x14ac:dyDescent="0.2">
      <c r="A93" s="162"/>
      <c r="B93" s="322"/>
      <c r="C93" s="324" t="s">
        <v>367</v>
      </c>
      <c r="D93" s="323"/>
      <c r="E93" s="710">
        <f>E91*F$43+E$92*(F$44+F$45+F$46+F$47+F$48)+F$50+F51</f>
        <v>0</v>
      </c>
      <c r="F93" s="710">
        <f>F91*H$43+F92*(H$44+H$45+H$46+H$47+H$48)+H$50+H51</f>
        <v>0</v>
      </c>
      <c r="G93" s="1691">
        <f>G$91*K$43+G$92*(K$44+K$45+K$46+K$47+K$48)+K$50+K51</f>
        <v>0</v>
      </c>
      <c r="H93" s="1692"/>
      <c r="I93" s="323"/>
      <c r="J93" s="320"/>
      <c r="K93" s="321"/>
      <c r="L93" s="321"/>
    </row>
    <row r="94" spans="1:13" ht="6" customHeight="1" x14ac:dyDescent="0.2">
      <c r="A94" s="162"/>
      <c r="B94" s="287"/>
      <c r="D94" s="287"/>
      <c r="E94" s="287"/>
      <c r="F94" s="288"/>
      <c r="G94" s="288"/>
      <c r="H94" s="288"/>
      <c r="I94" s="288"/>
      <c r="J94" s="288"/>
      <c r="K94" s="289"/>
      <c r="L94" s="289"/>
    </row>
    <row r="95" spans="1:13" ht="15.75" customHeight="1" x14ac:dyDescent="0.2">
      <c r="A95" s="2"/>
      <c r="C95" s="493" t="s">
        <v>369</v>
      </c>
      <c r="D95" s="61"/>
      <c r="E95" s="37"/>
      <c r="F95" s="1900" t="s">
        <v>370</v>
      </c>
      <c r="G95" s="1900"/>
      <c r="H95" s="1754"/>
      <c r="I95" s="1754"/>
      <c r="J95" s="1754"/>
      <c r="K95" s="1754"/>
      <c r="L95" s="1754"/>
    </row>
    <row r="96" spans="1:13" ht="18" customHeight="1" x14ac:dyDescent="0.2">
      <c r="A96" s="2"/>
      <c r="C96" s="1919" t="s">
        <v>371</v>
      </c>
      <c r="D96" s="1919"/>
      <c r="E96" s="37"/>
      <c r="F96" s="1759"/>
      <c r="G96" s="1759"/>
      <c r="H96" s="1754"/>
      <c r="I96" s="1754"/>
      <c r="J96" s="1754"/>
      <c r="K96" s="1754"/>
      <c r="L96" s="1754"/>
    </row>
    <row r="97" spans="1:12" ht="12.75" customHeight="1" x14ac:dyDescent="0.2">
      <c r="A97" s="162"/>
      <c r="B97" s="130"/>
      <c r="C97" s="1902" t="s">
        <v>580</v>
      </c>
      <c r="D97" s="1903"/>
      <c r="E97" s="1904"/>
      <c r="F97" s="1897">
        <v>0</v>
      </c>
      <c r="G97" s="1897"/>
      <c r="H97" s="1760">
        <f>IF(F97=0,0,LOOKUP(F97,'Ekonomiska parametrar'!B7:B71,'Ekonomiska parametrar'!C7:C71))</f>
        <v>0</v>
      </c>
      <c r="I97" s="1761"/>
      <c r="J97" s="1761"/>
      <c r="K97" s="1761"/>
      <c r="L97" s="1898"/>
    </row>
    <row r="98" spans="1:12" x14ac:dyDescent="0.2">
      <c r="B98" s="503"/>
      <c r="C98" s="1905"/>
      <c r="D98" s="1906"/>
      <c r="E98" s="1907"/>
      <c r="F98" s="1897"/>
      <c r="G98" s="1897"/>
      <c r="H98" s="1762"/>
      <c r="I98" s="1763"/>
      <c r="J98" s="1763"/>
      <c r="K98" s="1763"/>
      <c r="L98" s="1899"/>
    </row>
    <row r="99" spans="1:12" ht="13.15" customHeight="1" x14ac:dyDescent="0.2">
      <c r="B99" s="610"/>
      <c r="C99" s="612"/>
      <c r="D99" s="612"/>
      <c r="E99" s="612"/>
      <c r="F99" s="613"/>
      <c r="G99" s="613"/>
      <c r="H99" s="611"/>
      <c r="I99" s="611"/>
      <c r="J99" s="611"/>
      <c r="K99" s="611"/>
      <c r="L99" s="611"/>
    </row>
    <row r="100" spans="1:12" x14ac:dyDescent="0.2">
      <c r="A100" s="162"/>
      <c r="C100" s="1"/>
      <c r="D100" s="1"/>
      <c r="E100" s="1"/>
      <c r="F100" s="1"/>
      <c r="G100" s="1"/>
      <c r="H100" s="1"/>
      <c r="I100" s="1"/>
      <c r="J100" s="1"/>
      <c r="K100" s="1"/>
      <c r="L100" s="1"/>
    </row>
    <row r="101" spans="1:12" x14ac:dyDescent="0.2">
      <c r="A101" s="2"/>
      <c r="C101" s="1"/>
      <c r="D101" s="1"/>
      <c r="E101" s="1"/>
      <c r="F101" s="1"/>
      <c r="G101" s="1"/>
      <c r="H101" s="1"/>
      <c r="I101" s="1"/>
      <c r="J101" s="1"/>
      <c r="K101" s="1"/>
      <c r="L101" s="1"/>
    </row>
    <row r="102" spans="1:12" x14ac:dyDescent="0.2">
      <c r="C102" s="8"/>
      <c r="D102" s="8"/>
      <c r="E102" s="8"/>
      <c r="F102" s="63"/>
      <c r="G102" s="8"/>
      <c r="H102" s="8"/>
      <c r="I102" s="8"/>
      <c r="J102" s="8"/>
      <c r="K102" s="8"/>
    </row>
    <row r="103" spans="1:12" x14ac:dyDescent="0.2">
      <c r="A103" s="162"/>
    </row>
    <row r="105" spans="1:12" x14ac:dyDescent="0.2">
      <c r="A105" s="162"/>
    </row>
    <row r="106" spans="1:12" x14ac:dyDescent="0.2">
      <c r="A106" s="2"/>
    </row>
    <row r="108" spans="1:12" x14ac:dyDescent="0.2">
      <c r="A108" s="162"/>
    </row>
    <row r="110" spans="1:12" x14ac:dyDescent="0.2">
      <c r="A110" s="162"/>
    </row>
    <row r="111" spans="1:12" x14ac:dyDescent="0.2">
      <c r="A111" s="2"/>
    </row>
    <row r="116" ht="23.65" customHeight="1" x14ac:dyDescent="0.2"/>
    <row r="134" spans="3:13" ht="15" x14ac:dyDescent="0.2">
      <c r="C134" s="1890" t="str">
        <f>IF(E35&lt;&gt;0,"KONTROLLERA, ATT CELL E35 = 0 (Finansieringsbehov - Finansiering, differens=0)","")</f>
        <v/>
      </c>
      <c r="D134" s="1890"/>
      <c r="E134" s="1890"/>
      <c r="F134" s="1890"/>
      <c r="G134" s="1890"/>
      <c r="H134" s="1890"/>
      <c r="I134" s="1890"/>
      <c r="J134" s="1890"/>
      <c r="K134" s="1890"/>
      <c r="L134" s="1890"/>
      <c r="M134" s="1890"/>
    </row>
    <row r="137" spans="3:13" x14ac:dyDescent="0.2">
      <c r="C137" s="353" t="s">
        <v>372</v>
      </c>
    </row>
    <row r="138" spans="3:13" x14ac:dyDescent="0.2">
      <c r="C138" s="102" t="s">
        <v>307</v>
      </c>
    </row>
    <row r="139" spans="3:13" x14ac:dyDescent="0.2">
      <c r="C139" s="102" t="s">
        <v>308</v>
      </c>
    </row>
  </sheetData>
  <sheetProtection algorithmName="SHA-512" hashValue="tIhQsGH+v5FU5/AKUflpC4hkeOCYbKa6dUOwAsta1ASZwnyFDtFlSx/nhfYo/e3CFZfgQGfn95l0BZ003RUh+w==" saltValue="hyUUSCvLP6fPYjj2sRvxLw==" spinCount="100000" sheet="1" objects="1" scenarios="1"/>
  <mergeCells count="142">
    <mergeCell ref="Q3:S3"/>
    <mergeCell ref="C13:F14"/>
    <mergeCell ref="F23:J23"/>
    <mergeCell ref="C69:D69"/>
    <mergeCell ref="C96:D96"/>
    <mergeCell ref="G88:H88"/>
    <mergeCell ref="G89:H89"/>
    <mergeCell ref="K74:L74"/>
    <mergeCell ref="C81:D81"/>
    <mergeCell ref="B26:C26"/>
    <mergeCell ref="J6:L6"/>
    <mergeCell ref="O25:P25"/>
    <mergeCell ref="B23:C23"/>
    <mergeCell ref="F38:G38"/>
    <mergeCell ref="H38:J38"/>
    <mergeCell ref="H37:J37"/>
    <mergeCell ref="H46:I46"/>
    <mergeCell ref="H47:I47"/>
    <mergeCell ref="F26:J26"/>
    <mergeCell ref="F39:G39"/>
    <mergeCell ref="K65:L65"/>
    <mergeCell ref="K66:L66"/>
    <mergeCell ref="K24:L24"/>
    <mergeCell ref="K22:L22"/>
    <mergeCell ref="B2:L2"/>
    <mergeCell ref="C83:D83"/>
    <mergeCell ref="G79:H79"/>
    <mergeCell ref="C79:D79"/>
    <mergeCell ref="G82:H82"/>
    <mergeCell ref="H42:I42"/>
    <mergeCell ref="H53:I53"/>
    <mergeCell ref="H54:I54"/>
    <mergeCell ref="F32:J32"/>
    <mergeCell ref="F29:J29"/>
    <mergeCell ref="K20:L20"/>
    <mergeCell ref="K18:L18"/>
    <mergeCell ref="K39:L39"/>
    <mergeCell ref="K37:L37"/>
    <mergeCell ref="K38:L38"/>
    <mergeCell ref="B22:C22"/>
    <mergeCell ref="G77:H77"/>
    <mergeCell ref="C78:D78"/>
    <mergeCell ref="B27:D27"/>
    <mergeCell ref="K67:L67"/>
    <mergeCell ref="K68:L68"/>
    <mergeCell ref="F27:J27"/>
    <mergeCell ref="F31:J31"/>
    <mergeCell ref="F24:J24"/>
    <mergeCell ref="I22:J22"/>
    <mergeCell ref="B25:D25"/>
    <mergeCell ref="F69:J69"/>
    <mergeCell ref="G81:H81"/>
    <mergeCell ref="H59:I59"/>
    <mergeCell ref="G78:H78"/>
    <mergeCell ref="F74:J74"/>
    <mergeCell ref="B74:E74"/>
    <mergeCell ref="G80:H80"/>
    <mergeCell ref="C33:D33"/>
    <mergeCell ref="H62:J62"/>
    <mergeCell ref="H49:I49"/>
    <mergeCell ref="H44:I44"/>
    <mergeCell ref="H45:I45"/>
    <mergeCell ref="H50:I50"/>
    <mergeCell ref="C37:C38"/>
    <mergeCell ref="F33:G33"/>
    <mergeCell ref="B32:D32"/>
    <mergeCell ref="B28:D28"/>
    <mergeCell ref="H48:I48"/>
    <mergeCell ref="H40:I40"/>
    <mergeCell ref="B35:D35"/>
    <mergeCell ref="C134:M134"/>
    <mergeCell ref="K33:L33"/>
    <mergeCell ref="K35:L35"/>
    <mergeCell ref="K69:L69"/>
    <mergeCell ref="F35:J35"/>
    <mergeCell ref="H33:J33"/>
    <mergeCell ref="K64:L64"/>
    <mergeCell ref="F62:G62"/>
    <mergeCell ref="C62:E62"/>
    <mergeCell ref="F68:J68"/>
    <mergeCell ref="G83:H83"/>
    <mergeCell ref="F97:G98"/>
    <mergeCell ref="H97:L98"/>
    <mergeCell ref="F95:G96"/>
    <mergeCell ref="H95:L96"/>
    <mergeCell ref="G92:H92"/>
    <mergeCell ref="C97:E98"/>
    <mergeCell ref="G93:H93"/>
    <mergeCell ref="G91:H91"/>
    <mergeCell ref="G87:H87"/>
    <mergeCell ref="H51:I51"/>
    <mergeCell ref="C82:D82"/>
    <mergeCell ref="G86:H86"/>
    <mergeCell ref="K62:L62"/>
    <mergeCell ref="N3:O3"/>
    <mergeCell ref="K32:L32"/>
    <mergeCell ref="K29:L29"/>
    <mergeCell ref="K19:L19"/>
    <mergeCell ref="K26:L26"/>
    <mergeCell ref="K23:L23"/>
    <mergeCell ref="I21:J21"/>
    <mergeCell ref="B9:E9"/>
    <mergeCell ref="B4:L4"/>
    <mergeCell ref="K25:L25"/>
    <mergeCell ref="F28:J28"/>
    <mergeCell ref="B29:D29"/>
    <mergeCell ref="B30:D30"/>
    <mergeCell ref="K27:L27"/>
    <mergeCell ref="F21:G21"/>
    <mergeCell ref="F17:G17"/>
    <mergeCell ref="F18:G18"/>
    <mergeCell ref="F19:G19"/>
    <mergeCell ref="I17:J17"/>
    <mergeCell ref="F25:J25"/>
    <mergeCell ref="F20:G20"/>
    <mergeCell ref="K21:L21"/>
    <mergeCell ref="K28:L28"/>
    <mergeCell ref="F22:G22"/>
    <mergeCell ref="G9:L9"/>
    <mergeCell ref="H57:I57"/>
    <mergeCell ref="H58:I58"/>
    <mergeCell ref="H56:I56"/>
    <mergeCell ref="H52:I52"/>
    <mergeCell ref="H60:I60"/>
    <mergeCell ref="H55:I55"/>
    <mergeCell ref="H43:I43"/>
    <mergeCell ref="C11:E11"/>
    <mergeCell ref="B19:C19"/>
    <mergeCell ref="B20:C20"/>
    <mergeCell ref="B17:C17"/>
    <mergeCell ref="B18:C18"/>
    <mergeCell ref="B21:C21"/>
    <mergeCell ref="H41:I41"/>
    <mergeCell ref="H39:J39"/>
    <mergeCell ref="F37:G37"/>
    <mergeCell ref="K30:L30"/>
    <mergeCell ref="K31:L31"/>
    <mergeCell ref="F30:J30"/>
    <mergeCell ref="K15:L15"/>
    <mergeCell ref="K16:L16"/>
    <mergeCell ref="K17:L17"/>
    <mergeCell ref="B16:C16"/>
  </mergeCells>
  <conditionalFormatting sqref="E89">
    <cfRule type="cellIs" dxfId="19" priority="6" operator="lessThan">
      <formula>$F$62</formula>
    </cfRule>
    <cfRule type="cellIs" dxfId="18" priority="12" operator="greaterThan">
      <formula>$F$62</formula>
    </cfRule>
  </conditionalFormatting>
  <conditionalFormatting sqref="E93">
    <cfRule type="cellIs" dxfId="17" priority="3" operator="lessThan">
      <formula>$F$62</formula>
    </cfRule>
    <cfRule type="cellIs" dxfId="16" priority="9" operator="greaterThan">
      <formula>$F$62</formula>
    </cfRule>
  </conditionalFormatting>
  <conditionalFormatting sqref="E80:H80">
    <cfRule type="cellIs" dxfId="15" priority="13" operator="greaterThan">
      <formula>0</formula>
    </cfRule>
    <cfRule type="cellIs" dxfId="14" priority="14" operator="lessThan">
      <formula>0</formula>
    </cfRule>
  </conditionalFormatting>
  <conditionalFormatting sqref="F53">
    <cfRule type="cellIs" dxfId="13" priority="19" operator="lessThan">
      <formula>$F$62</formula>
    </cfRule>
    <cfRule type="cellIs" dxfId="12" priority="20" operator="greaterThan">
      <formula>$F$62</formula>
    </cfRule>
  </conditionalFormatting>
  <conditionalFormatting sqref="F89">
    <cfRule type="cellIs" dxfId="11" priority="5" operator="lessThan">
      <formula>$H$62</formula>
    </cfRule>
    <cfRule type="cellIs" dxfId="10" priority="11" operator="greaterThan">
      <formula>$H$62</formula>
    </cfRule>
  </conditionalFormatting>
  <conditionalFormatting sqref="F93">
    <cfRule type="cellIs" dxfId="9" priority="2" operator="lessThan">
      <formula>$H$62</formula>
    </cfRule>
    <cfRule type="cellIs" dxfId="8" priority="8" operator="greaterThan">
      <formula>$H$62</formula>
    </cfRule>
  </conditionalFormatting>
  <conditionalFormatting sqref="G93">
    <cfRule type="cellIs" dxfId="7" priority="1" operator="lessThan">
      <formula>$K$62</formula>
    </cfRule>
    <cfRule type="cellIs" dxfId="6" priority="7" operator="greaterThan">
      <formula>$K$62</formula>
    </cfRule>
  </conditionalFormatting>
  <conditionalFormatting sqref="G89:H89">
    <cfRule type="cellIs" dxfId="5" priority="4" operator="lessThan">
      <formula>$K$62</formula>
    </cfRule>
    <cfRule type="cellIs" dxfId="4" priority="10" operator="greaterThan">
      <formula>$K$62</formula>
    </cfRule>
  </conditionalFormatting>
  <conditionalFormatting sqref="H53:I53">
    <cfRule type="cellIs" dxfId="3" priority="17" operator="lessThan">
      <formula>$H$62</formula>
    </cfRule>
    <cfRule type="cellIs" dxfId="2" priority="18" operator="greaterThan">
      <formula>$H$62</formula>
    </cfRule>
  </conditionalFormatting>
  <conditionalFormatting sqref="K53">
    <cfRule type="cellIs" dxfId="1" priority="15" operator="lessThan">
      <formula>$K$62</formula>
    </cfRule>
    <cfRule type="cellIs" dxfId="0" priority="16" operator="greaterThan">
      <formula>$K$62</formula>
    </cfRule>
  </conditionalFormatting>
  <printOptions horizontalCentered="1"/>
  <pageMargins left="0.23622047244094491" right="0.23622047244094491" top="0.74803149606299213" bottom="0.74803149606299213" header="0.31496062992125984" footer="0.31496062992125984"/>
  <pageSetup paperSize="9" scale="87" orientation="portrait" verticalDpi="4" r:id="rId1"/>
  <headerFooter>
    <oddFooter xml:space="preserve">&amp;C&amp;8FT5 Nyföretagets ekonomiplan </oddFooter>
  </headerFooter>
  <rowBreaks count="1" manualBreakCount="1">
    <brk id="69" min="1" max="23" man="1"/>
  </rowBreaks>
  <colBreaks count="1" manualBreakCount="1">
    <brk id="12" min="3" max="134" man="1"/>
  </col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Laskentataulukot</vt:lpstr>
      </vt:variant>
      <vt:variant>
        <vt:i4>16</vt:i4>
      </vt:variant>
      <vt:variant>
        <vt:lpstr>Nimetyt alueet</vt:lpstr>
      </vt:variant>
      <vt:variant>
        <vt:i4>15</vt:i4>
      </vt:variant>
    </vt:vector>
  </HeadingPairs>
  <TitlesOfParts>
    <vt:vector size="31" baseType="lpstr">
      <vt:lpstr>Startsidan</vt:lpstr>
      <vt:lpstr>K1 Kostnader</vt:lpstr>
      <vt:lpstr>K2 Försäljning</vt:lpstr>
      <vt:lpstr>K3 Resultat</vt:lpstr>
      <vt:lpstr>Lönekostnader</vt:lpstr>
      <vt:lpstr>Kassabudget</vt:lpstr>
      <vt:lpstr>FS1 Kostnader </vt:lpstr>
      <vt:lpstr>FS2 Försäljning </vt:lpstr>
      <vt:lpstr>FS3 Resultat</vt:lpstr>
      <vt:lpstr>Ekonomiska parametrar</vt:lpstr>
      <vt:lpstr>1Kauppa AT lainat ja avustukset</vt:lpstr>
      <vt:lpstr>2 AT Palkat, alv</vt:lpstr>
      <vt:lpstr>3 AT Kassa</vt:lpstr>
      <vt:lpstr>4 AT  Myynnin alv</vt:lpstr>
      <vt:lpstr>5 YP Lainat ja avustukset</vt:lpstr>
      <vt:lpstr>6 Kaaviot</vt:lpstr>
      <vt:lpstr>Rahapalkat__TyEL_työntekijät</vt:lpstr>
      <vt:lpstr>'K1 Kostnader'!Teksti37</vt:lpstr>
      <vt:lpstr>'FS1 Kostnader '!Teksti38</vt:lpstr>
      <vt:lpstr>'K1 Kostnader'!Teksti38</vt:lpstr>
      <vt:lpstr>'K1 Kostnader'!Teksti39</vt:lpstr>
      <vt:lpstr>'Ekonomiska parametrar'!Tulostusalue</vt:lpstr>
      <vt:lpstr>'FS1 Kostnader '!Tulostusalue</vt:lpstr>
      <vt:lpstr>'FS2 Försäljning '!Tulostusalue</vt:lpstr>
      <vt:lpstr>'FS3 Resultat'!Tulostusalue</vt:lpstr>
      <vt:lpstr>'K1 Kostnader'!Tulostusalue</vt:lpstr>
      <vt:lpstr>'K2 Försäljning'!Tulostusalue</vt:lpstr>
      <vt:lpstr>'K3 Resultat'!Tulostusalue</vt:lpstr>
      <vt:lpstr>Kassabudget!Tulostusalue</vt:lpstr>
      <vt:lpstr>Lönekostnader!Tulostusalue</vt:lpstr>
      <vt:lpstr>Startsidan!Tulostusalue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FT5 Ekonomiplan</dc:title>
  <dc:creator>Företagstolken</dc:creator>
  <cp:keywords>Företagstolken</cp:keywords>
  <cp:lastModifiedBy>Henri Järvinen</cp:lastModifiedBy>
  <cp:lastPrinted>2025-10-14T09:55:42Z</cp:lastPrinted>
  <dcterms:created xsi:type="dcterms:W3CDTF">2006-08-01T10:09:48Z</dcterms:created>
  <dcterms:modified xsi:type="dcterms:W3CDTF">2025-12-15T07:04:46Z</dcterms:modified>
</cp:coreProperties>
</file>