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Företagstolken\Utbytte 2026\FT4 260311\"/>
    </mc:Choice>
  </mc:AlternateContent>
  <xr:revisionPtr revIDLastSave="0" documentId="13_ncr:1_{6B78C9C1-00A2-42F3-B4DB-FA924ACFC1A3}" xr6:coauthVersionLast="47" xr6:coauthVersionMax="47" xr10:uidLastSave="{00000000-0000-0000-0000-000000000000}"/>
  <workbookProtection workbookAlgorithmName="SHA-512" workbookHashValue="RyBPEx54UGbbNtkqNaYIC3DsSbpkLtTGRQQssZGMWpfSHJUriTpMLpuHtXHNLC6SFZ5gHiXTnTFKGaq8mvY/kQ==" workbookSaltValue="8XFOlLsJ4jgd+VUnDSxqYA==" workbookSpinCount="100000" lockStructure="1"/>
  <bookViews>
    <workbookView xWindow="17895" yWindow="0" windowWidth="34605" windowHeight="20985" xr2:uid="{EE356E30-E80B-4114-8286-345480103BD4}"/>
  </bookViews>
  <sheets>
    <sheet name="Startsidan" sheetId="27" r:id="rId1"/>
    <sheet name="1. Ekonomikalkyl" sheetId="11" r:id="rId2"/>
    <sheet name="2. Kassabudget" sheetId="22" r:id="rId3"/>
    <sheet name="3. Ekonomikalkyl ingen moms" sheetId="26" r:id="rId4"/>
    <sheet name="4. Kassabudget ingen moms"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Ekonomikalkyl'!$C$2:$X$226</definedName>
    <definedName name="_xlnm.Print_Area" localSheetId="2">'2. Kassabudget'!$B$4:$S$58</definedName>
    <definedName name="_xlnm.Print_Area" localSheetId="3">'3. Ekonomikalkyl ingen moms'!$C$2:$X$226</definedName>
    <definedName name="_xlnm.Print_Area" localSheetId="4">'4. Kassabudget ingen moms'!$B$4:$S$58</definedName>
    <definedName name="YT" localSheetId="1">'1. Ekonomikalkyl'!$C$2:$X$226</definedName>
    <definedName name="YT" localSheetId="3">'3. Ekonomikalkyl ingen moms'!$C$2:$X$226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2" l="1"/>
  <c r="Y35" i="22"/>
  <c r="Y37" i="28"/>
  <c r="M51" i="11"/>
  <c r="K51" i="11"/>
  <c r="J51" i="11"/>
  <c r="M95" i="11"/>
  <c r="K95" i="11"/>
  <c r="M49" i="11"/>
  <c r="K49" i="11"/>
  <c r="I92" i="26"/>
  <c r="K96" i="11"/>
  <c r="M96" i="11" s="1"/>
  <c r="M94" i="11"/>
  <c r="K94" i="11"/>
  <c r="I105" i="26" l="1"/>
  <c r="I106" i="26"/>
  <c r="I107" i="26"/>
  <c r="J104" i="26"/>
  <c r="I104" i="26" s="1"/>
  <c r="I102" i="26"/>
  <c r="I103" i="26"/>
  <c r="I99" i="26"/>
  <c r="I100" i="26"/>
  <c r="J101" i="26"/>
  <c r="I101" i="26" s="1"/>
  <c r="J98" i="26"/>
  <c r="I98" i="26" s="1"/>
  <c r="J93" i="26"/>
  <c r="I93" i="26" s="1"/>
  <c r="J87" i="26"/>
  <c r="I87" i="26" s="1"/>
  <c r="I80" i="26"/>
  <c r="I81" i="26"/>
  <c r="I82" i="26"/>
  <c r="I83" i="26"/>
  <c r="I84" i="26"/>
  <c r="I85" i="26"/>
  <c r="I86" i="26"/>
  <c r="I88" i="26"/>
  <c r="I89" i="26"/>
  <c r="I90" i="26"/>
  <c r="I91" i="26"/>
  <c r="I79" i="26"/>
  <c r="J83" i="26"/>
  <c r="J75" i="26"/>
  <c r="I75" i="26" s="1"/>
  <c r="M22" i="26"/>
  <c r="M10" i="26"/>
  <c r="U14" i="28" s="1"/>
  <c r="M22" i="11"/>
  <c r="M10" i="11"/>
  <c r="F21" i="11"/>
  <c r="F14" i="11"/>
  <c r="F10" i="11"/>
  <c r="I75" i="11"/>
  <c r="I76" i="11"/>
  <c r="I79" i="11"/>
  <c r="I80" i="11"/>
  <c r="I81" i="11"/>
  <c r="I82" i="11"/>
  <c r="I84" i="11"/>
  <c r="I85" i="11"/>
  <c r="I86" i="11"/>
  <c r="I88" i="11"/>
  <c r="I89" i="11"/>
  <c r="I90" i="11"/>
  <c r="I91" i="11"/>
  <c r="I92" i="11"/>
  <c r="I94" i="11"/>
  <c r="I99" i="11"/>
  <c r="I100" i="11"/>
  <c r="I102" i="11"/>
  <c r="I103" i="11"/>
  <c r="J101" i="11"/>
  <c r="I101" i="11" s="1"/>
  <c r="K103" i="11"/>
  <c r="K102" i="11"/>
  <c r="M102" i="11" s="1"/>
  <c r="J98" i="11"/>
  <c r="I98" i="11" s="1"/>
  <c r="K100" i="11"/>
  <c r="M100" i="11" s="1"/>
  <c r="K99" i="11"/>
  <c r="M99" i="11" s="1"/>
  <c r="M98" i="11" s="1"/>
  <c r="M93" i="11"/>
  <c r="K93" i="11"/>
  <c r="J93" i="11"/>
  <c r="K92" i="11"/>
  <c r="M92" i="11" s="1"/>
  <c r="J87" i="11"/>
  <c r="I87" i="11" s="1"/>
  <c r="M89" i="11"/>
  <c r="M90" i="11"/>
  <c r="M91" i="11"/>
  <c r="K89" i="11"/>
  <c r="K90" i="11"/>
  <c r="K91" i="11"/>
  <c r="K88" i="11"/>
  <c r="K87" i="11" s="1"/>
  <c r="J83" i="11"/>
  <c r="I83" i="11" s="1"/>
  <c r="M86" i="11"/>
  <c r="K85" i="11"/>
  <c r="M85" i="11" s="1"/>
  <c r="K86" i="11"/>
  <c r="K83" i="11" s="1"/>
  <c r="M84" i="11"/>
  <c r="K84" i="11"/>
  <c r="J75" i="11"/>
  <c r="K79" i="11"/>
  <c r="M79" i="11" s="1"/>
  <c r="K80" i="11"/>
  <c r="M80" i="11" s="1"/>
  <c r="K81" i="11"/>
  <c r="M81" i="11" s="1"/>
  <c r="K82" i="11"/>
  <c r="M82" i="11" s="1"/>
  <c r="K78" i="11"/>
  <c r="K76" i="11"/>
  <c r="K70" i="11"/>
  <c r="M70" i="11" s="1"/>
  <c r="K69" i="11"/>
  <c r="M64" i="11"/>
  <c r="K64" i="11"/>
  <c r="K65" i="11"/>
  <c r="M65" i="11" s="1"/>
  <c r="K66" i="11"/>
  <c r="M66" i="11" s="1"/>
  <c r="K67" i="11"/>
  <c r="M67" i="11" s="1"/>
  <c r="K68" i="11"/>
  <c r="M68" i="11" s="1"/>
  <c r="K63" i="11"/>
  <c r="M63" i="11" s="1"/>
  <c r="K61" i="11"/>
  <c r="K60" i="11" s="1"/>
  <c r="J60" i="11"/>
  <c r="J59" i="11" s="1"/>
  <c r="M57" i="11"/>
  <c r="M58" i="11"/>
  <c r="M56" i="11"/>
  <c r="K57" i="11"/>
  <c r="K58" i="11"/>
  <c r="K56" i="11"/>
  <c r="J55" i="11"/>
  <c r="J52" i="11"/>
  <c r="I52" i="11" s="1"/>
  <c r="K54" i="11"/>
  <c r="M53" i="11"/>
  <c r="K53" i="11"/>
  <c r="K52" i="11" s="1"/>
  <c r="M40" i="11"/>
  <c r="K40" i="11"/>
  <c r="M44" i="11"/>
  <c r="K44" i="11"/>
  <c r="K51" i="26" l="1"/>
  <c r="J51" i="26"/>
  <c r="M51" i="26"/>
  <c r="K101" i="11"/>
  <c r="K98" i="11"/>
  <c r="M88" i="11"/>
  <c r="M87" i="11" s="1"/>
  <c r="M83" i="11"/>
  <c r="K59" i="11"/>
  <c r="K55" i="11"/>
  <c r="M55" i="11"/>
  <c r="M21" i="11"/>
  <c r="K75" i="11"/>
  <c r="M61" i="11"/>
  <c r="M60" i="11" s="1"/>
  <c r="K43" i="11" l="1"/>
  <c r="M43" i="11" s="1"/>
  <c r="K39" i="11" l="1"/>
  <c r="K38" i="11" s="1"/>
  <c r="K48" i="11" s="1"/>
  <c r="M42" i="11"/>
  <c r="M46" i="11" s="1"/>
  <c r="K42" i="11"/>
  <c r="K46" i="11" s="1"/>
  <c r="J42" i="11"/>
  <c r="J38" i="11"/>
  <c r="M37" i="11"/>
  <c r="K37" i="11"/>
  <c r="J37" i="11"/>
  <c r="S32" i="28"/>
  <c r="V33" i="28"/>
  <c r="Z33" i="28"/>
  <c r="AA33" i="28"/>
  <c r="AB33" i="28"/>
  <c r="AC33" i="28"/>
  <c r="AD33" i="28"/>
  <c r="AE33" i="28"/>
  <c r="AF33" i="28"/>
  <c r="AG33" i="28"/>
  <c r="AH33" i="28"/>
  <c r="AI33" i="28"/>
  <c r="AJ33" i="28"/>
  <c r="AK33" i="28"/>
  <c r="G34" i="28"/>
  <c r="H34" i="28"/>
  <c r="I34" i="28"/>
  <c r="J34" i="28"/>
  <c r="K34" i="28"/>
  <c r="L34" i="28"/>
  <c r="M34" i="28"/>
  <c r="N34" i="28"/>
  <c r="O34" i="28"/>
  <c r="P34" i="28"/>
  <c r="Q34" i="28"/>
  <c r="R34" i="28"/>
  <c r="G35" i="28"/>
  <c r="Z34" i="28" s="1"/>
  <c r="H35" i="28"/>
  <c r="AA34" i="28" s="1"/>
  <c r="I35" i="28"/>
  <c r="AB34" i="28" s="1"/>
  <c r="J35" i="28"/>
  <c r="AC34" i="28" s="1"/>
  <c r="K35" i="28"/>
  <c r="AD34" i="28" s="1"/>
  <c r="L35" i="28"/>
  <c r="AE34" i="28" s="1"/>
  <c r="M35" i="28"/>
  <c r="AF34" i="28" s="1"/>
  <c r="N35" i="28"/>
  <c r="AG34" i="28" s="1"/>
  <c r="O35" i="28"/>
  <c r="AH34" i="28" s="1"/>
  <c r="P35" i="28"/>
  <c r="AI34" i="28" s="1"/>
  <c r="Q35" i="28"/>
  <c r="AJ34" i="28" s="1"/>
  <c r="R35" i="28"/>
  <c r="AK34" i="28" s="1"/>
  <c r="Y35" i="28"/>
  <c r="K47" i="11" l="1"/>
  <c r="I42" i="11"/>
  <c r="J46" i="11"/>
  <c r="I46" i="11" s="1"/>
  <c r="I38" i="11"/>
  <c r="J48" i="11"/>
  <c r="AA35" i="28"/>
  <c r="S35" i="28"/>
  <c r="AH35" i="28"/>
  <c r="AD35" i="28"/>
  <c r="AI35" i="28"/>
  <c r="AK35" i="28"/>
  <c r="AG35" i="28"/>
  <c r="AC35" i="28"/>
  <c r="AE35" i="28"/>
  <c r="AJ35" i="28"/>
  <c r="AF35" i="28"/>
  <c r="AB35" i="28"/>
  <c r="S34" i="28"/>
  <c r="AL34" i="28"/>
  <c r="Z35" i="28"/>
  <c r="J47" i="11" l="1"/>
  <c r="I47" i="11" s="1"/>
  <c r="AL35" i="28"/>
  <c r="C58" i="28" l="1"/>
  <c r="S18" i="28"/>
  <c r="C155" i="26"/>
  <c r="I154" i="26"/>
  <c r="M153" i="26"/>
  <c r="K153" i="26"/>
  <c r="I153" i="26"/>
  <c r="C153" i="26"/>
  <c r="H148" i="26"/>
  <c r="H143" i="26"/>
  <c r="H138" i="26"/>
  <c r="H133" i="26"/>
  <c r="H128" i="26"/>
  <c r="I120" i="26"/>
  <c r="M119" i="26"/>
  <c r="K119" i="26"/>
  <c r="I119" i="26"/>
  <c r="D73" i="26"/>
  <c r="I72" i="26"/>
  <c r="M71" i="26"/>
  <c r="K71" i="26"/>
  <c r="I71" i="26"/>
  <c r="E14" i="26" l="1"/>
  <c r="S18" i="22"/>
  <c r="C153" i="11"/>
  <c r="C155" i="11"/>
  <c r="I154" i="11"/>
  <c r="M153" i="11"/>
  <c r="K153" i="11"/>
  <c r="I153" i="11"/>
  <c r="J104" i="11"/>
  <c r="I104" i="11" s="1"/>
  <c r="K105" i="11"/>
  <c r="K106" i="11"/>
  <c r="L106" i="11" s="1"/>
  <c r="K107" i="11"/>
  <c r="L107" i="11" s="1"/>
  <c r="J108" i="11"/>
  <c r="I108" i="11" s="1"/>
  <c r="I109" i="11"/>
  <c r="K109" i="11"/>
  <c r="I110" i="11"/>
  <c r="K110" i="11"/>
  <c r="L110" i="11" s="1"/>
  <c r="I111" i="11"/>
  <c r="K111" i="11"/>
  <c r="L111" i="11" s="1"/>
  <c r="I112" i="11"/>
  <c r="K112" i="11"/>
  <c r="L112" i="11" s="1"/>
  <c r="I113" i="11"/>
  <c r="K113" i="11"/>
  <c r="L113" i="11" s="1"/>
  <c r="K108" i="11" l="1"/>
  <c r="K104" i="11"/>
  <c r="M105" i="11"/>
  <c r="L105" i="11"/>
  <c r="L104" i="11" s="1"/>
  <c r="M113" i="11"/>
  <c r="M112" i="11"/>
  <c r="M111" i="11"/>
  <c r="M110" i="11"/>
  <c r="M109" i="11"/>
  <c r="M107" i="11"/>
  <c r="L109" i="11"/>
  <c r="M108" i="11" l="1"/>
  <c r="K43" i="26" l="1"/>
  <c r="D225" i="11"/>
  <c r="D225" i="26"/>
  <c r="I109" i="26"/>
  <c r="I110" i="26"/>
  <c r="I111" i="26"/>
  <c r="K45" i="26"/>
  <c r="K62" i="26"/>
  <c r="M62" i="26" s="1"/>
  <c r="V36" i="22" l="1"/>
  <c r="V36" i="28"/>
  <c r="V28" i="28"/>
  <c r="T67" i="30"/>
  <c r="I67" i="30" s="1"/>
  <c r="V21" i="28"/>
  <c r="J194" i="26"/>
  <c r="J198" i="26"/>
  <c r="C2" i="31"/>
  <c r="C3" i="31"/>
  <c r="H67" i="30" l="1"/>
  <c r="E67" i="30"/>
  <c r="F67" i="30"/>
  <c r="Q67" i="30"/>
  <c r="P67" i="30"/>
  <c r="G67" i="30"/>
  <c r="N67" i="30"/>
  <c r="K67" i="30"/>
  <c r="O67" i="30"/>
  <c r="M67" i="30"/>
  <c r="L67" i="30"/>
  <c r="J67" i="30"/>
  <c r="T68" i="30"/>
  <c r="T66" i="30"/>
  <c r="T65" i="30"/>
  <c r="T64" i="30"/>
  <c r="T63" i="30"/>
  <c r="T62" i="30"/>
  <c r="T61" i="30"/>
  <c r="C17" i="31"/>
  <c r="D40" i="29"/>
  <c r="D39" i="29"/>
  <c r="F24" i="29"/>
  <c r="F25" i="29"/>
  <c r="F23" i="29"/>
  <c r="N19" i="29"/>
  <c r="N20" i="29"/>
  <c r="N18" i="29"/>
  <c r="U13" i="29"/>
  <c r="F33" i="29"/>
  <c r="F34" i="29"/>
  <c r="F32" i="29"/>
  <c r="AA13" i="29"/>
  <c r="O13" i="29"/>
  <c r="L19" i="29"/>
  <c r="L20" i="29"/>
  <c r="L18" i="29"/>
  <c r="M19" i="29"/>
  <c r="M20" i="29"/>
  <c r="M18" i="29"/>
  <c r="K19" i="29"/>
  <c r="O19" i="29" s="1"/>
  <c r="K20" i="29"/>
  <c r="O20" i="29" s="1"/>
  <c r="K18" i="29"/>
  <c r="O18" i="29" s="1"/>
  <c r="J19" i="29"/>
  <c r="J20" i="29"/>
  <c r="J18" i="29"/>
  <c r="AC20" i="29" l="1"/>
  <c r="AC19" i="29"/>
  <c r="Q18" i="29"/>
  <c r="Q20" i="29"/>
  <c r="S20" i="29" s="1"/>
  <c r="W20" i="29"/>
  <c r="Q19" i="29"/>
  <c r="S19" i="29" s="1"/>
  <c r="W19" i="29"/>
  <c r="AC18" i="29"/>
  <c r="W18" i="29"/>
  <c r="D3" i="31"/>
  <c r="AC21" i="29" l="1"/>
  <c r="W21" i="29"/>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C36" i="30"/>
  <c r="C34" i="30"/>
  <c r="C32" i="30"/>
  <c r="C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C26" i="30"/>
  <c r="C24" i="30"/>
  <c r="C22" i="30"/>
  <c r="C20" i="30"/>
  <c r="C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AF41" i="28"/>
  <c r="AK41" i="28"/>
  <c r="AJ41" i="28"/>
  <c r="AG41" i="28"/>
  <c r="AE41" i="28"/>
  <c r="AD41" i="28"/>
  <c r="AC41" i="28"/>
  <c r="AB41" i="28"/>
  <c r="AA41" i="28"/>
  <c r="K28" i="28"/>
  <c r="Q28" i="28"/>
  <c r="H28" i="28"/>
  <c r="U24" i="28"/>
  <c r="R24" i="28"/>
  <c r="N24" i="28"/>
  <c r="M24" i="28"/>
  <c r="L24" i="28"/>
  <c r="J24" i="28"/>
  <c r="I24" i="28"/>
  <c r="Q23" i="28"/>
  <c r="R21" i="28"/>
  <c r="U21" i="28"/>
  <c r="Q21" i="28"/>
  <c r="P21" i="28"/>
  <c r="L21" i="28"/>
  <c r="K21" i="28"/>
  <c r="J21" i="28"/>
  <c r="H21" i="28"/>
  <c r="G18" i="28"/>
  <c r="S12" i="28"/>
  <c r="T12" i="28" s="1"/>
  <c r="S10" i="28"/>
  <c r="T10" i="28" s="1"/>
  <c r="B5" i="28"/>
  <c r="E2" i="31" l="1"/>
  <c r="E17" i="31" s="1"/>
  <c r="I18" i="28"/>
  <c r="H18" i="28"/>
  <c r="D2" i="31"/>
  <c r="D17" i="31" s="1"/>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6" i="28"/>
  <c r="S36" i="28" s="1"/>
  <c r="AD36" i="28"/>
  <c r="G37" i="28"/>
  <c r="P37" i="28"/>
  <c r="O41" i="28"/>
  <c r="AC42" i="28"/>
  <c r="N23" i="28"/>
  <c r="H24" i="28"/>
  <c r="Q24" i="28"/>
  <c r="J28" i="28"/>
  <c r="U28" i="28"/>
  <c r="H38" i="28"/>
  <c r="AA43" i="28" s="1"/>
  <c r="Q38" i="28"/>
  <c r="AJ43" i="28" s="1"/>
  <c r="L23" i="28"/>
  <c r="P23" i="28"/>
  <c r="I38" i="28"/>
  <c r="AB43" i="28" s="1"/>
  <c r="R38" i="28"/>
  <c r="AK43" i="28" s="1"/>
  <c r="O21" i="28"/>
  <c r="G21" i="28"/>
  <c r="H23" i="28"/>
  <c r="M28" i="28"/>
  <c r="J38" i="28"/>
  <c r="AC43" i="28" s="1"/>
  <c r="I41" i="28"/>
  <c r="R41" i="28"/>
  <c r="AH42" i="28"/>
  <c r="O23" i="28"/>
  <c r="G23" i="28"/>
  <c r="M21" i="28"/>
  <c r="I23" i="28"/>
  <c r="R23" i="28"/>
  <c r="K24" i="28"/>
  <c r="N28" i="28"/>
  <c r="AH36" i="28"/>
  <c r="L37" i="28"/>
  <c r="AE36" i="28" s="1"/>
  <c r="K38" i="28"/>
  <c r="AD43" i="28" s="1"/>
  <c r="Q42" i="28"/>
  <c r="I42" i="28"/>
  <c r="AH41" i="28"/>
  <c r="N21" i="28"/>
  <c r="J23" i="28"/>
  <c r="O24" i="28"/>
  <c r="G24" i="28"/>
  <c r="O28" i="28"/>
  <c r="AJ36" i="28"/>
  <c r="M37" i="28"/>
  <c r="AF36" i="28" s="1"/>
  <c r="K41" i="28"/>
  <c r="Z42" i="28"/>
  <c r="L28" i="28"/>
  <c r="K23" i="28"/>
  <c r="U23" i="28"/>
  <c r="G28" i="28"/>
  <c r="P28" i="28"/>
  <c r="AK36" i="28"/>
  <c r="N37" i="28"/>
  <c r="M42" i="28"/>
  <c r="AA42" i="28"/>
  <c r="M74" i="26" l="1"/>
  <c r="J74" i="26"/>
  <c r="K74" i="26"/>
  <c r="G7" i="29"/>
  <c r="G9" i="29" s="1"/>
  <c r="E51" i="29"/>
  <c r="M18" i="26" s="1"/>
  <c r="M17"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AG39" i="28"/>
  <c r="AH40" i="28"/>
  <c r="AH37" i="28"/>
  <c r="S23" i="28"/>
  <c r="AD39" i="28"/>
  <c r="AA39" i="28"/>
  <c r="AA44" i="28" s="1"/>
  <c r="H33" i="28" s="1"/>
  <c r="L38" i="28"/>
  <c r="AE43" i="28" s="1"/>
  <c r="AI41" i="28"/>
  <c r="AL41" i="28" s="1"/>
  <c r="AE37" i="28"/>
  <c r="AE40" i="28"/>
  <c r="AB39" i="28"/>
  <c r="AB44" i="28" s="1"/>
  <c r="I33" i="28" s="1"/>
  <c r="AF40" i="28"/>
  <c r="AF37" i="28"/>
  <c r="S24" i="28"/>
  <c r="S37" i="28"/>
  <c r="Z36" i="28"/>
  <c r="AK40" i="28"/>
  <c r="AK37" i="28"/>
  <c r="AK39" i="28"/>
  <c r="AE39" i="28"/>
  <c r="AJ40" i="28"/>
  <c r="AJ37" i="28"/>
  <c r="AH39" i="28"/>
  <c r="M38" i="28"/>
  <c r="AF43" i="28" s="1"/>
  <c r="S28" i="28"/>
  <c r="L41" i="28"/>
  <c r="AC39" i="28"/>
  <c r="AC44" i="28" s="1"/>
  <c r="J33" i="28" s="1"/>
  <c r="S21" i="28"/>
  <c r="G41" i="28"/>
  <c r="AD37" i="28"/>
  <c r="AD40" i="28"/>
  <c r="AF39" i="28"/>
  <c r="AI36" i="28"/>
  <c r="AI42" i="28"/>
  <c r="AL42" i="28" s="1"/>
  <c r="P41" i="28"/>
  <c r="P38" i="28"/>
  <c r="AI43" i="28" s="1"/>
  <c r="AG36" i="28"/>
  <c r="N38" i="28"/>
  <c r="AG43" i="28" s="1"/>
  <c r="N41" i="28"/>
  <c r="AJ39" i="28"/>
  <c r="G38" i="28"/>
  <c r="M27" i="26" l="1"/>
  <c r="U15" i="28"/>
  <c r="P173" i="29"/>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9" i="28"/>
  <c r="Z40" i="28"/>
  <c r="Z37" i="28"/>
  <c r="AL36" i="28"/>
  <c r="Z43" i="28"/>
  <c r="AL43" i="28" s="1"/>
  <c r="S38" i="28"/>
  <c r="AG40" i="28"/>
  <c r="AG44" i="28" s="1"/>
  <c r="N33" i="28" s="1"/>
  <c r="AG37" i="28"/>
  <c r="AG38" i="28" s="1"/>
  <c r="O39" i="28" s="1"/>
  <c r="Z39"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Z38" i="28"/>
  <c r="H39" i="28" s="1"/>
  <c r="AL39" i="28"/>
  <c r="Z44" i="28"/>
  <c r="G33" i="28" s="1"/>
  <c r="AL37" i="28"/>
  <c r="S33" i="28" l="1"/>
  <c r="M211" i="26"/>
  <c r="I2" i="31"/>
  <c r="I17" i="31" s="1"/>
  <c r="M18" i="28"/>
  <c r="D129" i="29"/>
  <c r="D143" i="29" s="1"/>
  <c r="F90" i="29"/>
  <c r="F124" i="29" s="1"/>
  <c r="G88" i="29"/>
  <c r="F92" i="29"/>
  <c r="F172" i="29"/>
  <c r="G110" i="29"/>
  <c r="G116" i="29" s="1"/>
  <c r="H106" i="29"/>
  <c r="H107" i="29" s="1"/>
  <c r="G108" i="29"/>
  <c r="H72" i="29"/>
  <c r="I70" i="29"/>
  <c r="H74" i="29"/>
  <c r="E96" i="29"/>
  <c r="G80" i="29"/>
  <c r="AL44" i="28"/>
  <c r="AL38" i="28"/>
  <c r="J2" i="31" l="1"/>
  <c r="J17" i="31" s="1"/>
  <c r="N18" i="28"/>
  <c r="E190" i="29"/>
  <c r="E130" i="29"/>
  <c r="E144" i="29" s="1"/>
  <c r="H88" i="29"/>
  <c r="H89" i="29" s="1"/>
  <c r="G90" i="29"/>
  <c r="G124" i="29" s="1"/>
  <c r="G92" i="29"/>
  <c r="G172" i="29"/>
  <c r="F97" i="29"/>
  <c r="H81" i="29"/>
  <c r="F126" i="29"/>
  <c r="I72" i="29"/>
  <c r="J70" i="29"/>
  <c r="I74" i="29"/>
  <c r="I82" i="29" s="1"/>
  <c r="I106" i="29"/>
  <c r="H110" i="29"/>
  <c r="S39" i="28"/>
  <c r="K2" i="31" l="1"/>
  <c r="K17" i="31" s="1"/>
  <c r="O18" i="28"/>
  <c r="J106" i="29"/>
  <c r="I108" i="29"/>
  <c r="I110" i="29"/>
  <c r="H92" i="29"/>
  <c r="H126" i="29" s="1"/>
  <c r="H173" i="29"/>
  <c r="H172" i="29"/>
  <c r="G98" i="29"/>
  <c r="H108" i="29"/>
  <c r="H117" i="29"/>
  <c r="J74" i="29"/>
  <c r="J83" i="29" s="1"/>
  <c r="K70" i="29"/>
  <c r="J72" i="29"/>
  <c r="G126" i="29"/>
  <c r="F191" i="29"/>
  <c r="F131" i="29"/>
  <c r="F145" i="29" s="1"/>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N2" i="31" l="1"/>
  <c r="N17" i="31" s="1"/>
  <c r="R18" i="28"/>
  <c r="V45" i="28"/>
  <c r="H147" i="29"/>
  <c r="J172" i="29"/>
  <c r="J92" i="29"/>
  <c r="J101" i="29" s="1"/>
  <c r="J195" i="29" s="1"/>
  <c r="K88" i="29"/>
  <c r="K92" i="29" s="1"/>
  <c r="I134" i="29"/>
  <c r="I148" i="29" s="1"/>
  <c r="N70" i="29"/>
  <c r="N71" i="29" s="1"/>
  <c r="M72" i="29"/>
  <c r="M74" i="29"/>
  <c r="L110" i="29"/>
  <c r="L108" i="29"/>
  <c r="M106" i="29"/>
  <c r="K120" i="29"/>
  <c r="L85" i="29"/>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P103" i="26"/>
  <c r="K103" i="26"/>
  <c r="P102" i="26"/>
  <c r="K102" i="26"/>
  <c r="L102" i="26" s="1"/>
  <c r="P100" i="26"/>
  <c r="K100" i="26"/>
  <c r="M100" i="26" s="1"/>
  <c r="P99" i="26"/>
  <c r="K99" i="26"/>
  <c r="V25" i="28"/>
  <c r="M97" i="26"/>
  <c r="K97" i="26"/>
  <c r="K96" i="26"/>
  <c r="M96" i="26" s="1"/>
  <c r="K95" i="26"/>
  <c r="M95" i="26" s="1"/>
  <c r="K94" i="26"/>
  <c r="M94" i="26" s="1"/>
  <c r="P92" i="26"/>
  <c r="K92" i="26"/>
  <c r="M92" i="26" s="1"/>
  <c r="P91" i="26"/>
  <c r="K91" i="26"/>
  <c r="L91" i="26" s="1"/>
  <c r="P90" i="26"/>
  <c r="K90" i="26"/>
  <c r="L90" i="26" s="1"/>
  <c r="P89" i="26"/>
  <c r="K89" i="26"/>
  <c r="M89" i="26" s="1"/>
  <c r="P88" i="26"/>
  <c r="K88" i="26"/>
  <c r="L88" i="26" s="1"/>
  <c r="V29" i="28"/>
  <c r="P86" i="26"/>
  <c r="K86" i="26"/>
  <c r="L86" i="26" s="1"/>
  <c r="P85" i="26"/>
  <c r="K85" i="26"/>
  <c r="L85" i="26" s="1"/>
  <c r="P84" i="26"/>
  <c r="K84" i="26"/>
  <c r="V30" i="28"/>
  <c r="P82" i="26"/>
  <c r="K82" i="26"/>
  <c r="L82" i="26" s="1"/>
  <c r="P81" i="26"/>
  <c r="K81" i="26"/>
  <c r="M81" i="26" s="1"/>
  <c r="P80" i="26"/>
  <c r="K80" i="26"/>
  <c r="L80" i="26" s="1"/>
  <c r="P79" i="26"/>
  <c r="K79" i="26"/>
  <c r="M79" i="26" s="1"/>
  <c r="P78" i="26"/>
  <c r="K78" i="26"/>
  <c r="M78" i="26" s="1"/>
  <c r="K77" i="26"/>
  <c r="M77" i="26" s="1"/>
  <c r="P76" i="26"/>
  <c r="K76" i="26"/>
  <c r="L76" i="26" s="1"/>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O47" i="26" s="1"/>
  <c r="D71" i="26"/>
  <c r="F21" i="26"/>
  <c r="F14" i="26"/>
  <c r="F10" i="26"/>
  <c r="T61" i="24"/>
  <c r="T67" i="24"/>
  <c r="N67" i="24" s="1"/>
  <c r="T65" i="24"/>
  <c r="I65" i="24" s="1"/>
  <c r="T64" i="24"/>
  <c r="T63" i="24"/>
  <c r="V43" i="22"/>
  <c r="P106" i="11"/>
  <c r="M106" i="11" s="1"/>
  <c r="M104" i="11" s="1"/>
  <c r="P107" i="11"/>
  <c r="P105" i="11"/>
  <c r="T56" i="24"/>
  <c r="S56" i="24" s="1"/>
  <c r="T53" i="24"/>
  <c r="I53" i="24" s="1"/>
  <c r="I54" i="24" s="1"/>
  <c r="D54" i="24"/>
  <c r="T62" i="24"/>
  <c r="K62" i="24" s="1"/>
  <c r="T66" i="24"/>
  <c r="I66" i="24" s="1"/>
  <c r="T49" i="24"/>
  <c r="U26" i="28" l="1"/>
  <c r="G26" i="28" s="1"/>
  <c r="S26" i="28" s="1"/>
  <c r="F27" i="26"/>
  <c r="F29" i="26" s="1"/>
  <c r="D30" i="26" s="1"/>
  <c r="M133" i="26"/>
  <c r="L139" i="26"/>
  <c r="K166" i="26"/>
  <c r="M175" i="26"/>
  <c r="M179" i="26" s="1"/>
  <c r="M149" i="26"/>
  <c r="M150" i="26" s="1"/>
  <c r="K150" i="26"/>
  <c r="K148" i="26" s="1"/>
  <c r="K140" i="26"/>
  <c r="K138" i="26" s="1"/>
  <c r="L136" i="26"/>
  <c r="L134" i="26"/>
  <c r="K135" i="26"/>
  <c r="K133" i="26" s="1"/>
  <c r="K130" i="26"/>
  <c r="J216" i="26"/>
  <c r="K198" i="26"/>
  <c r="V47" i="28"/>
  <c r="M82" i="26"/>
  <c r="V27" i="28"/>
  <c r="L60" i="26"/>
  <c r="K60" i="26"/>
  <c r="K59" i="26" s="1"/>
  <c r="M144" i="26"/>
  <c r="M145" i="26" s="1"/>
  <c r="M143" i="26" s="1"/>
  <c r="J234" i="26"/>
  <c r="K145" i="26"/>
  <c r="K143" i="26" s="1"/>
  <c r="V20" i="28"/>
  <c r="M93" i="26"/>
  <c r="M115" i="26"/>
  <c r="M138" i="26"/>
  <c r="M91"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L56" i="26"/>
  <c r="L58" i="26"/>
  <c r="L66" i="26"/>
  <c r="K72" i="26"/>
  <c r="L81" i="26"/>
  <c r="L103" i="26"/>
  <c r="L114" i="26"/>
  <c r="K174" i="26"/>
  <c r="L176" i="26"/>
  <c r="L185" i="26"/>
  <c r="K190" i="26"/>
  <c r="L192" i="26"/>
  <c r="T60" i="24"/>
  <c r="G67" i="24"/>
  <c r="H67" i="24"/>
  <c r="J67" i="24"/>
  <c r="K67" i="24"/>
  <c r="L67" i="24"/>
  <c r="O67" i="24"/>
  <c r="P67" i="24"/>
  <c r="E67" i="24"/>
  <c r="F67" i="24"/>
  <c r="I67" i="24"/>
  <c r="M67" i="24"/>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48" i="26" l="1"/>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4"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Y124" i="29" l="1"/>
  <c r="Z172" i="29"/>
  <c r="Z92" i="29"/>
  <c r="Z105" i="29" s="1"/>
  <c r="AA88" i="29"/>
  <c r="AA172" i="29" s="1"/>
  <c r="Z110" i="29"/>
  <c r="Z125" i="29"/>
  <c r="AB70" i="29"/>
  <c r="AA72" i="29"/>
  <c r="AA74" i="29"/>
  <c r="Y126" i="29"/>
  <c r="Y122" i="29"/>
  <c r="Y138" i="29" s="1"/>
  <c r="Y152" i="29" s="1"/>
  <c r="X197" i="29"/>
  <c r="J194" i="11"/>
  <c r="J195" i="11" l="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P81" i="11"/>
  <c r="P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8" i="11"/>
  <c r="P39" i="11"/>
  <c r="M39" i="11" s="1"/>
  <c r="M38" i="11" s="1"/>
  <c r="M48" i="11" s="1"/>
  <c r="P51" i="11"/>
  <c r="J166" i="11"/>
  <c r="I166" i="11" s="1"/>
  <c r="K167" i="11"/>
  <c r="M47" i="11" l="1"/>
  <c r="AL173" i="29"/>
  <c r="AL186" i="29" s="1"/>
  <c r="AK138" i="29"/>
  <c r="AK152" i="29" s="1"/>
  <c r="AK198" i="29"/>
  <c r="AL126" i="29"/>
  <c r="AL123" i="29"/>
  <c r="AL108" i="29"/>
  <c r="AL124" i="29" s="1"/>
  <c r="J186" i="11"/>
  <c r="J235" i="11" s="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V29" i="22"/>
  <c r="T47" i="24" l="1"/>
  <c r="G28" i="22"/>
  <c r="E32" i="30" s="1"/>
  <c r="G29" i="22"/>
  <c r="E34" i="30" s="1"/>
  <c r="E35" i="30" l="1"/>
  <c r="E33" i="30"/>
  <c r="E47" i="24"/>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M54" i="11" s="1"/>
  <c r="M52" i="11" s="1"/>
  <c r="T48" i="24"/>
  <c r="T46" i="24" s="1"/>
  <c r="P114" i="11"/>
  <c r="K114" i="11"/>
  <c r="L114" i="11" s="1"/>
  <c r="I114" i="11"/>
  <c r="D34" i="24"/>
  <c r="D32" i="24"/>
  <c r="D30" i="24"/>
  <c r="F28" i="24"/>
  <c r="G28" i="24"/>
  <c r="H28" i="24"/>
  <c r="I28" i="24"/>
  <c r="J28" i="24"/>
  <c r="K28" i="24"/>
  <c r="L28" i="24"/>
  <c r="M28" i="24"/>
  <c r="N28" i="24"/>
  <c r="O28" i="24"/>
  <c r="P28" i="24"/>
  <c r="D28" i="24"/>
  <c r="D26" i="24"/>
  <c r="D24" i="24"/>
  <c r="D22" i="24"/>
  <c r="D20" i="24"/>
  <c r="D18" i="24"/>
  <c r="B18" i="30"/>
  <c r="J219" i="11"/>
  <c r="C3" i="23"/>
  <c r="D3" i="23" s="1"/>
  <c r="C2" i="23"/>
  <c r="C17" i="23" s="1"/>
  <c r="E48" i="24" l="1"/>
  <c r="P48" i="24"/>
  <c r="O48" i="24"/>
  <c r="N48" i="24"/>
  <c r="M48" i="24"/>
  <c r="L48" i="24"/>
  <c r="K48" i="24"/>
  <c r="F48" i="24"/>
  <c r="J48" i="24"/>
  <c r="I48" i="24"/>
  <c r="H48" i="24"/>
  <c r="G48" i="24"/>
  <c r="B20" i="30"/>
  <c r="B18" i="24"/>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L49" i="24"/>
  <c r="M49" i="24"/>
  <c r="H49" i="24"/>
  <c r="N49" i="24"/>
  <c r="P49" i="24"/>
  <c r="F49" i="24"/>
  <c r="Q48" i="24"/>
  <c r="B22" i="30"/>
  <c r="B20" i="24"/>
  <c r="S49" i="24"/>
  <c r="D50" i="24"/>
  <c r="S48" i="24"/>
  <c r="E14" i="23"/>
  <c r="E10" i="23"/>
  <c r="F3" i="23"/>
  <c r="E13" i="23"/>
  <c r="E9" i="23"/>
  <c r="Q49" i="24" l="1"/>
  <c r="O50" i="24"/>
  <c r="I50" i="24"/>
  <c r="M50" i="24"/>
  <c r="L50" i="24"/>
  <c r="K50" i="24"/>
  <c r="J50" i="24"/>
  <c r="E50" i="24"/>
  <c r="E45" i="24" s="1"/>
  <c r="E38" i="24" s="1"/>
  <c r="G50" i="24"/>
  <c r="P50" i="24"/>
  <c r="N50" i="24"/>
  <c r="H50" i="24"/>
  <c r="F50" i="24"/>
  <c r="B24" i="30"/>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6" i="30"/>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8" i="30"/>
  <c r="B26" i="24"/>
  <c r="I3" i="23"/>
  <c r="H13" i="23"/>
  <c r="H9" i="23"/>
  <c r="H14" i="23"/>
  <c r="H10" i="23"/>
  <c r="Q46" i="24" l="1"/>
  <c r="B30" i="30"/>
  <c r="B28" i="24"/>
  <c r="I13" i="23"/>
  <c r="I9" i="23"/>
  <c r="I14" i="23"/>
  <c r="I10" i="23"/>
  <c r="J3" i="23"/>
  <c r="B32" i="30" l="1"/>
  <c r="B30" i="24"/>
  <c r="J14" i="23"/>
  <c r="J10" i="23"/>
  <c r="J9" i="23"/>
  <c r="J13" i="23"/>
  <c r="K3" i="23"/>
  <c r="B34" i="30" l="1"/>
  <c r="B32" i="24"/>
  <c r="K14" i="23"/>
  <c r="K10" i="23"/>
  <c r="L3" i="23"/>
  <c r="K13" i="23"/>
  <c r="K9" i="23"/>
  <c r="B34" i="24" l="1"/>
  <c r="B36" i="30"/>
  <c r="L14" i="23"/>
  <c r="L10" i="23"/>
  <c r="M3" i="23"/>
  <c r="L13" i="23"/>
  <c r="L9" i="23"/>
  <c r="B36" i="24" l="1"/>
  <c r="B38" i="30"/>
  <c r="M14" i="23"/>
  <c r="M10" i="23"/>
  <c r="N3" i="23"/>
  <c r="M13" i="23"/>
  <c r="M9" i="23"/>
  <c r="B38" i="24" l="1"/>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S28" i="22"/>
  <c r="S23" i="22"/>
  <c r="G18" i="22"/>
  <c r="S12" i="22"/>
  <c r="T12" i="22" s="1"/>
  <c r="S10" i="22"/>
  <c r="T10" i="22" s="1"/>
  <c r="F5" i="30"/>
  <c r="F15" i="30" s="1"/>
  <c r="F33" i="30" l="1"/>
  <c r="Q32" i="30"/>
  <c r="Q32" i="24"/>
  <c r="E23" i="30"/>
  <c r="Q22" i="30"/>
  <c r="Q22" i="24"/>
  <c r="Z37" i="22"/>
  <c r="Z40" i="22"/>
  <c r="D2" i="23"/>
  <c r="D17" i="23" s="1"/>
  <c r="F5" i="24"/>
  <c r="F15" i="24" s="1"/>
  <c r="AA33" i="22"/>
  <c r="H18" i="22"/>
  <c r="S48" i="22"/>
  <c r="S44" i="22"/>
  <c r="S35" i="22"/>
  <c r="S42" i="22"/>
  <c r="AC33" i="22" l="1"/>
  <c r="G5" i="30"/>
  <c r="G15" i="30" s="1"/>
  <c r="E2" i="23"/>
  <c r="E17" i="23" s="1"/>
  <c r="G5" i="24"/>
  <c r="G15" i="24" s="1"/>
  <c r="F2" i="23"/>
  <c r="F17" i="23" s="1"/>
  <c r="I18" i="22"/>
  <c r="AB33" i="22"/>
  <c r="G2" i="23" l="1"/>
  <c r="G17" i="23" s="1"/>
  <c r="H5" i="24"/>
  <c r="H15" i="24" s="1"/>
  <c r="H5" i="30"/>
  <c r="H15" i="30" s="1"/>
  <c r="J18" i="22"/>
  <c r="K18" i="22"/>
  <c r="I5" i="24" l="1"/>
  <c r="I15" i="24" s="1"/>
  <c r="I5" i="30"/>
  <c r="I15" i="30" s="1"/>
  <c r="AE33" i="22"/>
  <c r="AD33" i="22"/>
  <c r="H2" i="23"/>
  <c r="H17" i="23" s="1"/>
  <c r="L18" i="22"/>
  <c r="J5" i="24" l="1"/>
  <c r="J15" i="24" s="1"/>
  <c r="J5" i="30"/>
  <c r="J15" i="30" s="1"/>
  <c r="AF33" i="22"/>
  <c r="I2" i="23"/>
  <c r="I17" i="23" s="1"/>
  <c r="M18" i="22"/>
  <c r="L5" i="24" l="1"/>
  <c r="L15" i="24" s="1"/>
  <c r="L5" i="30"/>
  <c r="L15" i="30" s="1"/>
  <c r="K5" i="24"/>
  <c r="K15" i="24" s="1"/>
  <c r="K5" i="30"/>
  <c r="K15" i="30" s="1"/>
  <c r="AG33" i="22"/>
  <c r="J2" i="23"/>
  <c r="J17" i="23" s="1"/>
  <c r="N18" i="22"/>
  <c r="M5" i="24" l="1"/>
  <c r="M15" i="24" s="1"/>
  <c r="M5" i="30"/>
  <c r="M15" i="30" s="1"/>
  <c r="AH33" i="22"/>
  <c r="K2" i="23"/>
  <c r="K17" i="23" s="1"/>
  <c r="O18" i="22"/>
  <c r="N5" i="24" l="1"/>
  <c r="N15" i="24" s="1"/>
  <c r="N5" i="30"/>
  <c r="N15" i="30" s="1"/>
  <c r="AI33" i="22"/>
  <c r="L2" i="23"/>
  <c r="L17" i="23" s="1"/>
  <c r="P18" i="22"/>
  <c r="O5" i="24" l="1"/>
  <c r="O15" i="24" s="1"/>
  <c r="O5" i="30"/>
  <c r="O15" i="30" s="1"/>
  <c r="AJ33" i="22"/>
  <c r="M2" i="23"/>
  <c r="M17" i="23" s="1"/>
  <c r="Q18" i="22"/>
  <c r="P5" i="30"/>
  <c r="P15" i="30" s="1"/>
  <c r="N2" i="23" l="1"/>
  <c r="N17" i="23" s="1"/>
  <c r="P5" i="24"/>
  <c r="P15" i="24" s="1"/>
  <c r="R18" i="22"/>
  <c r="AK33" i="22"/>
  <c r="K222" i="11" l="1"/>
  <c r="M222" i="11" s="1"/>
  <c r="K221" i="11"/>
  <c r="M221" i="11" s="1"/>
  <c r="M36" i="22" l="1"/>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40" i="22"/>
  <c r="AE37" i="22"/>
  <c r="AE40" i="22"/>
  <c r="AJ37" i="22"/>
  <c r="AJ40" i="22"/>
  <c r="AI37" i="22"/>
  <c r="AI40" i="22"/>
  <c r="AL36" i="22"/>
  <c r="S41" i="22"/>
  <c r="S38" i="22"/>
  <c r="AC38" i="22" l="1"/>
  <c r="K39" i="22" s="1"/>
  <c r="AG44" i="22"/>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AL44" i="22" l="1"/>
  <c r="AL38" i="22"/>
  <c r="I39" i="22"/>
  <c r="I200" i="11"/>
  <c r="I192" i="11"/>
  <c r="P69" i="11" l="1"/>
  <c r="M69" i="11" s="1"/>
  <c r="M59" i="11" s="1"/>
  <c r="J209" i="11" l="1"/>
  <c r="M209" i="11"/>
  <c r="K209" i="11"/>
  <c r="I126" i="11" l="1"/>
  <c r="K184" i="11" l="1"/>
  <c r="K176" i="11"/>
  <c r="K151" i="11"/>
  <c r="L151" i="11" s="1"/>
  <c r="K146" i="11"/>
  <c r="L146" i="11" s="1"/>
  <c r="K141" i="11"/>
  <c r="L141" i="11" s="1"/>
  <c r="K136" i="11"/>
  <c r="L136" i="11" s="1"/>
  <c r="K131" i="11"/>
  <c r="L131" i="11" s="1"/>
  <c r="K126" i="11"/>
  <c r="L126"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M73" i="11"/>
  <c r="M121" i="11" s="1"/>
  <c r="M155" i="11" s="1"/>
  <c r="K73" i="11"/>
  <c r="K121" i="11" s="1"/>
  <c r="K155" i="11" s="1"/>
  <c r="J73" i="11"/>
  <c r="J121" i="11" s="1"/>
  <c r="J155" i="11" s="1"/>
  <c r="J72" i="11"/>
  <c r="V27" i="22"/>
  <c r="F19" i="30" l="1"/>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U26" i="22"/>
  <c r="G26" i="22" s="1"/>
  <c r="E28" i="30" s="1"/>
  <c r="V47" i="22"/>
  <c r="M78" i="11"/>
  <c r="P61" i="11"/>
  <c r="P63" i="11"/>
  <c r="P64" i="11"/>
  <c r="P65" i="11"/>
  <c r="P66" i="11"/>
  <c r="P67" i="11"/>
  <c r="E29" i="30" l="1"/>
  <c r="Q28" i="30"/>
  <c r="Q30" i="24"/>
  <c r="Q30" i="30"/>
  <c r="E31" i="30"/>
  <c r="E28" i="24"/>
  <c r="S26" i="22"/>
  <c r="R47" i="22"/>
  <c r="H47" i="22"/>
  <c r="G47" i="22"/>
  <c r="J47" i="22"/>
  <c r="P47" i="22"/>
  <c r="N47" i="22"/>
  <c r="O47" i="22"/>
  <c r="Q47" i="22"/>
  <c r="K47" i="22"/>
  <c r="I47" i="22"/>
  <c r="M47" i="22"/>
  <c r="L47" i="22"/>
  <c r="S47" i="22" l="1"/>
  <c r="P68" i="11"/>
  <c r="P70" i="11"/>
  <c r="E29" i="24" l="1"/>
  <c r="Q28" i="24"/>
  <c r="B49" i="14" l="1"/>
  <c r="B50" i="14"/>
  <c r="B48" i="14"/>
  <c r="G8" i="22" l="1"/>
  <c r="G8" i="28"/>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115" i="11"/>
  <c r="L115" i="11" s="1"/>
  <c r="M202" i="26" l="1"/>
  <c r="M205" i="26" s="1"/>
  <c r="M216" i="26"/>
  <c r="D16" i="8"/>
  <c r="M188" i="11"/>
  <c r="M198" i="11"/>
  <c r="M202" i="11" s="1"/>
  <c r="M196" i="11"/>
  <c r="D17" i="8"/>
  <c r="B109" i="14"/>
  <c r="L205" i="11" l="1"/>
  <c r="P177" i="11"/>
  <c r="P175" i="11"/>
  <c r="P169" i="11"/>
  <c r="P167" i="11"/>
  <c r="P161" i="11"/>
  <c r="P129" i="11"/>
  <c r="P115" i="11"/>
  <c r="P113" i="11"/>
  <c r="P112" i="11"/>
  <c r="P111" i="11"/>
  <c r="P110" i="11"/>
  <c r="P109" i="11"/>
  <c r="P103" i="11"/>
  <c r="M103" i="11" s="1"/>
  <c r="M101" i="11" s="1"/>
  <c r="P102" i="11"/>
  <c r="P100" i="11"/>
  <c r="P99" i="11"/>
  <c r="P86" i="11"/>
  <c r="P84" i="11"/>
  <c r="P82" i="11"/>
  <c r="P80" i="11"/>
  <c r="P79" i="11"/>
  <c r="P58" i="11"/>
  <c r="P57" i="11"/>
  <c r="P56" i="11"/>
  <c r="J120" i="11"/>
  <c r="K120" i="11" l="1"/>
  <c r="J154" i="11"/>
  <c r="AG149" i="14"/>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V50" i="22" l="1"/>
  <c r="P176" i="11" l="1"/>
  <c r="P168" i="11"/>
  <c r="P160" i="11"/>
  <c r="M160" i="11" s="1"/>
  <c r="P126" i="11"/>
  <c r="I168" i="11" l="1"/>
  <c r="I160" i="11"/>
  <c r="I136" i="11"/>
  <c r="I131" i="11"/>
  <c r="I115" i="11"/>
  <c r="J125" i="11"/>
  <c r="J123" i="11" s="1"/>
  <c r="V25" i="22"/>
  <c r="K161" i="11"/>
  <c r="K162" i="11" s="1"/>
  <c r="K159" i="11"/>
  <c r="M131" i="11"/>
  <c r="K177" i="11"/>
  <c r="M176" i="11"/>
  <c r="K175" i="11"/>
  <c r="C29" i="8"/>
  <c r="K134" i="11"/>
  <c r="K135" i="11" s="1"/>
  <c r="K129" i="11"/>
  <c r="K130" i="11" s="1"/>
  <c r="M126" i="11"/>
  <c r="K124" i="11"/>
  <c r="M124" i="11" s="1"/>
  <c r="M125" i="11" s="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G14" i="28"/>
  <c r="S14" i="28" s="1"/>
  <c r="J130" i="11"/>
  <c r="J128" i="11" s="1"/>
  <c r="J135" i="11"/>
  <c r="J158" i="11"/>
  <c r="B28" i="8"/>
  <c r="B29" i="8"/>
  <c r="J174" i="11"/>
  <c r="I174" i="11" s="1"/>
  <c r="B30" i="8"/>
  <c r="L223" i="11"/>
  <c r="M115" i="11"/>
  <c r="I24" i="22" l="1"/>
  <c r="G24" i="30" s="1"/>
  <c r="G25" i="30" s="1"/>
  <c r="D27" i="14"/>
  <c r="E26" i="14"/>
  <c r="I18" i="14" s="1"/>
  <c r="D28" i="14"/>
  <c r="E49" i="14"/>
  <c r="G49" i="14" s="1"/>
  <c r="L175" i="11"/>
  <c r="L179" i="11" s="1"/>
  <c r="K179" i="11"/>
  <c r="K163" i="11"/>
  <c r="M177" i="11"/>
  <c r="M178" i="11" s="1"/>
  <c r="D30" i="8" s="1"/>
  <c r="K178" i="11"/>
  <c r="C30" i="8" s="1"/>
  <c r="E48" i="14"/>
  <c r="G48" i="14" s="1"/>
  <c r="E44" i="14"/>
  <c r="G44" i="14" s="1"/>
  <c r="E50" i="14"/>
  <c r="G50" i="14" s="1"/>
  <c r="O52" i="11"/>
  <c r="O75" i="11"/>
  <c r="V30" i="22"/>
  <c r="G30" i="22" s="1"/>
  <c r="K233" i="11"/>
  <c r="C23" i="8" s="1"/>
  <c r="B13" i="8"/>
  <c r="B34" i="8"/>
  <c r="B37" i="8" s="1"/>
  <c r="D16" i="24" s="1"/>
  <c r="L161" i="11"/>
  <c r="L162" i="11" s="1"/>
  <c r="K237" i="11"/>
  <c r="G25" i="22"/>
  <c r="S50" i="24"/>
  <c r="S46" i="24" s="1"/>
  <c r="U14" i="22"/>
  <c r="G14" i="22" s="1"/>
  <c r="C27" i="14"/>
  <c r="D59" i="14"/>
  <c r="O38" i="11"/>
  <c r="K72" i="11"/>
  <c r="C26" i="14"/>
  <c r="D26" i="14"/>
  <c r="F27"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E43" i="14"/>
  <c r="G43" i="14" s="1"/>
  <c r="M129" i="11"/>
  <c r="M130" i="11" s="1"/>
  <c r="M128" i="11" s="1"/>
  <c r="D8" i="8" s="1"/>
  <c r="O123" i="11"/>
  <c r="G35" i="14"/>
  <c r="O60" i="11"/>
  <c r="D52" i="14"/>
  <c r="G52" i="14" s="1"/>
  <c r="I128" i="11"/>
  <c r="B8" i="8"/>
  <c r="B15" i="8"/>
  <c r="C14" i="8"/>
  <c r="I158" i="11"/>
  <c r="M123" i="11"/>
  <c r="O42" i="11"/>
  <c r="O55" i="11"/>
  <c r="L129" i="11"/>
  <c r="K128" i="11"/>
  <c r="C8" i="8" s="1"/>
  <c r="H35" i="14" l="1"/>
  <c r="J205" i="11"/>
  <c r="H18" i="14"/>
  <c r="H26" i="14" s="1"/>
  <c r="G18" i="14"/>
  <c r="G26" i="14" s="1"/>
  <c r="I20" i="14"/>
  <c r="I28" i="14" s="1"/>
  <c r="H20" i="14"/>
  <c r="H28" i="14" s="1"/>
  <c r="G20" i="14"/>
  <c r="G28" i="14" s="1"/>
  <c r="H19" i="14"/>
  <c r="H27" i="14" s="1"/>
  <c r="G19" i="14"/>
  <c r="G27" i="14" s="1"/>
  <c r="I19" i="14"/>
  <c r="D30" i="14"/>
  <c r="E36" i="24"/>
  <c r="E37" i="24" s="1"/>
  <c r="E36" i="30"/>
  <c r="E26" i="24"/>
  <c r="E27" i="24" s="1"/>
  <c r="E26" i="30"/>
  <c r="I36" i="14"/>
  <c r="G54" i="14"/>
  <c r="F7" i="14" s="1"/>
  <c r="M163" i="11"/>
  <c r="L163" i="11"/>
  <c r="M171" i="11"/>
  <c r="U30" i="22"/>
  <c r="J30" i="22"/>
  <c r="P30" i="22"/>
  <c r="K30" i="22"/>
  <c r="N30" i="22"/>
  <c r="H30" i="22"/>
  <c r="C13" i="8"/>
  <c r="K234" i="11"/>
  <c r="P75" i="11"/>
  <c r="P52" i="11"/>
  <c r="C36" i="8"/>
  <c r="K239" i="11"/>
  <c r="M30" i="22"/>
  <c r="Q30" i="22"/>
  <c r="O30" i="22"/>
  <c r="L30" i="22"/>
  <c r="I30" i="22"/>
  <c r="R30" i="22"/>
  <c r="J234" i="11"/>
  <c r="J236" i="11" s="1"/>
  <c r="D29" i="8"/>
  <c r="M233" i="11"/>
  <c r="D23" i="8" s="1"/>
  <c r="M237" i="11"/>
  <c r="K235" i="11"/>
  <c r="D28" i="8"/>
  <c r="V19" i="22"/>
  <c r="N25" i="22"/>
  <c r="S14" i="22"/>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P38" i="11"/>
  <c r="M72" i="11"/>
  <c r="M133" i="11"/>
  <c r="D9" i="8" s="1"/>
  <c r="M174" i="11"/>
  <c r="D15" i="8" s="1"/>
  <c r="C30" i="14"/>
  <c r="I37" i="14"/>
  <c r="H37" i="14"/>
  <c r="G37" i="14"/>
  <c r="K180" i="11"/>
  <c r="B9" i="8"/>
  <c r="K164" i="11"/>
  <c r="M158" i="11"/>
  <c r="D7" i="8"/>
  <c r="C7" i="8"/>
  <c r="K216" i="11"/>
  <c r="F3" i="14"/>
  <c r="E30" i="14"/>
  <c r="G36" i="14"/>
  <c r="K172" i="11"/>
  <c r="I27" i="14"/>
  <c r="H36"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F5" i="14"/>
  <c r="V40" i="22"/>
  <c r="C19" i="8"/>
  <c r="M234" i="11"/>
  <c r="K236" i="11"/>
  <c r="D36" i="8"/>
  <c r="M239" i="11"/>
  <c r="S30" i="22"/>
  <c r="C34" i="8"/>
  <c r="C37" i="8" s="1"/>
  <c r="D34" i="8"/>
  <c r="M235" i="11"/>
  <c r="S25" i="22"/>
  <c r="E34" i="24"/>
  <c r="S29" i="22"/>
  <c r="E25" i="24"/>
  <c r="K205" i="11"/>
  <c r="M180" i="11"/>
  <c r="S24" i="22"/>
  <c r="G61" i="14"/>
  <c r="M74" i="11" s="1"/>
  <c r="G39" i="14"/>
  <c r="I39" i="14"/>
  <c r="I30" i="14"/>
  <c r="M164" i="11"/>
  <c r="H39" i="14"/>
  <c r="H30" i="14"/>
  <c r="E54" i="14"/>
  <c r="M18" i="11" s="1"/>
  <c r="M17" i="11" s="1"/>
  <c r="M27" i="11" s="1"/>
  <c r="D13" i="8"/>
  <c r="D19" i="8" s="1"/>
  <c r="M216" i="11"/>
  <c r="G22" i="14"/>
  <c r="H22" i="14"/>
  <c r="I22" i="14"/>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K74" i="11" l="1"/>
  <c r="J74" i="11"/>
  <c r="I74" i="11" s="1"/>
  <c r="Q36" i="30"/>
  <c r="V49" i="22"/>
  <c r="V45" i="22"/>
  <c r="Q26" i="24"/>
  <c r="Q36" i="24"/>
  <c r="F35" i="30"/>
  <c r="Q34" i="30"/>
  <c r="Q24" i="24"/>
  <c r="Q26" i="30"/>
  <c r="Q24" i="30"/>
  <c r="E25" i="30"/>
  <c r="M218" i="26"/>
  <c r="K217" i="11"/>
  <c r="K218" i="11" s="1"/>
  <c r="C22" i="8" s="1"/>
  <c r="K218" i="26"/>
  <c r="G3" i="14"/>
  <c r="G5" i="14" s="1"/>
  <c r="F6" i="14"/>
  <c r="M206" i="26"/>
  <c r="K206" i="26"/>
  <c r="V22" i="28"/>
  <c r="L217" i="11"/>
  <c r="M217" i="11"/>
  <c r="M218" i="11" s="1"/>
  <c r="D22" i="8" s="1"/>
  <c r="D37" i="8"/>
  <c r="M236" i="11"/>
  <c r="Q34" i="24"/>
  <c r="E35" i="24"/>
  <c r="M205"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V22" i="22" l="1"/>
  <c r="U22" i="22" s="1"/>
  <c r="G6" i="14"/>
  <c r="H3" i="14"/>
  <c r="H5" i="14" s="1"/>
  <c r="J206" i="11"/>
  <c r="L49" i="22"/>
  <c r="R49" i="22"/>
  <c r="L45" i="22"/>
  <c r="R45" i="22"/>
  <c r="M223" i="26"/>
  <c r="M240" i="26"/>
  <c r="K223" i="26"/>
  <c r="K240" i="26"/>
  <c r="J206" i="26"/>
  <c r="M208" i="26"/>
  <c r="M207" i="26"/>
  <c r="M212" i="26" s="1"/>
  <c r="K207" i="26"/>
  <c r="K212" i="26" s="1"/>
  <c r="K208" i="26"/>
  <c r="U22" i="28"/>
  <c r="I22" i="28"/>
  <c r="J22" i="28"/>
  <c r="R22" i="28"/>
  <c r="L22" i="28"/>
  <c r="M22" i="28"/>
  <c r="K22" i="28"/>
  <c r="P22" i="28"/>
  <c r="N22" i="28"/>
  <c r="H22" i="28"/>
  <c r="G22" i="28"/>
  <c r="Q22" i="28"/>
  <c r="O22" i="28"/>
  <c r="F29" i="11"/>
  <c r="D30" i="11" s="1"/>
  <c r="N15" i="28"/>
  <c r="C24" i="8"/>
  <c r="K240" i="11"/>
  <c r="K223" i="11"/>
  <c r="M240" i="11"/>
  <c r="D24" i="8"/>
  <c r="M223" i="11"/>
  <c r="I50" i="22"/>
  <c r="N50" i="22"/>
  <c r="Q50" i="22"/>
  <c r="O50" i="22"/>
  <c r="K50" i="22"/>
  <c r="J50" i="22"/>
  <c r="H50" i="22"/>
  <c r="R50" i="22"/>
  <c r="P50" i="22"/>
  <c r="G50" i="22"/>
  <c r="L50" i="22"/>
  <c r="M50"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9" i="22" l="1"/>
  <c r="S45" i="22"/>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s="1"/>
  <c r="S21" i="22" l="1"/>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F5" i="23" s="1"/>
  <c r="F18" i="23" s="1"/>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I53" i="28" l="1"/>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206" i="11" l="1"/>
  <c r="M206" i="11"/>
  <c r="M207" i="11" s="1"/>
  <c r="M212" i="11" s="1"/>
  <c r="K206" i="1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Företagstolken</author>
    <author>Ari Järvinen</author>
  </authors>
  <commentList>
    <comment ref="B4" authorId="0" shapeId="0" xr:uid="{8990B07B-6B49-4D0D-BF99-C197B996C03C}">
      <text>
        <r>
          <rPr>
            <b/>
            <sz val="11"/>
            <color indexed="81"/>
            <rFont val="Tahoma"/>
            <family val="2"/>
          </rPr>
          <t>Inte använda Google Sheets -kalkylark! Använda Excel eller Libre Office Calc.</t>
        </r>
        <r>
          <rPr>
            <sz val="10"/>
            <color indexed="81"/>
            <rFont val="Tahoma"/>
            <family val="2"/>
          </rPr>
          <t xml:space="preserve">
Programmet kan användas för att beräkna skattepliktig inkomst från affärsverksamhet. Instruktioner om driftskostnader finns i Företagstolken: Nyföretagare -&gt;Planering -&gt; Ekonomiplaner.</t>
        </r>
        <r>
          <rPr>
            <sz val="9"/>
            <color indexed="81"/>
            <rFont val="Tahoma"/>
            <family val="2"/>
          </rPr>
          <t xml:space="preserve">
</t>
        </r>
        <r>
          <rPr>
            <b/>
            <sz val="10"/>
            <color indexed="81"/>
            <rFont val="Tahoma"/>
            <family val="2"/>
          </rPr>
          <t>IFYLLNADSDIREKTIV</t>
        </r>
        <r>
          <rPr>
            <sz val="9"/>
            <color indexed="81"/>
            <rFont val="Tahoma"/>
            <family val="2"/>
          </rPr>
          <t xml:space="preserve">
</t>
        </r>
        <r>
          <rPr>
            <sz val="10"/>
            <color indexed="81"/>
            <rFont val="Tahoma"/>
            <family val="2"/>
          </rPr>
          <t xml:space="preserve">- Fyll de gula cellerna i ordning från topp till botten.
- Tabell över Finansieringsbehov punkt 2. Maskiner och inventarier: Använd momspriser.
- Tabell över Finansieringsbehov punkt 6. Rörelsekapital: Det exakta värdet erhålls först i slutet av beräkningen från punkt 37.
- FINANSIERINGSBEHOV OCH FINANSIERING måste vara lika. Justering kan göras genom att ändra siffran värdet i punkt 6. Driftskapital.
- Vid beräkning av driftskostnader uppmärksammas betydande kostnader. Små mängder är inte avgörande relevans för resultatet. 
  </t>
        </r>
        <r>
          <rPr>
            <b/>
            <sz val="10"/>
            <color indexed="81"/>
            <rFont val="Tahoma"/>
            <family val="2"/>
          </rPr>
          <t>Beräkna driftskostnader till momsfria priser.</t>
        </r>
        <r>
          <rPr>
            <sz val="10"/>
            <color indexed="81"/>
            <rFont val="Tahoma"/>
            <family val="2"/>
          </rPr>
          <t xml:space="preserve">
- Noggrann förberedelse av försäljningsprognosen är den viktigaste uppgiften!</t>
        </r>
        <r>
          <rPr>
            <sz val="9"/>
            <color indexed="81"/>
            <rFont val="Tahoma"/>
            <family val="2"/>
          </rPr>
          <t xml:space="preserve">
</t>
        </r>
        <r>
          <rPr>
            <b/>
            <sz val="10"/>
            <color indexed="81"/>
            <rFont val="Tahoma"/>
            <family val="2"/>
          </rPr>
          <t xml:space="preserve">
UTSKRIFTSINSTRUKTIONER </t>
        </r>
        <r>
          <rPr>
            <sz val="9"/>
            <color indexed="81"/>
            <rFont val="Tahoma"/>
            <family val="2"/>
          </rPr>
          <t xml:space="preserve">
</t>
        </r>
        <r>
          <rPr>
            <sz val="10"/>
            <color indexed="81"/>
            <rFont val="Tahoma"/>
            <family val="2"/>
          </rPr>
          <t>- För att skriva ut till finansiären och som e-postbilaga: Välj skrivaren Microsoft Skriv ut till PDF, skriv ut sidorna 1 - 3. - Skriv ut för eget bruk, skriv ut sidorna 1 - 6.</t>
        </r>
        <r>
          <rPr>
            <sz val="9"/>
            <color indexed="81"/>
            <rFont val="Tahoma"/>
            <family val="2"/>
          </rPr>
          <t xml:space="preserve">
</t>
        </r>
        <r>
          <rPr>
            <b/>
            <sz val="10"/>
            <color indexed="81"/>
            <rFont val="Tahoma"/>
            <family val="2"/>
          </rPr>
          <t xml:space="preserve">
MEST GEMENSAMMA EXCEL-felmeddelanden
#ARVO!</t>
        </r>
        <r>
          <rPr>
            <sz val="10"/>
            <color indexed="81"/>
            <rFont val="Tahoma"/>
            <family val="2"/>
          </rPr>
          <t xml:space="preserve"> , </t>
        </r>
        <r>
          <rPr>
            <b/>
            <sz val="10"/>
            <color indexed="81"/>
            <rFont val="Tahoma"/>
            <family val="2"/>
          </rPr>
          <t xml:space="preserve">#VÄRDE! </t>
        </r>
        <r>
          <rPr>
            <sz val="10"/>
            <color indexed="81"/>
            <rFont val="Tahoma"/>
            <family val="2"/>
          </rPr>
          <t>= ogiltigt värde t.ex. bokstav ,. (punkt) eller någon annan karaktär. I nummerserier alltid ett komma, t.ex. 2,5 ingen 2.5.</t>
        </r>
        <r>
          <rPr>
            <sz val="11"/>
            <color indexed="81"/>
            <rFont val="Tahoma"/>
            <family val="2"/>
          </rPr>
          <t xml:space="preserve">
</t>
        </r>
        <r>
          <rPr>
            <b/>
            <sz val="10"/>
            <color indexed="81"/>
            <rFont val="Tahoma"/>
            <family val="2"/>
          </rPr>
          <t>#NIMI? , #NAMN?</t>
        </r>
        <r>
          <rPr>
            <sz val="10"/>
            <color indexed="81"/>
            <rFont val="Tahoma"/>
            <family val="2"/>
          </rPr>
          <t xml:space="preserve"> = om du använder en indragrad, dvs en fransk linje, sätt ett mellanslag, dvs. ett tomt före - tecken. Excel läser det annars som ett minustecken och känner inte igen formelnamnet.
</t>
        </r>
        <r>
          <rPr>
            <b/>
            <sz val="10"/>
            <color indexed="81"/>
            <rFont val="Tahoma"/>
            <family val="2"/>
          </rPr>
          <t>#####</t>
        </r>
        <r>
          <rPr>
            <sz val="10"/>
            <color indexed="81"/>
            <rFont val="Tahoma"/>
            <family val="2"/>
          </rPr>
          <t xml:space="preserve"> = för många tecken, läsning eller skrivning passar inte i cellen 
Om inget fel hittas, återbära/ ta tillbaka så många gånger som felet försvinner eller öppna en ny beräkningsbas och mata in siffrorna igen. Det tar inte lång tid. Spara / skriv ut ditt gamla jobb som modell. </t>
        </r>
      </text>
    </comment>
    <comment ref="F11" authorId="1" shapeId="0" xr:uid="{AA03EA40-25AD-4B35-8661-74AEA33F91FB}">
      <text>
        <r>
          <rPr>
            <sz val="10"/>
            <color indexed="81"/>
            <rFont val="Tahoma"/>
            <family val="2"/>
          </rPr>
          <t xml:space="preserve">Avskrivningsfria anskaffningar
- tomtmark
- anslutning: el-, vatten- osv. 
- anslutningsvgift: franchising-, taxicentral- osv. </t>
        </r>
      </text>
    </comment>
    <comment ref="J12" authorId="1" shapeId="0" xr:uid="{07A4F77F-68FE-4683-8D7C-78CF2C4C64DA}">
      <text>
        <r>
          <rPr>
            <sz val="10"/>
            <color indexed="81"/>
            <rFont val="Tahoma"/>
            <family val="2"/>
          </rPr>
          <t xml:space="preserve">Bankens ränta påverkas av lånebelopp, betalningstid, risk och borgen.
Om du ansöker om Finnveras garanti som säkerhet för lånet, lägg till Finnveras garantiprovision till bankens ränta. Om garantin har beviljats ​​för t.ex 50 % av lånekapitalet, halvera garantiprovisionen. </t>
        </r>
      </text>
    </comment>
    <comment ref="K12" authorId="1" shapeId="0" xr:uid="{D0278D50-B8E6-4F6A-BF32-8B8924F1F983}">
      <text>
        <r>
          <rPr>
            <sz val="10"/>
            <color indexed="81"/>
            <rFont val="Tahoma"/>
            <family val="2"/>
          </rPr>
          <t>Fria år från avkortningar. Antalet år antecknas i denna cell och de kan uppgå till högst 2. Vi rekommenderar högst ett år.</t>
        </r>
      </text>
    </comment>
    <comment ref="L12" authorId="1" shapeId="0" xr:uid="{CD3599CA-2E64-4FF0-AA31-7AE628010AB4}">
      <text>
        <r>
          <rPr>
            <sz val="10"/>
            <color indexed="81"/>
            <rFont val="Tahoma"/>
            <family val="2"/>
          </rPr>
          <t>Den totala lånetiden antecknas i denna cell och måste vara min. 3 år.</t>
        </r>
      </text>
    </comment>
    <comment ref="J13" authorId="1" shapeId="0" xr:uid="{346B8BDE-608E-42EB-A138-3F27B550D1D8}">
      <text>
        <r>
          <rPr>
            <sz val="10"/>
            <color indexed="81"/>
            <rFont val="Tahoma"/>
            <family val="2"/>
          </rPr>
          <t>Räntans storlek påverkas av företagets lönsamhet och ekonomiska ställning, av risken i affärsverksamhet samt av säkerheten för lånet.</t>
        </r>
      </text>
    </comment>
    <comment ref="K13" authorId="1" shapeId="0" xr:uid="{061EA8A6-CCF9-4E0E-A8DB-6572133E1777}">
      <text>
        <r>
          <rPr>
            <sz val="10"/>
            <color indexed="81"/>
            <rFont val="Tahoma"/>
            <family val="2"/>
          </rPr>
          <t>Fria år från avkortningar. Antalet år antecknas i denna cell och de kan uppgå till högst 2. Vi rekommenderar högst ett år.</t>
        </r>
      </text>
    </comment>
    <comment ref="L13" authorId="1" shapeId="0" xr:uid="{2CE2A4EB-FD30-4BFC-8298-DED910DD03F4}">
      <text>
        <r>
          <rPr>
            <sz val="10"/>
            <color indexed="81"/>
            <rFont val="Tahoma"/>
            <family val="2"/>
          </rPr>
          <t>Den totala lånetiden antecknas i denna cell och måste vara min. 3 år.</t>
        </r>
      </text>
    </comment>
    <comment ref="K14" authorId="1" shapeId="0" xr:uid="{521A1C67-99C0-4E3E-AE40-511CA2030FEB}">
      <text>
        <r>
          <rPr>
            <sz val="10"/>
            <color indexed="81"/>
            <rFont val="Tahoma"/>
            <family val="2"/>
          </rPr>
          <t>Fria år från avkortningar. Antalet år antecknas i denna cell och de kan uppgå till högst 2. Vi rekommenderar högst ett år.</t>
        </r>
      </text>
    </comment>
    <comment ref="L14" authorId="1" shapeId="0" xr:uid="{C6D840DE-05A2-4D34-A6F3-37D818299603}">
      <text>
        <r>
          <rPr>
            <sz val="10"/>
            <color indexed="81"/>
            <rFont val="Tahoma"/>
            <family val="2"/>
          </rPr>
          <t>Den totala lånetiden antecknas i denna cell och måste vara min. 3 år.</t>
        </r>
      </text>
    </comment>
    <comment ref="C15" authorId="1" shapeId="0" xr:uid="{EB9754EA-260E-4D0A-8109-F7F73A35C6E5}">
      <text>
        <r>
          <rPr>
            <sz val="10"/>
            <color indexed="81"/>
            <rFont val="Tahoma"/>
            <family val="2"/>
          </rPr>
          <t>Investeringar, vilka innehåller avdragbar Moms. T.ex. maskiner och inventarier samt övriga avskrivningsbara långvariga anskaffningar (mm. Adb-system, patenten, produktionsrättigheter).  
Skriv Moms 0 %-anskaffningar nedre i punkt 
"- skattefria anskaffning., affärsvärde".</t>
        </r>
      </text>
    </comment>
    <comment ref="E15" authorId="1" shapeId="0" xr:uid="{188FE7BF-ED53-4D09-9C20-033DCE746C94}">
      <text>
        <r>
          <rPr>
            <sz val="10"/>
            <color indexed="81"/>
            <rFont val="Tahoma"/>
            <family val="2"/>
          </rPr>
          <t>Bidrag för investeringar beviljas vanligen inte till transport-, handels-, entreprenörs- och byggnadsbranscher. Kontrollera från NTM-centralen. Bidrag beviljas av Moms 0 %-priset.</t>
        </r>
      </text>
    </comment>
    <comment ref="H15" authorId="0" shapeId="0" xr:uid="{5591A3A9-459B-4544-B159-B4535AB37154}">
      <text>
        <r>
          <rPr>
            <b/>
            <sz val="10"/>
            <color indexed="81"/>
            <rFont val="Tahoma"/>
            <family val="2"/>
          </rPr>
          <t xml:space="preserve">Maskiner och utrustning inköpta för affärsbruk med restvärde. </t>
        </r>
        <r>
          <rPr>
            <sz val="10"/>
            <color indexed="81"/>
            <rFont val="Tahoma"/>
            <family val="2"/>
          </rPr>
          <t xml:space="preserve">
Leasingfinansiering till fast månadspris placeras i post 25. Övriga maskin- och apparaturkostnader under räkenskapsperioden. 
Leasingkostnader för tjänstebilar placeras i post 35. Fordonskostnader (fordonen i privatbruk, naturaförmån)</t>
        </r>
      </text>
    </comment>
    <comment ref="K15" authorId="1" shapeId="0" xr:uid="{C291A32A-763A-40F1-86DC-2027800BF881}">
      <text>
        <r>
          <rPr>
            <sz val="10"/>
            <color indexed="81"/>
            <rFont val="Tahoma"/>
            <family val="2"/>
          </rPr>
          <t>Avbetalningens och leasingens  betalningstid är 2 - 5 år!</t>
        </r>
      </text>
    </comment>
    <comment ref="M15" authorId="1" shapeId="0" xr:uid="{04C07458-42DF-4340-9627-0ACD3770A305}">
      <text>
        <r>
          <rPr>
            <sz val="10"/>
            <color indexed="81"/>
            <rFont val="Tahoma"/>
            <family val="2"/>
          </rPr>
          <t>Läs mera Företagstolken punkt 3.10 Leasingens kostnader.</t>
        </r>
      </text>
    </comment>
    <comment ref="H16" authorId="0" shapeId="0" xr:uid="{9A5497BA-C538-4BA3-96AF-30C10F3CEB0D}">
      <text>
        <r>
          <rPr>
            <sz val="10"/>
            <color indexed="81"/>
            <rFont val="Tahoma"/>
            <family val="2"/>
          </rPr>
          <t xml:space="preserve">Maskiner och utrustning inköpta för affärsbruk med restvärde. </t>
        </r>
      </text>
    </comment>
    <comment ref="K16" authorId="1" shapeId="0" xr:uid="{D2ECA477-AA13-4289-A4B8-E4F8A216596E}">
      <text>
        <r>
          <rPr>
            <sz val="10"/>
            <color indexed="81"/>
            <rFont val="Tahoma"/>
            <family val="2"/>
          </rPr>
          <t>Avbetalningens och leasingens  betalningstid är 2 - 5 år!</t>
        </r>
      </text>
    </comment>
    <comment ref="M16" authorId="1" shapeId="0" xr:uid="{62F05812-BDF4-4365-AC0F-C22254698FB1}">
      <text>
        <r>
          <rPr>
            <sz val="10"/>
            <color indexed="81"/>
            <rFont val="Tahoma"/>
            <family val="2"/>
          </rPr>
          <t xml:space="preserve">Med avbetalning kan man finansiera vanlig cirka 80 % av investeringens värde. </t>
        </r>
      </text>
    </comment>
    <comment ref="F18" authorId="1" shapeId="0" xr:uid="{77680BF9-6167-4E85-965B-0E12A947C373}">
      <text>
        <r>
          <rPr>
            <sz val="10"/>
            <color indexed="81"/>
            <rFont val="Tahoma"/>
            <family val="2"/>
          </rPr>
          <t xml:space="preserve">- Handelsvarorna, som har köpt vid förvärv
  av affärsverksamheten, är utan mervärdesskatt.
- Varulager i början som förvärvats utomlands </t>
        </r>
      </text>
    </comment>
    <comment ref="M18" authorId="1" shapeId="0" xr:uid="{4D99372F-FBB5-4AF7-8F2A-94DCC2530F57}">
      <text>
        <r>
          <rPr>
            <sz val="10"/>
            <color indexed="81"/>
            <rFont val="Tahoma"/>
            <family val="2"/>
          </rPr>
          <t xml:space="preserve">Bidrag kan betalas till investeringen, som inte innehåller Moms. </t>
        </r>
      </text>
    </comment>
    <comment ref="F19" authorId="1" shapeId="0" xr:uid="{BF791C03-14D7-42F9-AA46-B7C61D16D157}">
      <text>
        <r>
          <rPr>
            <sz val="10"/>
            <color indexed="81"/>
            <rFont val="Tahoma"/>
            <family val="2"/>
          </rPr>
          <t>- Varulager i början = varor, som man har 
  köpt i förhand före öppnandet av affären.
- Säkerhetsavgifter är t.ex elanslutning, 
  mobiltelefonanslutning</t>
        </r>
      </text>
    </comment>
    <comment ref="F20" authorId="1" shapeId="0" xr:uid="{0C1F743D-43C1-44D0-A765-271202D64869}">
      <text>
        <r>
          <rPr>
            <sz val="10"/>
            <color indexed="81"/>
            <rFont val="Tahoma"/>
            <family val="2"/>
          </rPr>
          <t>Här antecknas anskaffningar, av vilka man inte får återbäring av mervärdesskatt. T.ex. 
- affärsvärde (goodwill) vid företagsförvärv
- maskiner och inventarier vid förvärv av affärsverksamheten
- anskaffningar av privata personer
- anskaffningar av utomlands
- momsfria företag (mervärdesskatt)
- fordonen i privatbruk, naturaförmån (leasing och 
  avbetalning finansiering fordonen till 35. Fordonskostnader)</t>
        </r>
      </text>
    </comment>
    <comment ref="M21" authorId="1" shapeId="0" xr:uid="{CF24F091-EEC1-40AC-AA8D-D6D8022905D0}">
      <text>
        <r>
          <rPr>
            <sz val="10"/>
            <color indexed="81"/>
            <rFont val="Tahoma"/>
            <family val="2"/>
          </rPr>
          <t xml:space="preserve">Moms-återbäring kalkyleras från posterna
- 1.  Lokaliteter / inköp/byggande av fastigheter
- 2. Maskiner och inventarier
- 3. Immateriella investeringar
Av bidragen minskas leasingfinansieringens andel. Återbäring fås 2 månader efter anskaffningen. </t>
        </r>
      </text>
    </comment>
    <comment ref="C22" authorId="1" shapeId="0" xr:uid="{CF7E4662-F21A-45F3-98F7-831485D457C8}">
      <text>
        <r>
          <rPr>
            <sz val="10"/>
            <color indexed="81"/>
            <rFont val="Tahoma"/>
            <family val="2"/>
          </rPr>
          <t xml:space="preserve">Här antecknas övriga kortvariga anskaffningar inkl. Moms, vilka </t>
        </r>
        <r>
          <rPr>
            <b/>
            <sz val="10"/>
            <color indexed="81"/>
            <rFont val="Tahoma"/>
            <family val="2"/>
          </rPr>
          <t>minskas som kostnad inom ett år</t>
        </r>
        <r>
          <rPr>
            <sz val="10"/>
            <color indexed="81"/>
            <rFont val="Tahoma"/>
            <family val="2"/>
          </rPr>
          <t xml:space="preserve"> (ingen avskrivning). T.ex.
- marknadsföringsinvesteringar (logo, websidor, licens) 
- produktskydd kostnader
- expertarvoden (utformning av kontrakt, planering etc.) 
- reparation av affärslokaler (renovering till punkt 1.
  Lokaliteter/inköp / byggande av fastigheter)</t>
        </r>
      </text>
    </comment>
    <comment ref="M23" authorId="1" shapeId="0" xr:uid="{2AAB8DF6-C16C-4AF1-9FE0-044A0AC5BF0A}">
      <text>
        <r>
          <rPr>
            <sz val="10"/>
            <color indexed="81"/>
            <rFont val="Tahoma"/>
            <family val="2"/>
          </rPr>
          <t>För att få projektet lyckas bra, borde andel av egen finansiering vara 20 % av det totala finansieringsbehovet.</t>
        </r>
      </text>
    </comment>
    <comment ref="F24" authorId="1" shapeId="0" xr:uid="{7CED84CC-34C2-48C1-BE80-B72F0644A7EB}">
      <text>
        <r>
          <rPr>
            <b/>
            <sz val="10"/>
            <color indexed="81"/>
            <rFont val="Tahoma"/>
            <family val="2"/>
          </rPr>
          <t xml:space="preserve">Här antecknas immateriella- och utvecklingsinvesteringar
för momsfria (moms 0 %) företagen. </t>
        </r>
      </text>
    </comment>
    <comment ref="F26" authorId="1" shapeId="0" xr:uid="{61918C6A-6893-4A86-9597-6DFEF30DF6F9}">
      <text>
        <r>
          <rPr>
            <sz val="10"/>
            <color indexed="81"/>
            <rFont val="Tahoma"/>
            <family val="2"/>
          </rPr>
          <t xml:space="preserve">Driftskapital = Kassamedlen, pengar i kassan. Behovet av driftskapital beror på driftskostnader samt fluktuation av försäljningen och inköpen.
Rekommendation för minimibeloppet rörelsekapital i ett nyborjande företag:  
- vid detaljhandel 20 % av omsättning.
- privata tjänster 5 000 - 30 000 euro/person
  (vid företagsförvärv 2 000 - 10 000 euro/person.
- industri och tillverkning 10 000 € - 60 000 €/person (vid företagsförvärv 
  4 000 € - 20 000 €/person)
- byggande 15 000 € - 50 000 €/person (vid företagsförvärv 
  5 000 - 18 000 €/person)
Det finns stora branschvariationer. I början är rörelsekapitalkravet är 2-3 gånger större än för aktivt företag.
</t>
        </r>
        <r>
          <rPr>
            <b/>
            <i/>
            <sz val="10"/>
            <color indexed="81"/>
            <rFont val="Tahoma"/>
            <family val="2"/>
          </rPr>
          <t>Om finansieringsbehovet och finansiering inte är exakt lika kan du göra korrigeringen i  rörelsekapitalet, det vill säga kassan.</t>
        </r>
      </text>
    </comment>
    <comment ref="F29" authorId="1" shapeId="0" xr:uid="{34BBDD8D-ACA7-4DFB-AB91-D0D44ACFF1B1}">
      <text>
        <r>
          <rPr>
            <sz val="10"/>
            <color indexed="81"/>
            <rFont val="Tahoma"/>
            <family val="2"/>
          </rPr>
          <t>Slutsummorna på vänstra och högra sidan bör vara lika stora. Om summan är negativ, finns det "för mycket" pengar, som fogas till punkt 6. Driftskapital.</t>
        </r>
      </text>
    </comment>
    <comment ref="M29" authorId="1" shapeId="0" xr:uid="{349C0A01-8205-4B03-BD98-6EF371C7B903}">
      <text>
        <r>
          <rPr>
            <sz val="10"/>
            <color indexed="81"/>
            <rFont val="Tahoma"/>
            <family val="2"/>
          </rPr>
          <t>Bidrag och återbäring av mervärdesskatt erhålls i efterhand. Om summan är stor, är man tvungen att ordna med tillfällig finansiering. T.ex. konto med kredit. Var också beredd för det, att inte något bidrag erhålls.</t>
        </r>
      </text>
    </comment>
    <comment ref="J32" authorId="2" shapeId="0" xr:uid="{F4EA92FD-4F43-4119-BF92-93F934D656EC}">
      <text>
        <r>
          <rPr>
            <sz val="10"/>
            <color indexed="81"/>
            <rFont val="Tahoma"/>
            <family val="2"/>
          </rPr>
          <t>Avslutnings år av första räkenskapsperioden.</t>
        </r>
      </text>
    </comment>
    <comment ref="K32" authorId="2" shapeId="0" xr:uid="{EC3165CD-0899-4ED3-A61A-68169D8741B2}">
      <text>
        <r>
          <rPr>
            <sz val="10"/>
            <color indexed="81"/>
            <rFont val="Tahoma"/>
            <family val="2"/>
          </rPr>
          <t>Kontrollera årssiffran efter periodens längd!</t>
        </r>
      </text>
    </comment>
    <comment ref="M32" authorId="2" shapeId="0" xr:uid="{A4B68470-488F-4616-A011-522C740AD898}">
      <text>
        <r>
          <rPr>
            <sz val="10"/>
            <color indexed="81"/>
            <rFont val="Tahoma"/>
            <family val="2"/>
          </rPr>
          <t>Kontrollera årssiffran efter periodens längd!</t>
        </r>
      </text>
    </comment>
    <comment ref="D34" authorId="2" shapeId="0" xr:uid="{001B5C2B-12E4-46BB-828E-ABB6C51995D1}">
      <text>
        <r>
          <rPr>
            <sz val="10"/>
            <color indexed="81"/>
            <rFont val="Tahoma"/>
            <family val="2"/>
          </rPr>
          <t>Programmet räknar ut kostnaderna så, att lånet avkortas i lika stora rater 2 gånger i året med 6 månaders mellanrum. Friåren är beaktade.</t>
        </r>
      </text>
    </comment>
    <comment ref="B37" authorId="1" shapeId="0" xr:uid="{92DDE72B-0766-4485-8C12-A3DB3F864890}">
      <text>
        <r>
          <rPr>
            <sz val="10"/>
            <color indexed="81"/>
            <rFont val="Tahoma"/>
            <family val="2"/>
          </rPr>
          <t>Ifyllnadsdirektiv finns i Företagstolken på sidan "Ekonomiplaner". Punktnumret visar rätt information.</t>
        </r>
      </text>
    </comment>
    <comment ref="J39" authorId="2" shapeId="0" xr:uid="{ABFCFFB4-6F63-4E94-86DC-61B2E6CD139F}">
      <text>
        <r>
          <rPr>
            <sz val="10"/>
            <color indexed="81"/>
            <rFont val="Tahoma"/>
            <family val="2"/>
          </rPr>
          <t xml:space="preserve">Till enskild näringsidkare (Firma) kan inte betalas lön, men lönen skall tas med för at få riktig åsikt om kostnaderna. </t>
        </r>
      </text>
    </comment>
    <comment ref="J40" authorId="2" shapeId="0" xr:uid="{3A13F570-9E7F-4F3F-BBF3-E2F719504C95}">
      <text>
        <r>
          <rPr>
            <sz val="10"/>
            <color indexed="81"/>
            <rFont val="Tahoma"/>
            <family val="2"/>
          </rPr>
          <t>Vid Ab kan användas naturaförmåner samt vid Öb och Kb, om åt företagarna betalas penninglön. Enskild näringsidkare kan inte använda naturaförmåner. Naturaförmåner finns mm.  
- telefonförmån 20 euro/månad 
- kostförmån "lunchförmån" ca.150 euro/månad (lägg till
  kostkostnaden i punkt 20. Övriga frivilliga personal- 
  kostnader)
- bilförmåns skattevärde per månad. Glöm inte bilens 
  anskaffningskostnaderna och lägg till bilens drivnings-
  kostnaderna i punkt 35.</t>
        </r>
      </text>
    </comment>
    <comment ref="J41" authorId="1" shapeId="0" xr:uid="{1CCCAC99-591A-45CD-AA2C-3D7F50F58A50}">
      <text>
        <r>
          <rPr>
            <sz val="10"/>
            <color indexed="81"/>
            <rFont val="Tahoma"/>
            <family val="2"/>
          </rPr>
          <t>Nybörjande företag, 12 lönebetalningsmånader för första året. Därefter 12,5 månader, om semesterpeng betalas.</t>
        </r>
      </text>
    </comment>
    <comment ref="J42" authorId="1" shapeId="0" xr:uid="{BC43A170-697D-496C-B633-EBDE48AA9518}">
      <text>
        <r>
          <rPr>
            <sz val="10"/>
            <color indexed="81"/>
            <rFont val="Tahoma"/>
            <family val="2"/>
          </rPr>
          <t>Siffran innehåller bikostnaderna av naturaförmåner för företaget.</t>
        </r>
      </text>
    </comment>
    <comment ref="J44" authorId="2" shapeId="0" xr:uid="{AD3E03A1-0BFA-49C1-81E8-F45EC62172C4}">
      <text>
        <r>
          <rPr>
            <sz val="10"/>
            <color indexed="81"/>
            <rFont val="Tahoma"/>
            <family val="2"/>
          </rPr>
          <t>Naturaförmåner finns mm.  
- telefonförmån 20 euro/månad 
- kostförmån "lunchförmån" ca.150 euro/månad (lägg till 
  kostkostnaden i punkt 20. Övriga frivilliga personalkost-
  nader)
- bilförmåns skattevärde per månad. Glöm inte bilens 
  anskaffningskostnaderna och lägg till bilens drivnings-
  kostnaderna i punkt 35.</t>
        </r>
      </text>
    </comment>
    <comment ref="J45" authorId="2" shapeId="0" xr:uid="{509EC9A6-2AF0-477E-BA4D-9D45A1A7F6A2}">
      <text>
        <r>
          <rPr>
            <sz val="10"/>
            <color indexed="81"/>
            <rFont val="Tahoma"/>
            <family val="2"/>
          </rPr>
          <t>Nyföretag betalar löner i första år 12 månader om det inte finns löntagare, som har överförts vid företagsförvärv (12,5 månader). Senare om semesterpenning betalas, 12,5 arbetsmånader. Annars 12.</t>
        </r>
      </text>
    </comment>
    <comment ref="F46" authorId="2" shapeId="0" xr:uid="{DB2FAE26-887C-4CD4-BAB2-A59FB37685B4}">
      <text>
        <r>
          <rPr>
            <sz val="10"/>
            <color indexed="81"/>
            <rFont val="Tahoma"/>
            <family val="2"/>
          </rPr>
          <t>Lönebikostnader är 30 - 50 %. Öka procentsiffran i olycksdrabbade sektorer.</t>
        </r>
      </text>
    </comment>
    <comment ref="J49" authorId="1" shapeId="0" xr:uid="{AD587B43-B037-49C3-8571-02531C18967C}">
      <text>
        <r>
          <rPr>
            <b/>
            <sz val="10"/>
            <color indexed="81"/>
            <rFont val="Tahoma"/>
            <family val="2"/>
          </rPr>
          <t>FöPL-betalningarna i år 2026</t>
        </r>
        <r>
          <rPr>
            <sz val="10"/>
            <color indexed="81"/>
            <rFont val="Tahoma"/>
            <family val="2"/>
          </rPr>
          <t xml:space="preserve">
 - nybörjande företagare 19,03 %, när du som företagare för första gången startar en FöPL-försäkrad verksamhet får du 22 % rabatt på FöPL-avgifterna under de fyra första åren.
- normal 24,4 %</t>
        </r>
      </text>
    </comment>
    <comment ref="J51" authorId="1" shapeId="0" xr:uid="{9EA4044A-2855-4990-840B-A8435B560AD8}">
      <text>
        <r>
          <rPr>
            <sz val="10"/>
            <color indexed="81"/>
            <rFont val="Tahoma"/>
            <family val="2"/>
          </rPr>
          <t>Programmet beräknar FöPL-företagarens frivillig olycksförsäkringsavgift 1,7 % av FöPL-arbetsinkomsten och sjukdomsförsäkringsavgiften av inkomst på punkt 15 samt livförsäkringen enligt storleken av de långfristiga lånen.</t>
        </r>
      </text>
    </comment>
    <comment ref="J53" authorId="2" shapeId="0" xr:uid="{97DF076F-414C-4132-B7E0-041922309140}">
      <text>
        <r>
          <rPr>
            <sz val="10"/>
            <color indexed="81"/>
            <rFont val="Tahoma"/>
            <family val="2"/>
          </rPr>
          <t>FöPL-företagaren kan ansluta sig till privata arbetslöshetskassan.</t>
        </r>
      </text>
    </comment>
    <comment ref="J54" authorId="2" shapeId="0" xr:uid="{EB2CB4CD-D2D5-4C42-AD38-7AB2D72034B7}">
      <text>
        <r>
          <rPr>
            <sz val="10"/>
            <color indexed="81"/>
            <rFont val="Tahoma"/>
            <family val="2"/>
          </rPr>
          <t>T. ex. företaget kan ta för arbetstagaren livförsäkring, reseförsäkring etc.</t>
        </r>
      </text>
    </comment>
    <comment ref="J69" authorId="2" shapeId="0" xr:uid="{0914C3A4-9CF4-4D43-93F4-B5EC711C456B}">
      <text>
        <r>
          <rPr>
            <sz val="10"/>
            <color indexed="81"/>
            <rFont val="Tahoma"/>
            <family val="2"/>
          </rPr>
          <t xml:space="preserve">Försäkringsavgift 0,3 % av värdet. Egendomen innehåller lokaliteter, maskiner, inventarier, kundens egendom i företagets lokalitet mm. </t>
        </r>
      </text>
    </comment>
    <comment ref="B71" authorId="1" shapeId="0" xr:uid="{5A92B438-250B-4ED4-B143-96C5A721AB00}">
      <text>
        <r>
          <rPr>
            <sz val="10"/>
            <color indexed="81"/>
            <rFont val="Tahoma"/>
            <family val="2"/>
          </rPr>
          <t>Ifyllnadsdirektiv finns i Företagstolken på sidan "Ekonomiplaner". Punktnumret visar rätt information.</t>
        </r>
      </text>
    </comment>
    <comment ref="H74" authorId="2" shapeId="0" xr:uid="{53138CC8-9151-4D56-813C-451C374F642A}">
      <text>
        <r>
          <rPr>
            <sz val="10"/>
            <color indexed="81"/>
            <rFont val="Tahoma"/>
            <family val="2"/>
          </rPr>
          <t>Till finansieringsbolaget återställande apparatens restvärde i procent från anskaffningspriset. 
Om 0 %, användas avbetalning.</t>
        </r>
      </text>
    </comment>
    <comment ref="J74" authorId="0" shapeId="0" xr:uid="{EC664F74-0C22-43AB-8449-DD89D66AA2B7}">
      <text>
        <r>
          <rPr>
            <sz val="10"/>
            <color indexed="81"/>
            <rFont val="Tahoma"/>
            <family val="2"/>
          </rPr>
          <t>Du kan inte skriva till den här cellen! Siffrorna i cellen flyttas från toppen av tabellen FINANSIERINGSPLAN, punkt 8. Leasingfinansiering.
Leasingfinansiering med fast månadspris placeras i punkt 25. Övriga maskin- och apparaturkostnader under räkenskapsperioden.</t>
        </r>
      </text>
    </comment>
    <comment ref="J77" authorId="1" shapeId="0" xr:uid="{335402CB-518C-48A1-B726-2C30E46BA0D2}">
      <text>
        <r>
          <rPr>
            <sz val="10"/>
            <color indexed="81"/>
            <rFont val="Tahoma"/>
            <family val="2"/>
          </rPr>
          <t>T. ex. bränsleåtgång 12 liter/100 km = 0,12 liter/km eller liter/timme
T.ex. åtgång av elbil 20 kWh/100 km = 0,2 kWh/km
T.ex. Åtgång av gasbil 6 kg/100 km = 0,06 kg/km</t>
        </r>
      </text>
    </comment>
    <comment ref="J90" authorId="1" shapeId="0" xr:uid="{7A88D44C-00C3-47B4-AF7D-21A9C6C3CF2F}">
      <text>
        <r>
          <rPr>
            <sz val="10"/>
            <color indexed="81"/>
            <rFont val="Tahoma"/>
            <family val="2"/>
          </rPr>
          <t>Smärre anskaffningar och skaffningar, vars brukstid är under
3 år. De kan i beskattning dras av i en gång i följande fall: 
- Smärre anskaffningar t.ex. handverktyg, telefon, vars pris är 
  under 1200 € Moms. 0 % och skaffningarnas årlig värde är 
  sammanlagt under 3 600 € Moms 0 %.
- Anläggningstillgångar, vars ekonomiska brukstid är högst 3 år 
  (ingen övre gräns på priset).</t>
        </r>
      </text>
    </comment>
    <comment ref="J95" authorId="1" shapeId="0" xr:uid="{F8B1CDDC-8D4B-42DE-9151-1A0041BE6898}">
      <text>
        <r>
          <rPr>
            <b/>
            <sz val="10"/>
            <color indexed="81"/>
            <rFont val="Tahoma"/>
            <family val="2"/>
          </rPr>
          <t>2026</t>
        </r>
        <r>
          <rPr>
            <sz val="10"/>
            <color indexed="81"/>
            <rFont val="Tahoma"/>
            <family val="2"/>
          </rPr>
          <t xml:space="preserve">
Kilometerersättning om du använder din egen bil under arbetsresan 0,55 euro/km. </t>
        </r>
      </text>
    </comment>
    <comment ref="J97" authorId="1" shapeId="0" xr:uid="{962C6515-D424-4BDC-874B-C8970290C1DD}">
      <text>
        <r>
          <rPr>
            <b/>
            <sz val="10"/>
            <color indexed="81"/>
            <rFont val="Tahoma"/>
            <family val="2"/>
          </rPr>
          <t>I hemlandet 2026</t>
        </r>
        <r>
          <rPr>
            <sz val="10"/>
            <color indexed="81"/>
            <rFont val="Tahoma"/>
            <family val="2"/>
          </rPr>
          <t xml:space="preserve">
- heldagtraktamente 54 euro
- det partiella dagtraktamentet 25 euro
- måltidsersättningen 13,50 euro</t>
        </r>
      </text>
    </comment>
    <comment ref="J115" authorId="0" shapeId="0" xr:uid="{55859B53-4B0F-4691-82D2-46F3E7613205}">
      <text>
        <r>
          <rPr>
            <sz val="10"/>
            <color indexed="81"/>
            <rFont val="Tahoma"/>
            <family val="2"/>
          </rPr>
          <t>Kostnader av naturaförmånbilar. Ingen Moms-minskning.
- Bränsle
- Service, däck, besiktning etc.
- Försäkringsavgifter
- Leasingfinansieringens årskostnad</t>
        </r>
      </text>
    </comment>
    <comment ref="F123" authorId="1" shapeId="0" xr:uid="{8ABC57B5-D02B-4F83-8A4E-E05D78C39CC8}">
      <text>
        <r>
          <rPr>
            <b/>
            <sz val="10"/>
            <color indexed="81"/>
            <rFont val="Tahoma"/>
            <family val="2"/>
          </rPr>
          <t>Mervärdesskatt procent</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1" shapeId="0" xr:uid="{282CDA8E-375E-4A10-9C21-18416BD96462}">
      <text>
        <r>
          <rPr>
            <sz val="10"/>
            <color indexed="81"/>
            <rFont val="Tahoma"/>
            <family val="2"/>
          </rPr>
          <t>Försäljningspriset räknas uppifrån ner! 
Enligt formeln
100 x köppriset
100 - försäljningsbidraget-%
T.ex. Köppriset 80 € , försäljningsbidraget 35 %
        (100 x 80) / (100 - 35) = 123,08 €</t>
        </r>
      </text>
    </comment>
    <comment ref="C171" authorId="1" shapeId="0" xr:uid="{7785B188-33A4-4D18-A47F-4F8D7292618E}">
      <text>
        <r>
          <rPr>
            <sz val="10"/>
            <color indexed="81"/>
            <rFont val="Tahoma"/>
            <family val="2"/>
          </rPr>
          <t>Försäljningspriset räknas uppifrån ner! 
Enligt formeln
100 x köppriset
100 - försäljningsbidraget-%
T.ex. Köppriset 80 € , försäljningsbidraget 35 %
        (100 x 80) / (100 - 35) = 123,08 €</t>
        </r>
      </text>
    </comment>
    <comment ref="C179" authorId="1" shapeId="0" xr:uid="{21E73321-C4AC-4BC6-A953-1C25EA2A6BE3}">
      <text>
        <r>
          <rPr>
            <sz val="10"/>
            <color indexed="81"/>
            <rFont val="Tahoma"/>
            <family val="2"/>
          </rPr>
          <t>Försäljningspriset räknas uppifrån ner! 
Enligt formeln
100 x köppriset
100 - försäljningsbidraget-%
T.ex. Köppriset 80 € , försäljningsbidraget 35 %
        (100 x 80) / (100 - 35) = 123,08 €</t>
        </r>
      </text>
    </comment>
    <comment ref="C187" authorId="1" shapeId="0" xr:uid="{1605E7DF-D3A7-4872-BD17-8BBD4D130043}">
      <text>
        <r>
          <rPr>
            <sz val="10"/>
            <color indexed="81"/>
            <rFont val="Tahoma"/>
            <family val="2"/>
          </rPr>
          <t>Försäljningspriset räknas uppifrån ner! 
Enligt formeln
100 x köppriset
100 - försäljningsbidraget-%
T.ex. Köppriset 80 € , försäljningsbidraget 35 %
        (100 x 80) / (100 - 35) = 123,08 €</t>
        </r>
      </text>
    </comment>
    <comment ref="C195" authorId="1" shapeId="0" xr:uid="{50842363-BF4C-4A4E-9AC0-C0699C84D35E}">
      <text>
        <r>
          <rPr>
            <sz val="10"/>
            <color indexed="81"/>
            <rFont val="Tahoma"/>
            <family val="2"/>
          </rPr>
          <t>Försäljningspriset räknas uppifrån ner! 
Enligt formeln
100 x köppriset
100 - försäljningsbidraget-%
T.ex. Köppriset 80 € , försäljningsbidraget 35 %
        (100 x 80) / (100 - 35) = 123,08 €</t>
        </r>
      </text>
    </comment>
    <comment ref="C198" authorId="1" shapeId="0" xr:uid="{59D325C9-5F93-42B3-B678-A95548174B4D}">
      <text>
        <r>
          <rPr>
            <sz val="10"/>
            <color indexed="81"/>
            <rFont val="Tahoma"/>
            <family val="2"/>
          </rPr>
          <t xml:space="preserve">Moms på begagnade varor och konstverk, samlarobjekt och antikviteter baseras på skillnaden mellan produktens försäljnings- och inköpspris, dvs. vinstmarginalen enligt mervärdesskattesatsen för den sålda produkten. </t>
        </r>
      </text>
    </comment>
    <comment ref="F198" authorId="1" shapeId="0" xr:uid="{33AE0304-A3C9-49D3-B411-24FB4880F17C}">
      <text>
        <r>
          <rPr>
            <b/>
            <sz val="10"/>
            <color indexed="81"/>
            <rFont val="Tahoma"/>
            <family val="2"/>
          </rPr>
          <t>Mervärdesskatt procent</t>
        </r>
      </text>
    </comment>
    <comment ref="J207" authorId="2" shapeId="0" xr:uid="{401E54F1-6E6F-4C43-A00B-EFDBFCFCB9BA}">
      <text>
        <r>
          <rPr>
            <b/>
            <sz val="11"/>
            <color indexed="81"/>
            <rFont val="Tahoma"/>
            <family val="2"/>
          </rPr>
          <t xml:space="preserve">Denna rad berättar lönsamheten för ditt företag. </t>
        </r>
        <r>
          <rPr>
            <sz val="10"/>
            <color indexed="81"/>
            <rFont val="Tahoma"/>
            <family val="2"/>
          </rPr>
          <t>Beloppet berättar hur mycket pengar är kvar i kassan efter räkenskapsperiodens verksamhet. Om beloppet är negativt, är verksamheten förlustbringande.</t>
        </r>
      </text>
    </comment>
    <comment ref="J208" authorId="1" shapeId="0" xr:uid="{56CCDDA9-9349-4DE0-94D8-EDECDDD8B1B6}">
      <text>
        <r>
          <rPr>
            <sz val="10"/>
            <color indexed="81"/>
            <rFont val="Tahoma"/>
            <family val="2"/>
          </rPr>
          <t xml:space="preserve">Det kalkylerade beloppet av driftskapital är ett kontrolltal som jämförs med det belopp av driftskapital som du har investerat 
</t>
        </r>
        <r>
          <rPr>
            <b/>
            <sz val="10"/>
            <color indexed="81"/>
            <rFont val="Tahoma"/>
            <family val="2"/>
          </rPr>
          <t xml:space="preserve">i punkt 6. Rörelsekapital i Ekonomikalkyl. </t>
        </r>
        <r>
          <rPr>
            <sz val="10"/>
            <color indexed="81"/>
            <rFont val="Tahoma"/>
            <family val="2"/>
          </rPr>
          <t xml:space="preserve">
Programmet beräknar rörelsekapitalet som två månaders driftskostnader. Det finns stora branschspecifika variationer i mängden rörelsekapital.</t>
        </r>
      </text>
    </comment>
    <comment ref="D211" authorId="2" shapeId="0" xr:uid="{F5172E31-3F3D-4BBB-B0BB-51969E2075DB}">
      <text>
        <r>
          <rPr>
            <sz val="10"/>
            <color indexed="81"/>
            <rFont val="Tahoma"/>
            <family val="2"/>
          </rPr>
          <t>Maskiner och utrustning förbrukas i bruk och deras avskrivning dras av i bokföringen.</t>
        </r>
      </text>
    </comment>
    <comment ref="J211" authorId="1" shapeId="0" xr:uid="{14BCE6E5-0C85-490D-A175-1BBBFD047113}">
      <text>
        <r>
          <rPr>
            <sz val="10"/>
            <color indexed="81"/>
            <rFont val="Tahoma"/>
            <family val="2"/>
          </rPr>
          <t xml:space="preserve">Avskrivningar är en uppskjuten kostnadspost som minskar beskattningsbar inkomst. </t>
        </r>
      </text>
    </comment>
    <comment ref="D212" authorId="1" shapeId="0" xr:uid="{3FD29F91-A5C5-49FA-915C-44EC352F620C}">
      <text>
        <r>
          <rPr>
            <sz val="10"/>
            <color indexed="81"/>
            <rFont val="Tahoma"/>
            <family val="2"/>
          </rPr>
          <t xml:space="preserve">Yrkesutövare/affärsidkare (Firma) betalar skatt på företagets inkomst som personlig inkomst.  </t>
        </r>
      </text>
    </comment>
    <comment ref="J212" authorId="0" shapeId="0" xr:uid="{CC5B78DD-DE30-485A-9D82-6D92B48C219F}">
      <text>
        <r>
          <rPr>
            <b/>
            <sz val="11"/>
            <color indexed="81"/>
            <rFont val="Tahoma"/>
            <family val="2"/>
          </rPr>
          <t>Eftersom en enskild näringsidkare inte kan betala lön till sig själv, läggs det belopp som anges som lön i beräkningen till den skattepliktiga inkomsten</t>
        </r>
        <r>
          <rPr>
            <sz val="10"/>
            <color indexed="81"/>
            <rFont val="Tahoma"/>
            <family val="2"/>
          </rPr>
          <t xml:space="preserve">. En negativ siffra innebär att företagets vinst efter maximala avskrivningar är förlustbringande. I detta fall betalas inte inkomstskatt. Du kan se den faktiska lönsamheten i punkt 
39. AFFÄRVERKSAMHETENS BRUTTOINKOMST UTAN AVSKRIVNINGAR. </t>
        </r>
      </text>
    </comment>
    <comment ref="D213" authorId="1" shapeId="0" xr:uid="{D9F3E3C5-DE43-412D-9816-9A177D8F550A}">
      <text>
        <r>
          <rPr>
            <sz val="10"/>
            <color indexed="81"/>
            <rFont val="Tahoma"/>
            <family val="2"/>
          </rPr>
          <t>Ansvariga bolagsmän i öppet och i kommanditbolag betalar personligen bolagets inkomstskatt.</t>
        </r>
      </text>
    </comment>
    <comment ref="J213" authorId="1" shapeId="0" xr:uid="{4C62794B-5348-41C8-869B-2C441A0C2487}">
      <text>
        <r>
          <rPr>
            <sz val="10"/>
            <color indexed="81"/>
            <rFont val="Tahoma"/>
            <family val="2"/>
          </rPr>
          <t>Ett negativt belopp berättar att företagets resultat efter maximal avskrivning är negativ.</t>
        </r>
      </text>
    </comment>
    <comment ref="D214" authorId="1" shapeId="0" xr:uid="{DEED7D51-82CE-41B7-83DD-68EB5DC7EE34}">
      <text>
        <r>
          <rPr>
            <sz val="10"/>
            <color indexed="81"/>
            <rFont val="Tahoma"/>
            <family val="2"/>
          </rPr>
          <t>Inkomstskatten för ett aktiebolag betalas av bolaget. Aktieägarna betalar inkomstskatt på sina erhållna löner och dividender.</t>
        </r>
      </text>
    </comment>
    <comment ref="J214" authorId="1" shapeId="0" xr:uid="{F05B08F7-47FC-414A-9330-39E76E2C71D7}">
      <text>
        <r>
          <rPr>
            <sz val="10"/>
            <color indexed="81"/>
            <rFont val="Tahoma"/>
            <family val="2"/>
          </rPr>
          <t>Ett negativt belopp berättar att företagets resultat efter maximal avskrivning är negativ.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Jadelcons</author>
    <author>Företagstolken</author>
    <author>Ari Järvinen</author>
    <author>Yritystulkki</author>
  </authors>
  <commentList>
    <comment ref="F9" authorId="0" shapeId="0" xr:uid="{833090E2-01CF-4CC1-A8E0-CA9A1FF27504}">
      <text>
        <r>
          <rPr>
            <sz val="10"/>
            <color indexed="81"/>
            <rFont val="Tahoma"/>
            <family val="2"/>
          </rPr>
          <t>Skriv här kontantförsäljningens procentuellt antal av totalförsäljningen. Tänk också på vinstmarginalbaserad Moms försäljning!</t>
        </r>
      </text>
    </comment>
    <comment ref="G9" authorId="1" shapeId="0" xr:uid="{3BDFA890-626D-41C8-BC2E-E42744AAA5EB}">
      <text>
        <r>
          <rPr>
            <sz val="10"/>
            <color indexed="81"/>
            <rFont val="Tahoma"/>
            <family val="2"/>
          </rPr>
          <t xml:space="preserve">Programmet beräknar färdigt kontantförsäljningen enligt månadens procentandel.  </t>
        </r>
      </text>
    </comment>
    <comment ref="G10" authorId="1" shapeId="0" xr:uid="{7E618732-DB7B-4F25-B4AE-F014E520342D}">
      <text>
        <r>
          <rPr>
            <sz val="10"/>
            <color indexed="81"/>
            <rFont val="Tahoma"/>
            <family val="2"/>
          </rPr>
          <t>Procentsiffran betyder månadens försäljningsandel av hela årets försäljning. Om försäljningen är jämnstor i varje månad, är siffran 8,3 %.</t>
        </r>
      </text>
    </comment>
    <comment ref="G12" authorId="1" shapeId="0" xr:uid="{2CA2A873-FA56-49B2-A91A-617A841EEDC6}">
      <text>
        <r>
          <rPr>
            <sz val="10"/>
            <color indexed="81"/>
            <rFont val="Tahoma"/>
            <family val="2"/>
          </rPr>
          <t>Procentsiffran betyder månadens försäljningsandel av hela årets försäljning. Om försäljningen är jämnstor i varje månad, är siffran 8,3 %.</t>
        </r>
      </text>
    </comment>
    <comment ref="E13" authorId="2" shapeId="0" xr:uid="{A62C2A49-1691-44A2-9174-05F83DC1BCB5}">
      <text>
        <r>
          <rPr>
            <sz val="10"/>
            <color indexed="81"/>
            <rFont val="Tahoma"/>
            <family val="2"/>
          </rPr>
          <t>Genomsnittlig betalningstid för försäljningsfakturor.</t>
        </r>
        <r>
          <rPr>
            <b/>
            <i/>
            <sz val="10"/>
            <color indexed="81"/>
            <rFont val="Tahoma"/>
            <family val="2"/>
          </rPr>
          <t xml:space="preserve"> </t>
        </r>
        <r>
          <rPr>
            <b/>
            <sz val="10"/>
            <color indexed="81"/>
            <rFont val="Tahoma"/>
            <family val="2"/>
          </rPr>
          <t>Längsta betalningstid 180 dagar!</t>
        </r>
      </text>
    </comment>
    <comment ref="G13" authorId="1" shapeId="0" xr:uid="{C0D23231-3B76-4CC8-9E5D-85439E53797C}">
      <text>
        <r>
          <rPr>
            <sz val="10"/>
            <color indexed="81"/>
            <rFont val="Tahoma"/>
            <family val="2"/>
          </rPr>
          <t xml:space="preserve">Programmet beräknar månatliga inbetalningen enligt betalningsvillkor (t.ex. 14 dagar). </t>
        </r>
      </text>
    </comment>
    <comment ref="G14" authorId="3" shapeId="0" xr:uid="{95F509E1-B12F-42F4-B7A9-EE72F747EA8C}">
      <text>
        <r>
          <rPr>
            <sz val="10"/>
            <color indexed="81"/>
            <rFont val="Tahoma"/>
            <family val="2"/>
          </rPr>
          <t xml:space="preserve">Det totala beloppet för lån som ska lyftas. Flytta till rätt månad om behövs. Lägg till ränta på lån till punkt 26 och återbetalning av lån på punkt 30. </t>
        </r>
      </text>
    </comment>
    <comment ref="N15" authorId="1" shapeId="0" xr:uid="{059D784E-9F04-4790-8274-FD11781D637E}">
      <text>
        <r>
          <rPr>
            <sz val="10"/>
            <color indexed="81"/>
            <rFont val="Tahoma"/>
            <family val="2"/>
          </rPr>
          <t>Bidrag betalas antagligen under 8. månaden från början.</t>
        </r>
      </text>
    </comment>
    <comment ref="B19" authorId="3" shapeId="0" xr:uid="{C4ED503F-FBB7-4811-BC7C-59E2906CE82B}">
      <text>
        <r>
          <rPr>
            <sz val="10"/>
            <color indexed="81"/>
            <rFont val="Tahoma"/>
            <family val="2"/>
          </rPr>
          <t xml:space="preserve">Kohtiin 6 - 17 sijoitetaan vain alv vähennyskelpoiset ostot arvonlisäverollisilla hinnoilla.  </t>
        </r>
      </text>
    </comment>
    <comment ref="G19" authorId="1" shapeId="0" xr:uid="{DB9CFF88-BBE2-42CF-B4F8-082CAD272774}">
      <text>
        <r>
          <rPr>
            <sz val="10"/>
            <color indexed="81"/>
            <rFont val="Tahoma"/>
            <family val="2"/>
          </rPr>
          <t>Programmet antar, att hälften av månatliga inköpen betalas under samma månaden och hälften under nästa månaden (betalningsvillkor 14 dagar). Förändra om behövs!</t>
        </r>
      </text>
    </comment>
    <comment ref="U19" authorId="3" shapeId="0" xr:uid="{C2684CA8-42B7-41B0-9A98-8E3A9AF29536}">
      <text>
        <r>
          <rPr>
            <sz val="10"/>
            <color indexed="81"/>
            <rFont val="Tahoma"/>
            <family val="2"/>
          </rPr>
          <t xml:space="preserve">Ainekäytön arvo sis. alv. </t>
        </r>
      </text>
    </comment>
    <comment ref="F21" authorId="1" shapeId="0" xr:uid="{8EB202C6-A8CF-413A-92E2-71491F4B8046}">
      <text>
        <r>
          <rPr>
            <b/>
            <sz val="10"/>
            <color indexed="81"/>
            <rFont val="Tahoma"/>
            <family val="2"/>
          </rPr>
          <t>Mervärdesskatt</t>
        </r>
      </text>
    </comment>
    <comment ref="G21" authorId="1" shapeId="0" xr:uid="{DD20D522-8510-4F42-BB70-DA8FAA9F2E5A}">
      <text>
        <r>
          <rPr>
            <sz val="10"/>
            <color indexed="81"/>
            <rFont val="Tahoma"/>
            <family val="2"/>
          </rPr>
          <t>Programmet beräknar jämnstora månatliga rater. Förändra om behövs.</t>
        </r>
      </text>
    </comment>
    <comment ref="G26" authorId="1" shapeId="0" xr:uid="{ACDB9386-383D-4339-94A5-A4342B663C39}">
      <text>
        <r>
          <rPr>
            <sz val="10"/>
            <color indexed="81"/>
            <rFont val="Tahoma"/>
            <family val="2"/>
          </rPr>
          <t>Antas, att alla Moms 25,5 %-investeringar (byggnads-, maskin-, immateriella- och utvecklingsinvesteringar) för första perioden har genomförts under 1. månaden (ej leasing och avbetalning). Korrigera månaden om behövs !</t>
        </r>
      </text>
    </comment>
    <comment ref="C32" authorId="1" shapeId="0" xr:uid="{807FF4D3-9483-44B8-B402-D56926173D2F}">
      <text>
        <r>
          <rPr>
            <sz val="10"/>
            <color indexed="81"/>
            <rFont val="Tahoma"/>
            <family val="2"/>
          </rPr>
          <t xml:space="preserve">Programmet beräknar momsen på grund av intäkter och utgifter inklusive moms, som bildade två månader tidigare. </t>
        </r>
      </text>
    </comment>
    <comment ref="G32" authorId="1" shapeId="0" xr:uid="{CEA5292B-10E2-4CBC-B3EA-8F5C5C7DCC1C}">
      <text>
        <r>
          <rPr>
            <sz val="10"/>
            <color indexed="81"/>
            <rFont val="Tahoma"/>
            <family val="2"/>
          </rPr>
          <t xml:space="preserve">Företaget i initialskede har vanligen inte dragbar eller avdragbar mervärdesskatt utom vid förvärv av affärsverksamheten. </t>
        </r>
      </text>
    </comment>
    <comment ref="H32" authorId="1" shapeId="0" xr:uid="{6819FCDD-3473-485D-B37A-B2DD90452B25}">
      <text>
        <r>
          <rPr>
            <sz val="10"/>
            <color indexed="81"/>
            <rFont val="Tahoma"/>
            <family val="2"/>
          </rPr>
          <t xml:space="preserve">Företaget i initialskede har vanligen inte dragbar eller avdragbar mervärdesskatt utom vid förvärv av affärsverksamheten. </t>
        </r>
      </text>
    </comment>
    <comment ref="C34" authorId="1" shapeId="0" xr:uid="{66560DD4-2414-49C6-9B8D-044AEE815672}">
      <text>
        <r>
          <rPr>
            <sz val="10"/>
            <color indexed="81"/>
            <rFont val="Tahoma"/>
            <family val="2"/>
          </rPr>
          <t>Penninglöner till FöPL-betalande företagare utan skatteavdrag.</t>
        </r>
      </text>
    </comment>
    <comment ref="F34" authorId="1" shapeId="0" xr:uid="{3C9891BA-69CE-436C-87D0-514CEDD7BCAD}">
      <text>
        <r>
          <rPr>
            <sz val="10"/>
            <color indexed="81"/>
            <rFont val="Tahoma"/>
            <family val="2"/>
          </rPr>
          <t>Genomsnittlig skatteavdragsprocent, som finns i skattekortet eller beräknas med Skatteräknare vid www.vero.fi.</t>
        </r>
      </text>
    </comment>
    <comment ref="M34" authorId="1" shapeId="0" xr:uid="{35CA3EC7-F406-4B63-ADED-3C3D55DFA925}">
      <text>
        <r>
          <rPr>
            <sz val="10"/>
            <color indexed="81"/>
            <rFont val="Tahoma"/>
            <family val="2"/>
          </rPr>
          <t>I fall att semesterpenning betalas, är summan 1,5 x vanlig månadslön.</t>
        </r>
      </text>
    </comment>
    <comment ref="X34" authorId="3"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3" shapeId="0" xr:uid="{3B1297B8-6718-44FA-AEFC-BEE71E09BD31}">
      <text>
        <r>
          <rPr>
            <b/>
            <sz val="9"/>
            <color indexed="81"/>
            <rFont val="Tahoma"/>
            <family val="2"/>
          </rPr>
          <t xml:space="preserve">
Työnantajan sairausvakuutusmaksu: 
</t>
        </r>
        <r>
          <rPr>
            <sz val="9"/>
            <color indexed="81"/>
            <rFont val="Tahoma"/>
            <family val="2"/>
          </rPr>
          <t xml:space="preserve">
2026  1,91 %
2024   1,16 %
2023   1,53 %
</t>
        </r>
      </text>
    </comment>
    <comment ref="C36" authorId="1" shapeId="0" xr:uid="{8657EEA3-24F1-4A7A-9E52-8026FF4B9D4E}">
      <text>
        <r>
          <rPr>
            <sz val="10"/>
            <color indexed="81"/>
            <rFont val="Tahoma"/>
            <family val="2"/>
          </rPr>
          <t>Brutto penninglöner till arbetstagarna och företagarna utan dispositionsrätt (betalar APL-premier).</t>
        </r>
      </text>
    </comment>
    <comment ref="F36" authorId="1" shapeId="0" xr:uid="{7D3CB298-A27C-46F9-A7C1-7E3C10732288}">
      <text>
        <r>
          <rPr>
            <sz val="10"/>
            <color indexed="81"/>
            <rFont val="Tahoma"/>
            <family val="2"/>
          </rPr>
          <t>Genomsnittlig skatteavdragsprocent, som finns i skattekortet eller beräknas med Skatteräknare vid www.vero.fi.</t>
        </r>
      </text>
    </comment>
    <comment ref="M36" authorId="1" shapeId="0" xr:uid="{5F3A332C-23D9-431E-B78A-6565FF0997E7}">
      <text>
        <r>
          <rPr>
            <sz val="10"/>
            <color indexed="81"/>
            <rFont val="Tahoma"/>
            <family val="2"/>
          </rPr>
          <t>I fall att semesterpenning betalas, är summan 1,5 x vanlig månadslön.</t>
        </r>
      </text>
    </comment>
    <comment ref="X36" authorId="3"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3" shapeId="0" xr:uid="{E70FF8A0-DF1C-40B3-9ECF-0DC5D9C33763}">
      <text>
        <r>
          <rPr>
            <b/>
            <sz val="9"/>
            <color indexed="81"/>
            <rFont val="Tahoma"/>
            <family val="2"/>
          </rPr>
          <t xml:space="preserve">
Työnantajan sairausvakuutusmaksu:
</t>
        </r>
        <r>
          <rPr>
            <sz val="9"/>
            <color indexed="81"/>
            <rFont val="Tahoma"/>
            <family val="2"/>
          </rPr>
          <t xml:space="preserve">
2026  1,91 %
2024   1,16 %
2023   1,53 %
</t>
        </r>
      </text>
    </comment>
    <comment ref="F38" authorId="1" shapeId="0" xr:uid="{E47A6E04-CF45-4563-BEDF-5B8EA9E435ED}">
      <text>
        <r>
          <rPr>
            <b/>
            <sz val="10"/>
            <color indexed="81"/>
            <rFont val="Tahoma"/>
            <family val="2"/>
          </rPr>
          <t>År 2026</t>
        </r>
        <r>
          <rPr>
            <sz val="10"/>
            <color indexed="81"/>
            <rFont val="Tahoma"/>
            <family val="2"/>
          </rPr>
          <t xml:space="preserve">
Av arbetstagarens lön minskas 
- ArPL-premie 7,3 % 
- Arbetslöshetsförsäkring 0,89 % 
Genomsnitt 8,19 %</t>
        </r>
      </text>
    </comment>
    <comment ref="G39" authorId="1" shapeId="0" xr:uid="{E5015175-16DB-42A1-AE2D-26C0CA3DFDD0}">
      <text>
        <r>
          <rPr>
            <sz val="10"/>
            <color indexed="81"/>
            <rFont val="Tahoma"/>
            <family val="2"/>
          </rPr>
          <t>Då prestationerna betalas en månad efter lönebetalningen, är första månaden blank.</t>
        </r>
      </text>
    </comment>
    <comment ref="F41" authorId="1" shapeId="0" xr:uid="{1C413EC4-B6AE-4883-80A5-59B0C946B3C1}">
      <text>
        <r>
          <rPr>
            <b/>
            <sz val="10"/>
            <color indexed="81"/>
            <rFont val="Tahoma"/>
            <family val="2"/>
          </rPr>
          <t>År 2026</t>
        </r>
        <r>
          <rPr>
            <sz val="10"/>
            <color indexed="81"/>
            <rFont val="Tahoma"/>
            <family val="2"/>
          </rPr>
          <t xml:space="preserve">
Företaget betalar till försäkringsbolaget av lönen
- ArPL-premie genomsnitt 17,1 % 
- Olycks- och yrkessjukdomsförsäkring genomsnitt 0,51 % (för olycksbenägen bransch större, uppgår till 7 %)
- Arbetslöshetsförsäkring 0,31 %
- Grupplivförsäkringen för arbetstagare 0,06 %
Sammanlagt cirka 17,98 % (förändra om behövs)</t>
        </r>
      </text>
    </comment>
    <comment ref="H43" authorId="1" shapeId="0" xr:uid="{46A99B56-3A1F-4FFE-8605-9942AA1BDED0}">
      <text>
        <r>
          <rPr>
            <sz val="10"/>
            <color indexed="81"/>
            <rFont val="Tahoma"/>
            <family val="2"/>
          </rPr>
          <t>Nyföretaget betalar denna avgift vanligen under 2. månaden. Kan också delas i flera rater. Förändra om behövs.</t>
        </r>
      </text>
    </comment>
    <comment ref="C45" authorId="3" shapeId="0" xr:uid="{C7C91C6A-361E-4657-B432-C42B600D69CE}">
      <text>
        <r>
          <rPr>
            <sz val="10"/>
            <color indexed="81"/>
            <rFont val="Tahoma"/>
            <family val="2"/>
          </rPr>
          <t>Räntan på lånen beräknas betalas två gånger om året. Betalningar efter 6 månader och 12 månader, ändra vid behov.</t>
        </r>
      </text>
    </comment>
    <comment ref="C46" authorId="0" shapeId="0" xr:uid="{D8AD2314-B74B-4D5F-87F6-8EF207F3AAB2}">
      <text>
        <r>
          <rPr>
            <b/>
            <sz val="10"/>
            <color indexed="81"/>
            <rFont val="Tahoma"/>
            <family val="2"/>
          </rPr>
          <t xml:space="preserve">Förskottsskatt 
</t>
        </r>
        <r>
          <rPr>
            <sz val="10"/>
            <color indexed="81"/>
            <rFont val="Tahoma"/>
            <family val="2"/>
          </rPr>
          <t xml:space="preserve">Förskottsskatt beräknas för skattebetalaren på den beräknade vinsten, på vilken skattebetalaren inför förskottsskatt på alla företagsformer. Till exempel är det beräknade resultatet för ett aktiebolag 20 000 euro, varav skatt 20% = 4000 euro dividerat med 12 månader = förskottsskatt 333 euro per månad. Om förskottsbetalningen betalas för lite betalas den senare som efter skatt. Om vinstprognosen för det första året är olönsam läggs ingen förskottsskatt på. </t>
        </r>
      </text>
    </comment>
    <comment ref="O46" authorId="1" shapeId="0" xr:uid="{05D197C0-B899-4263-95DE-8F605BC5B245}">
      <text>
        <r>
          <rPr>
            <sz val="10"/>
            <color indexed="81"/>
            <rFont val="Tahoma"/>
            <family val="2"/>
          </rPr>
          <t xml:space="preserve">Fastighetsskatt betalas vanligen i september. </t>
        </r>
      </text>
    </comment>
    <comment ref="C47" authorId="3" shapeId="0" xr:uid="{8AC2F008-191A-4B5E-B0FB-9A44332AE4B0}">
      <text>
        <r>
          <rPr>
            <sz val="10"/>
            <color indexed="81"/>
            <rFont val="Tahoma"/>
            <family val="2"/>
          </rPr>
          <t xml:space="preserve">Resebiljetter, inkvartering, dagtraktamente osv. Programmet beräknar kostnader i lika stor del för hela året. Förändra om behövs. </t>
        </r>
      </text>
    </comment>
    <comment ref="C49" authorId="3" shapeId="0" xr:uid="{E28F1146-B28A-4CDD-A9C4-99B53E48F75D}">
      <text>
        <r>
          <rPr>
            <sz val="10"/>
            <color indexed="81"/>
            <rFont val="Tahoma"/>
            <family val="2"/>
          </rPr>
          <t>Låneavkortningar på lånen beräknas betalas två gånger om året. Betalningar efter 6 månader och 12 månader, ändra vid behov.</t>
        </r>
      </text>
    </comment>
    <comment ref="C51" authorId="0" shapeId="0" xr:uid="{0078DB12-08EC-431A-8F25-499FC16D9D58}">
      <text>
        <r>
          <rPr>
            <sz val="10"/>
            <color indexed="81"/>
            <rFont val="Tahoma"/>
            <family val="2"/>
          </rPr>
          <t>Antas, att alla Moms 0 % investeringar för första perioden har genomförts under 1. månaden. Förflytta till rätt månad.</t>
        </r>
      </text>
    </comment>
    <comment ref="R56" authorId="1" shapeId="0" xr:uid="{4A61B6C9-6CC5-4A83-8EC5-106D2F615DD9}">
      <text>
        <r>
          <rPr>
            <sz val="10"/>
            <color indexed="81"/>
            <rFont val="Tahoma"/>
            <family val="2"/>
          </rPr>
          <t>Planeringsperiodens kassa efter sista månaden.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Företagstolken</author>
    <author>Ari Järvinen</author>
  </authors>
  <commentList>
    <comment ref="B9" authorId="0" shapeId="0" xr:uid="{EC557D33-C844-46B3-988E-5FE81C9587B4}">
      <text>
        <r>
          <rPr>
            <b/>
            <sz val="11"/>
            <color indexed="81"/>
            <rFont val="Tahoma"/>
            <family val="2"/>
          </rPr>
          <t>Inte använda Google Sheets -kalkylark! Använda Excel eller Libre Office Calc.</t>
        </r>
        <r>
          <rPr>
            <sz val="10"/>
            <color indexed="81"/>
            <rFont val="Tahoma"/>
            <family val="2"/>
          </rPr>
          <t xml:space="preserve">
Programmet kan användas för att beräkna skattepliktig inkomst från affärsverksamhet. Instruktioner om driftskostnader finns i Företagstolken: Nyföretagare -&gt;Planering -&gt; Ekonomiplaner.</t>
        </r>
        <r>
          <rPr>
            <sz val="9"/>
            <color indexed="81"/>
            <rFont val="Tahoma"/>
            <family val="2"/>
          </rPr>
          <t xml:space="preserve">
</t>
        </r>
        <r>
          <rPr>
            <b/>
            <sz val="10"/>
            <color indexed="81"/>
            <rFont val="Tahoma"/>
            <family val="2"/>
          </rPr>
          <t>IFYLLNADSDIREKTIV</t>
        </r>
        <r>
          <rPr>
            <sz val="9"/>
            <color indexed="81"/>
            <rFont val="Tahoma"/>
            <family val="2"/>
          </rPr>
          <t xml:space="preserve">
</t>
        </r>
        <r>
          <rPr>
            <sz val="10"/>
            <color indexed="81"/>
            <rFont val="Tahoma"/>
            <family val="2"/>
          </rPr>
          <t xml:space="preserve">- Fyll de gula cellerna i ordning från topp till botten.
- Tabell över Finansieringsbehov punkt 2. Maskiner och inventarier: Använd momspriser.
- Tabell över Finansieringsbehov punkt 6. Rörelsekapital: Det exakta värdet erhålls först i slutet av beräkningen från punkt 37.
- FINANSIERINGSBEHOV OCH FINANSIERING måste vara lika. Justering kan göras genom att ändra siffran värdet i punkt 6. Driftskapital.
- Vid beräkning av driftskostnader uppmärksammas betydande kostnader. Små mängder är inte avgörande relevans för resultatet. 
  </t>
        </r>
        <r>
          <rPr>
            <b/>
            <sz val="10"/>
            <color indexed="81"/>
            <rFont val="Tahoma"/>
            <family val="2"/>
          </rPr>
          <t>Beräkna driftskostnader inklusive moms priser.</t>
        </r>
        <r>
          <rPr>
            <sz val="10"/>
            <color indexed="81"/>
            <rFont val="Tahoma"/>
            <family val="2"/>
          </rPr>
          <t xml:space="preserve">
- Noggrann förberedelse av försäljningsprognosen är den viktigaste uppgiften!</t>
        </r>
        <r>
          <rPr>
            <sz val="9"/>
            <color indexed="81"/>
            <rFont val="Tahoma"/>
            <family val="2"/>
          </rPr>
          <t xml:space="preserve">
</t>
        </r>
        <r>
          <rPr>
            <b/>
            <sz val="10"/>
            <color indexed="81"/>
            <rFont val="Tahoma"/>
            <family val="2"/>
          </rPr>
          <t xml:space="preserve">
UTSKRIFTSINSTRUKTIONER </t>
        </r>
        <r>
          <rPr>
            <sz val="9"/>
            <color indexed="81"/>
            <rFont val="Tahoma"/>
            <family val="2"/>
          </rPr>
          <t xml:space="preserve">
</t>
        </r>
        <r>
          <rPr>
            <sz val="10"/>
            <color indexed="81"/>
            <rFont val="Tahoma"/>
            <family val="2"/>
          </rPr>
          <t>- För att skriva ut till finansiären och som e-postbilaga: Välj skrivaren Microsoft Skriv ut till PDF, skriv ut sidorna 1 - 3. - Skriv ut för eget bruk, skriv ut sidorna 1 - 6.</t>
        </r>
        <r>
          <rPr>
            <sz val="9"/>
            <color indexed="81"/>
            <rFont val="Tahoma"/>
            <family val="2"/>
          </rPr>
          <t xml:space="preserve">
</t>
        </r>
        <r>
          <rPr>
            <b/>
            <sz val="10"/>
            <color indexed="81"/>
            <rFont val="Tahoma"/>
            <family val="2"/>
          </rPr>
          <t xml:space="preserve">
MEST GEMENSAMMA EXCEL-felmeddelanden
#ARVO!</t>
        </r>
        <r>
          <rPr>
            <sz val="10"/>
            <color indexed="81"/>
            <rFont val="Tahoma"/>
            <family val="2"/>
          </rPr>
          <t xml:space="preserve"> , </t>
        </r>
        <r>
          <rPr>
            <b/>
            <sz val="10"/>
            <color indexed="81"/>
            <rFont val="Tahoma"/>
            <family val="2"/>
          </rPr>
          <t xml:space="preserve">#VÄRDE! </t>
        </r>
        <r>
          <rPr>
            <sz val="10"/>
            <color indexed="81"/>
            <rFont val="Tahoma"/>
            <family val="2"/>
          </rPr>
          <t>= ogiltigt värde t.ex. bokstav ,. (punkt) eller någon annan karaktär. I nummerserier alltid ett komma, t.ex. 2,5 ingen 2.5.</t>
        </r>
        <r>
          <rPr>
            <sz val="11"/>
            <color indexed="81"/>
            <rFont val="Tahoma"/>
            <family val="2"/>
          </rPr>
          <t xml:space="preserve">
</t>
        </r>
        <r>
          <rPr>
            <b/>
            <sz val="10"/>
            <color indexed="81"/>
            <rFont val="Tahoma"/>
            <family val="2"/>
          </rPr>
          <t>#NIMI? , #NAMN?</t>
        </r>
        <r>
          <rPr>
            <sz val="10"/>
            <color indexed="81"/>
            <rFont val="Tahoma"/>
            <family val="2"/>
          </rPr>
          <t xml:space="preserve"> = om du använder en indragrad, dvs en fransk linje, sätt ett mellanslag, dvs. ett tomt före - tecken. Excel läser det annars som ett minustecken och känner inte igen formelnamnet.
</t>
        </r>
        <r>
          <rPr>
            <b/>
            <sz val="10"/>
            <color indexed="81"/>
            <rFont val="Tahoma"/>
            <family val="2"/>
          </rPr>
          <t>#####</t>
        </r>
        <r>
          <rPr>
            <sz val="10"/>
            <color indexed="81"/>
            <rFont val="Tahoma"/>
            <family val="2"/>
          </rPr>
          <t xml:space="preserve"> = för många tecken, läsning eller skrivning passar inte i cellen 
Om inget fel hittas, återbära/ ta tillbaka så många gånger som felet försvinner eller öppna en ny beräkningsbas och mata in siffrorna igen. Det tar inte lång tid. Spara / skriv ut ditt gamla jobb som modell. </t>
        </r>
      </text>
    </comment>
    <comment ref="F11" authorId="1" shapeId="0" xr:uid="{E63F4AF1-5F13-430B-9C78-BBA7CC976C22}">
      <text>
        <r>
          <rPr>
            <sz val="10"/>
            <color indexed="81"/>
            <rFont val="Tahoma"/>
            <family val="2"/>
          </rPr>
          <t xml:space="preserve">Avskrivningsfria anskaffningar
- tomtmark
- anslutning: el-, vatten- osv. 
- anslutningsvgift: franchising-, taxicentral- osv. </t>
        </r>
      </text>
    </comment>
    <comment ref="J12" authorId="1" shapeId="0" xr:uid="{560FF9BB-579B-4393-A5B2-B44161A2B092}">
      <text>
        <r>
          <rPr>
            <sz val="10"/>
            <color indexed="81"/>
            <rFont val="Tahoma"/>
            <family val="2"/>
          </rPr>
          <t>Bankens ränta påverkas av lånebelopp, betalningstid, risk och borgen.
Om du ansöker om Finnveras garanti som säkerhet för lånet, lägg till Finnveras garantiprovision till bankens ränta. Om garantin har beviljats ​​för t.ex 50 % av lånekapitalet, halvera garantiprovisionen. Finnveras garantiprovision börjar på 1,75 %.</t>
        </r>
      </text>
    </comment>
    <comment ref="K12" authorId="1" shapeId="0" xr:uid="{96AC75AD-706C-45A6-A080-3DC58E8317A4}">
      <text>
        <r>
          <rPr>
            <sz val="10"/>
            <color indexed="81"/>
            <rFont val="Tahoma"/>
            <family val="2"/>
          </rPr>
          <t>Fria år från avkortningar. Antalet år antecknas i denna cell och de kan uppgå till högst 2. Vi rekommenderar högst ett år.</t>
        </r>
      </text>
    </comment>
    <comment ref="L12" authorId="1" shapeId="0" xr:uid="{C78CF275-E4B3-4213-8C4E-83E6B0E78E50}">
      <text>
        <r>
          <rPr>
            <sz val="10"/>
            <color indexed="81"/>
            <rFont val="Tahoma"/>
            <family val="2"/>
          </rPr>
          <t>Den totala lånetiden antecknas i denna cell och måste vara min. 3 år.</t>
        </r>
      </text>
    </comment>
    <comment ref="J13" authorId="1" shapeId="0" xr:uid="{E1326D91-37BF-48E5-8E73-600884DD2B7A}">
      <text>
        <r>
          <rPr>
            <sz val="10"/>
            <color indexed="81"/>
            <rFont val="Tahoma"/>
            <family val="2"/>
          </rPr>
          <t>Räntans storlek påverkas av företagets lönsamhet och ekonomiska ställning, av risken i affärsverksamhet samt av säkerheten för lånet.</t>
        </r>
      </text>
    </comment>
    <comment ref="K13" authorId="1" shapeId="0" xr:uid="{FEDD771B-327E-4053-BE93-BB7BD0EBAD4B}">
      <text>
        <r>
          <rPr>
            <sz val="10"/>
            <color indexed="81"/>
            <rFont val="Tahoma"/>
            <family val="2"/>
          </rPr>
          <t>Fria år från avkortningar. Antalet år antecknas i denna cell och de kan uppgå till högst 2. Vi rekommenderar högst ett år.</t>
        </r>
      </text>
    </comment>
    <comment ref="L13" authorId="1" shapeId="0" xr:uid="{2E260AF0-9BE2-473E-80FD-AC03C5B8A2DB}">
      <text>
        <r>
          <rPr>
            <sz val="10"/>
            <color indexed="81"/>
            <rFont val="Tahoma"/>
            <family val="2"/>
          </rPr>
          <t>Den totala lånetiden antecknas i denna cell och måste vara min. 3 år.</t>
        </r>
      </text>
    </comment>
    <comment ref="K14" authorId="1" shapeId="0" xr:uid="{78E67EB3-404A-438B-8CF4-B71AD5233CBD}">
      <text>
        <r>
          <rPr>
            <sz val="10"/>
            <color indexed="81"/>
            <rFont val="Tahoma"/>
            <family val="2"/>
          </rPr>
          <t>Fria år från avkortningar. Antalet år antecknas i denna cell och de kan uppgå till högst 2. Vi rekommenderar högst ett år.</t>
        </r>
      </text>
    </comment>
    <comment ref="L14" authorId="1" shapeId="0" xr:uid="{A099E788-BCFD-41E8-A102-98070C6F021B}">
      <text>
        <r>
          <rPr>
            <sz val="10"/>
            <color indexed="81"/>
            <rFont val="Tahoma"/>
            <family val="2"/>
          </rPr>
          <t>Den totala lånetiden antecknas i denna cell och måste vara min. 3 år.</t>
        </r>
      </text>
    </comment>
    <comment ref="H15" authorId="0" shapeId="0" xr:uid="{31B3CE58-6D6D-418C-9027-ACBEE46B2368}">
      <text>
        <r>
          <rPr>
            <b/>
            <sz val="10"/>
            <color indexed="81"/>
            <rFont val="Tahoma"/>
            <family val="2"/>
          </rPr>
          <t xml:space="preserve">Maskiner och utrustning inköpta för affärsbruk med restvärde. </t>
        </r>
        <r>
          <rPr>
            <sz val="10"/>
            <color indexed="81"/>
            <rFont val="Tahoma"/>
            <family val="2"/>
          </rPr>
          <t xml:space="preserve">
Leasingfinansiering till fast månadspris placeras i post 25. Övriga maskin- och apparaturkostnader under räkenskapsperioden. 
Leasingkostnader för tjänstebilar placeras i post 35. Fordonskostnader (fordonen i privatbruk, naturaförmån)</t>
        </r>
      </text>
    </comment>
    <comment ref="K15" authorId="1" shapeId="0" xr:uid="{EAE35D79-EE4A-4CCB-A39F-54FBAA84A630}">
      <text>
        <r>
          <rPr>
            <sz val="10"/>
            <color indexed="81"/>
            <rFont val="Tahoma"/>
            <family val="2"/>
          </rPr>
          <t>Avbetalningens och leasingens  betalningstid är 2 - 5 år!</t>
        </r>
      </text>
    </comment>
    <comment ref="M15" authorId="1" shapeId="0" xr:uid="{2B9642CF-7D03-4DD6-85CF-0A94D6050B36}">
      <text>
        <r>
          <rPr>
            <sz val="10"/>
            <color indexed="81"/>
            <rFont val="Tahoma"/>
            <family val="2"/>
          </rPr>
          <t>Med leasing kan man finansiera ca.80 % av investeringens värde. 
Läs mera Företagstolken punkt 3.10 Leasingens kostnader.</t>
        </r>
      </text>
    </comment>
    <comment ref="H16" authorId="0" shapeId="0" xr:uid="{B5537240-A887-4316-AB35-37E1BCD86FBC}">
      <text>
        <r>
          <rPr>
            <sz val="10"/>
            <color indexed="81"/>
            <rFont val="Tahoma"/>
            <family val="2"/>
          </rPr>
          <t xml:space="preserve">Maskiner och utrustning inköpta för affärsbruk med restvärde. </t>
        </r>
      </text>
    </comment>
    <comment ref="K16" authorId="1" shapeId="0" xr:uid="{ABCB4E61-5747-439C-84D4-F3F5D7E05B96}">
      <text>
        <r>
          <rPr>
            <sz val="10"/>
            <color indexed="81"/>
            <rFont val="Tahoma"/>
            <family val="2"/>
          </rPr>
          <t>Avbetalningens och leasingens  betalningstid är 2 - 5 år!</t>
        </r>
      </text>
    </comment>
    <comment ref="M16" authorId="1" shapeId="0" xr:uid="{88F2F1BF-377F-4E2E-ADC7-38E3394D93A8}">
      <text>
        <r>
          <rPr>
            <sz val="10"/>
            <color indexed="81"/>
            <rFont val="Tahoma"/>
            <family val="2"/>
          </rPr>
          <t xml:space="preserve">Med avbetalning kan man finansiera vanlig cirka 80 % av investeringens värde. </t>
        </r>
      </text>
    </comment>
    <comment ref="F18" authorId="1" shapeId="0" xr:uid="{6B595C04-594F-4925-9DD4-14403843F0D1}">
      <text>
        <r>
          <rPr>
            <sz val="10"/>
            <color indexed="81"/>
            <rFont val="Tahoma"/>
            <family val="2"/>
          </rPr>
          <t xml:space="preserve">- Handelsvarorna, som har köpt vid förvärv
  av affärsverksamheten, är utan mervärdesskatt.
- Varulager i början som förvärvats utomlands </t>
        </r>
      </text>
    </comment>
    <comment ref="M18" authorId="1" shapeId="0" xr:uid="{105FE5B5-7DEF-4A75-8E58-F784A250A66B}">
      <text>
        <r>
          <rPr>
            <sz val="10"/>
            <color indexed="81"/>
            <rFont val="Tahoma"/>
            <family val="2"/>
          </rPr>
          <t xml:space="preserve">Bidrag kan betalas till investeringen, som inte innehåller Moms. </t>
        </r>
      </text>
    </comment>
    <comment ref="F20" authorId="1" shapeId="0" xr:uid="{B22C00D1-8E18-4A54-A757-71D7B7FBF4D7}">
      <text>
        <r>
          <rPr>
            <sz val="10"/>
            <color indexed="81"/>
            <rFont val="Tahoma"/>
            <family val="2"/>
          </rPr>
          <t>Här antecknas anskaffningar, av vilka man inte får återbäring av mervärdesskatt. T.ex. 
- affärsvärde (goodwill) vid företagsförvärv
- maskiner och inventarier vid förvärv av affärsverksamheten
- fordonen i privatbruk, naturaförmån (leasing och 
  avbetalning finansiering fordonen till 35. Fordonskostnader)</t>
        </r>
      </text>
    </comment>
    <comment ref="C22" authorId="1" shapeId="0" xr:uid="{857D0765-C420-46EE-B9AC-01D4D952AEF3}">
      <text>
        <r>
          <rPr>
            <sz val="10"/>
            <color indexed="81"/>
            <rFont val="Tahoma"/>
            <family val="2"/>
          </rPr>
          <t xml:space="preserve">Här antecknas övriga kortvariga anskaffningar vilka </t>
        </r>
        <r>
          <rPr>
            <b/>
            <sz val="10"/>
            <color indexed="81"/>
            <rFont val="Tahoma"/>
            <family val="2"/>
          </rPr>
          <t>minskas som kostnad inom ett år</t>
        </r>
        <r>
          <rPr>
            <sz val="10"/>
            <color indexed="81"/>
            <rFont val="Tahoma"/>
            <family val="2"/>
          </rPr>
          <t xml:space="preserve"> (ingen avskrivning). T.ex.
- marknadsföringsinvesteringar (logo, websidor, licens) 
- produktskydd kostnader
- expertarvoden (utformning av kontrakt, planering etc.) 
- reparation av affärslokaler (renovering till punkt 1.
  Lokaliteter/inköp / byggande av fastigheter)</t>
        </r>
      </text>
    </comment>
    <comment ref="M23" authorId="1" shapeId="0" xr:uid="{B9DBF32A-622E-47B8-9152-BA4377FD3724}">
      <text>
        <r>
          <rPr>
            <sz val="10"/>
            <color indexed="81"/>
            <rFont val="Tahoma"/>
            <family val="2"/>
          </rPr>
          <t>För att få projektet lyckas bra, borde andel av egen finansiering vara 20 % av det totala finansieringsbehovet.</t>
        </r>
      </text>
    </comment>
    <comment ref="F26" authorId="1" shapeId="0" xr:uid="{7B76D8C4-CFD2-4384-9FA2-CCC65A0C2895}">
      <text>
        <r>
          <rPr>
            <sz val="10"/>
            <color indexed="81"/>
            <rFont val="Tahoma"/>
            <family val="2"/>
          </rPr>
          <t xml:space="preserve">Driftskapital = Kassamedlen, pengar i kassan. Behovet av driftskapital beror på driftskostnader samt fluktuation av försäljningen och inköpen.
Det finns stora branschvariationer. I början är rörelsekapitalkravet är 2-3 gånger större än för aktivt företag.
</t>
        </r>
        <r>
          <rPr>
            <b/>
            <i/>
            <sz val="10"/>
            <color indexed="81"/>
            <rFont val="Tahoma"/>
            <family val="2"/>
          </rPr>
          <t>Om finansieringsbehovet och finansiering inte är exakt lika kan du göra korrigeringen i  rörelsekapitalet, det vill säga kassan.</t>
        </r>
      </text>
    </comment>
    <comment ref="F29" authorId="1" shapeId="0" xr:uid="{20ABD8FC-6538-4033-A2D3-1A4F911783B8}">
      <text>
        <r>
          <rPr>
            <sz val="10"/>
            <color indexed="81"/>
            <rFont val="Tahoma"/>
            <family val="2"/>
          </rPr>
          <t>Slutsummorna på vänstra och högra sidan bör vara lika stora. Om summan är negativ, finns det "för mycket" pengar, som fogas till punkt 6. Driftskapital.</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1" shapeId="0" xr:uid="{2712E03E-E6BE-4D8D-B7B0-95CC3473BEC6}">
      <text>
        <r>
          <rPr>
            <sz val="10"/>
            <color indexed="81"/>
            <rFont val="Tahoma"/>
            <family val="2"/>
          </rPr>
          <t>Ifyllnadsdirektiv finns i Företagstolken på sidan "Ekonomiplaner". Punktnumret visar rätt information.</t>
        </r>
      </text>
    </comment>
    <comment ref="J44" authorId="2" shapeId="0" xr:uid="{4982E51D-6916-4185-8295-434C4468E283}">
      <text>
        <r>
          <rPr>
            <sz val="10"/>
            <color indexed="81"/>
            <rFont val="Tahoma"/>
            <family val="2"/>
          </rPr>
          <t>Naturaförmåner finns mm.  
- telefonförmån 20 euro/månad 
- kostförmån "lunchförmån" ca.150 euro/månad (lägg till 
  kostkostnaden i punkt 20. Övriga frivilliga personalkost-
  nader)
- bilförmåns skattevärde per månad. Glöm inte bilens 
  anskaffningskostnaderna och lägg till bilens drivnings-
  kostnaderna i punkt 35.</t>
        </r>
      </text>
    </comment>
    <comment ref="J45" authorId="2" shapeId="0" xr:uid="{9C6757E6-D8AB-4D65-9CC5-0F5E914DBC4D}">
      <text>
        <r>
          <rPr>
            <sz val="10"/>
            <color indexed="81"/>
            <rFont val="Tahoma"/>
            <family val="2"/>
          </rPr>
          <t>Nyföretag betalar löner i första år 12 månader om det inte finns löntagare, som har överförts vid företagsförvärv (12,5 månader). Senare om semesterpenning betalas, 12,5 arbetsmånader. Annars 12.</t>
        </r>
      </text>
    </comment>
    <comment ref="F46" authorId="2" shapeId="0" xr:uid="{364AD539-8958-45E7-87D7-3A48DCED0D9B}">
      <text>
        <r>
          <rPr>
            <sz val="10"/>
            <color indexed="81"/>
            <rFont val="Tahoma"/>
            <family val="2"/>
          </rPr>
          <t>Lönebikostnader är 30 - 50 %. Öka procentsiffran i olycksdrabbade sektorer.</t>
        </r>
      </text>
    </comment>
    <comment ref="J49" authorId="1" shapeId="0" xr:uid="{4A454E29-573B-4730-9405-D063A855A3AF}">
      <text>
        <r>
          <rPr>
            <b/>
            <sz val="10"/>
            <color indexed="81"/>
            <rFont val="Tahoma"/>
            <family val="2"/>
          </rPr>
          <t xml:space="preserve">FöPL-betalningarna i år 2026
 </t>
        </r>
        <r>
          <rPr>
            <sz val="10"/>
            <color indexed="81"/>
            <rFont val="Tahoma"/>
            <family val="2"/>
          </rPr>
          <t>- nybörjande företagare 19,03 %, när du som företagare för första gången startar en FöPL-försäkrad verksamhet får du 22 % rabatt på FöPL-avgifterna under de fyra första åren.
- normal 24,4 %</t>
        </r>
      </text>
    </comment>
    <comment ref="J50" authorId="2" shapeId="0" xr:uid="{C2E218FB-7822-4AC9-B1C7-881CAE55F72A}">
      <text>
        <r>
          <rPr>
            <sz val="10"/>
            <color indexed="81"/>
            <rFont val="Tahoma"/>
            <family val="2"/>
          </rPr>
          <t xml:space="preserve">Årliga avgifter mindre än 8 500 euro kan dras av i beskattningen. </t>
        </r>
      </text>
    </comment>
    <comment ref="J51" authorId="1" shapeId="0" xr:uid="{B7E72422-BC19-433A-B9D7-7E37A954CA06}">
      <text>
        <r>
          <rPr>
            <sz val="10"/>
            <color indexed="81"/>
            <rFont val="Tahoma"/>
            <family val="2"/>
          </rPr>
          <t>Programmet beräknar FöPL-företagarens frivillig olycksförsäkringsavgift 1,7 % av FöPL-arbetsinkomsten och sjukdomsförsäkringsavgiften av inkomst på punkt 15 samt livförsäkringen enligt storleken av de långfristiga lånen.</t>
        </r>
      </text>
    </comment>
    <comment ref="J53" authorId="2" shapeId="0" xr:uid="{F27E9103-4306-486C-AAF3-341F5E4527A3}">
      <text>
        <r>
          <rPr>
            <sz val="10"/>
            <color indexed="81"/>
            <rFont val="Tahoma"/>
            <family val="2"/>
          </rPr>
          <t>FöPL-företagaren kan ansluta sig till privata arbetslöshetskassan.</t>
        </r>
      </text>
    </comment>
    <comment ref="J54" authorId="2" shapeId="0" xr:uid="{F53A68BE-00CC-48F0-8CFA-8C4C18A673CC}">
      <text>
        <r>
          <rPr>
            <sz val="10"/>
            <color indexed="81"/>
            <rFont val="Tahoma"/>
            <family val="2"/>
          </rPr>
          <t>T. ex. företaget kan ta för arbetstagaren livförsäkring, reseförsäkring etc.</t>
        </r>
      </text>
    </comment>
    <comment ref="J69" authorId="2" shapeId="0" xr:uid="{4A63D2FB-B57A-4C5C-B03E-A18EF81B3465}">
      <text>
        <r>
          <rPr>
            <sz val="10"/>
            <color indexed="81"/>
            <rFont val="Tahoma"/>
            <family val="2"/>
          </rPr>
          <t xml:space="preserve">Försäkringsavgift 0,3 % av värdet. Egendomen innehåller lokaliteter, maskiner, inventarier, kundens egendom i företagets lokalitet mm. </t>
        </r>
      </text>
    </comment>
    <comment ref="B71" authorId="1" shapeId="0" xr:uid="{35CC7778-8390-4F53-B496-E5BCAF54F197}">
      <text>
        <r>
          <rPr>
            <sz val="10"/>
            <color indexed="81"/>
            <rFont val="Tahoma"/>
            <family val="2"/>
          </rPr>
          <t>Ifyllnadsdirektiv finns i Företagstolken på sidan "Ekonomiplaner". Punktnumret visar rätt information.</t>
        </r>
      </text>
    </comment>
    <comment ref="H74" authorId="2" shapeId="0" xr:uid="{441BC9D8-3563-4CA4-8B33-3B9CCAAD9745}">
      <text>
        <r>
          <rPr>
            <sz val="10"/>
            <color indexed="81"/>
            <rFont val="Tahoma"/>
            <family val="2"/>
          </rPr>
          <t>Till finansieringsbolaget återställande apparatens restvärde i procent från anskaffningspriset. 
Om 0 %, användas avbetalning.</t>
        </r>
      </text>
    </comment>
    <comment ref="J74" authorId="0" shapeId="0" xr:uid="{179FA679-2695-438C-8AE0-0E46588CAA37}">
      <text>
        <r>
          <rPr>
            <sz val="10"/>
            <color indexed="81"/>
            <rFont val="Tahoma"/>
            <family val="2"/>
          </rPr>
          <t>Du kan inte skriva till den här cellen! Siffrorna i cellen flyttas från toppen av tabellen FINANSIERINGSPLAN, punkt 8. Leasingfinansiering.
Leasingfinansiering med fast månadspris placeras i punkt 25. Övriga maskin- och apparaturkostnader under räkenskapsperioden.</t>
        </r>
      </text>
    </comment>
    <comment ref="J77" authorId="1" shapeId="0" xr:uid="{0A814E25-BE20-461D-9D62-4612C863F4F3}">
      <text>
        <r>
          <rPr>
            <sz val="10"/>
            <color indexed="81"/>
            <rFont val="Tahoma"/>
            <family val="2"/>
          </rPr>
          <t>T. ex. bränsleåtgång 12 liter/100 km = 0,12 liter/km eller liter/timme
T.ex. åtgång av elbil 20 kWh/100 km = 0,2 kWh/km
T.ex. Åtgång av gasbil 6 kg/100 km = 0,06 kg/km</t>
        </r>
      </text>
    </comment>
    <comment ref="J90" authorId="1" shapeId="0" xr:uid="{45D8F5C6-BFE7-43A1-9E36-9E4369108770}">
      <text>
        <r>
          <rPr>
            <sz val="10"/>
            <color indexed="81"/>
            <rFont val="Tahoma"/>
            <family val="2"/>
          </rPr>
          <t>Smärre anskaffningar och skaffningar, vars brukstid är under
3 år. De kan i beskattning dras av i en gång i följande fall: 
- Smärre anskaffningar t.ex. handverktyg, telefon, vars pris är 
  under 1200 € Moms. 0 % och skaffningarnas årlig värde är 
  sammanlagt under 3 600 € Moms 0 %.
- Anläggningstillgångar, vars ekonomiska brukstid är högst 3 år 
  (ingen övre gräns på priset).</t>
        </r>
      </text>
    </comment>
    <comment ref="J95" authorId="1" shapeId="0" xr:uid="{FA1DD733-D480-4319-AEA2-8A4B5774576D}">
      <text>
        <r>
          <rPr>
            <b/>
            <sz val="10"/>
            <color indexed="81"/>
            <rFont val="Tahoma"/>
            <family val="2"/>
          </rPr>
          <t>2026</t>
        </r>
        <r>
          <rPr>
            <sz val="10"/>
            <color indexed="81"/>
            <rFont val="Tahoma"/>
            <family val="2"/>
          </rPr>
          <t xml:space="preserve">
Kilometerersättning om du använder din egen bil under arbetsresan 0,55 euro/km. </t>
        </r>
      </text>
    </comment>
    <comment ref="J97" authorId="1" shapeId="0" xr:uid="{8B43A27F-EB62-4E21-8E72-42A1B21EEB55}">
      <text>
        <r>
          <rPr>
            <b/>
            <sz val="10"/>
            <color indexed="81"/>
            <rFont val="Tahoma"/>
            <family val="2"/>
          </rPr>
          <t xml:space="preserve">I hemlandet 2026
</t>
        </r>
        <r>
          <rPr>
            <sz val="10"/>
            <color indexed="81"/>
            <rFont val="Tahoma"/>
            <family val="2"/>
          </rPr>
          <t>- heldagtraktamente 54 euro
- det partiella dagtraktamentet 25 euro
- måltidsersättningen 13,50 euro</t>
        </r>
      </text>
    </comment>
    <comment ref="J115" authorId="0" shapeId="0" xr:uid="{BA1EDD30-75F8-4E0D-B2A1-677BFAF7C0F1}">
      <text>
        <r>
          <rPr>
            <sz val="10"/>
            <color indexed="81"/>
            <rFont val="Tahoma"/>
            <family val="2"/>
          </rPr>
          <t>Kostnader av naturaförmånbilar. Ingen Moms-minskning.
- Bränsle
- Service, däck, besiktning etc.
- Försäkringsavgifter
- Leasingfinansieringens årskostnad</t>
        </r>
      </text>
    </comment>
    <comment ref="J126" authorId="0" shapeId="0" xr:uid="{E5D3B1D3-62C4-4927-9E88-B4AC2D94EE32}">
      <text>
        <r>
          <rPr>
            <sz val="10"/>
            <color indexed="81"/>
            <rFont val="Tahoma"/>
            <family val="2"/>
          </rPr>
          <t>Faktueringstimmar är cirka 1300-1500 timmar i år/arbetstagare.</t>
        </r>
      </text>
    </comment>
    <comment ref="J161" authorId="1" shapeId="0" xr:uid="{23FFFCFB-4EA2-4CCE-9045-36240DDEE37B}">
      <text>
        <r>
          <rPr>
            <sz val="10"/>
            <color indexed="81"/>
            <rFont val="Tahoma"/>
            <family val="2"/>
          </rPr>
          <t xml:space="preserve">Produktens inköpspris eller materialkostnader och underleveranser inkluderar frakt- och förpackningskostnader, kostnader av små leveranser etc. Det inkluderar inte arbetskostnader eller fasta kostnader, t.ex. el. Var noga med att lägga till eventuella svinner som butiken har minst 3%.
Svinnberäkning
- förlust 5% = pris / 0,95
- förlust 10% = pris / 0,9
- och så vidare. </t>
        </r>
      </text>
    </comment>
    <comment ref="C163" authorId="1" shapeId="0" xr:uid="{361E2685-7184-464D-99F8-C602569E2A70}">
      <text>
        <r>
          <rPr>
            <sz val="10"/>
            <color indexed="81"/>
            <rFont val="Tahoma"/>
            <family val="2"/>
          </rPr>
          <t>Försäljningspriset räknas uppifrån ner! 
Enligt formeln
100 x köppriset
100 - försäljningsbidraget-%
T.ex. Köppriset 80 € , försäljningsbidraget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1" shapeId="0" xr:uid="{4BA02BD0-9719-41EC-B0C8-61DF98269E00}">
      <text>
        <r>
          <rPr>
            <sz val="10"/>
            <color indexed="81"/>
            <rFont val="Tahoma"/>
            <family val="2"/>
          </rPr>
          <t xml:space="preserve">Moms på begagnade varor och konstverk, samlarobjekt och antikviteter baseras på skillnaden mellan produktens försäljnings- och inköpspris, dvs. vinstmarginalen enligt mervärdesskattesatsen för den sålda produkten. </t>
        </r>
      </text>
    </comment>
    <comment ref="J207" authorId="2" shapeId="0" xr:uid="{07C9CAEC-F070-4A69-99A2-AA01A083999E}">
      <text>
        <r>
          <rPr>
            <b/>
            <sz val="11"/>
            <color indexed="81"/>
            <rFont val="Tahoma"/>
            <family val="2"/>
          </rPr>
          <t xml:space="preserve">Denna rad berättar lönsamheten för ditt företag. </t>
        </r>
        <r>
          <rPr>
            <sz val="10"/>
            <color indexed="81"/>
            <rFont val="Tahoma"/>
            <family val="2"/>
          </rPr>
          <t>Beloppet berättar hur mycket pengar är kvar i kassan efter räkenskapsperiodens verksamhet. Om beloppet är negativt, är verksamheten förlustbringande.</t>
        </r>
      </text>
    </comment>
    <comment ref="J208" authorId="1" shapeId="0" xr:uid="{9E54E745-72A5-4600-8C24-5824DEC520A2}">
      <text>
        <r>
          <rPr>
            <sz val="10"/>
            <color indexed="81"/>
            <rFont val="Tahoma"/>
            <family val="2"/>
          </rPr>
          <t xml:space="preserve">Det kalkylerade beloppet av driftskapital är ett kontrolltal som jämförs med det belopp av driftskapital som du har investerat </t>
        </r>
        <r>
          <rPr>
            <b/>
            <sz val="10"/>
            <color indexed="81"/>
            <rFont val="Tahoma"/>
            <family val="2"/>
          </rPr>
          <t xml:space="preserve">i punkt 6. Rörelsekapital i Ekonomikalkyl. </t>
        </r>
        <r>
          <rPr>
            <sz val="10"/>
            <color indexed="81"/>
            <rFont val="Tahoma"/>
            <family val="2"/>
          </rPr>
          <t xml:space="preserve">
Programmet beräknar rörelsekapitalet som två månaders driftskostnader. Det finns stora branschspecifika variationer i mängden rörelsekapital.</t>
        </r>
      </text>
    </comment>
    <comment ref="J211" authorId="1" shapeId="0" xr:uid="{CA380AD9-D09A-460E-98F3-4F7CB7AC1AAF}">
      <text>
        <r>
          <rPr>
            <sz val="10"/>
            <color indexed="81"/>
            <rFont val="Tahoma"/>
            <family val="2"/>
          </rPr>
          <t xml:space="preserve">Avskrivningar är en uppskjuten kostnadspost som minskar beskattningsbar inkomst. </t>
        </r>
      </text>
    </comment>
    <comment ref="J212" authorId="0" shapeId="0" xr:uid="{8838CB4D-A46F-42FA-BAAE-05BE223A2872}">
      <text>
        <r>
          <rPr>
            <sz val="10"/>
            <color indexed="81"/>
            <rFont val="Tahoma"/>
            <family val="2"/>
          </rPr>
          <t xml:space="preserve">Yrkesutövare/affärsidkare (Firma) betalar skatt på företagets inkomst som personlig inkomst. </t>
        </r>
        <r>
          <rPr>
            <b/>
            <sz val="10"/>
            <color indexed="81"/>
            <rFont val="Tahoma"/>
            <family val="2"/>
          </rPr>
          <t xml:space="preserve"> 
En negativ siffra innebär att företagets vinst efter maximala avskrivningar är förlustbringande.
I detta fall betalas inte inkomstskatt. Du kan se den faktiska lönsamheten i punkt 38. AFFÄRVERKSAMHETENS BRUTTOINKOMST UTAN AVSKRIVNINGAR.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Jadelcons</author>
    <author>Företagstolken</author>
    <author>Ari Järvinen</author>
    <author>Yritystulkki</author>
  </authors>
  <commentList>
    <comment ref="F9" authorId="0" shapeId="0" xr:uid="{A1CEA18C-C95E-4C5B-A6D0-19B9C052FB21}">
      <text>
        <r>
          <rPr>
            <sz val="10"/>
            <color indexed="81"/>
            <rFont val="Tahoma"/>
            <family val="2"/>
          </rPr>
          <t xml:space="preserve">Skriv här kontantförsäljningens procentuellt antal av totalförsäljningen. </t>
        </r>
      </text>
    </comment>
    <comment ref="G10" authorId="1" shapeId="0" xr:uid="{674E1268-AEF5-4AB3-A27B-456CE68DFB35}">
      <text>
        <r>
          <rPr>
            <sz val="10"/>
            <color indexed="81"/>
            <rFont val="Tahoma"/>
            <family val="2"/>
          </rPr>
          <t>Procentsiffran betyder månadens försäljningsandel av hela årets försäljning. Om försäljningen är jämnstor i varje månad, är siffran 8,3 %.</t>
        </r>
      </text>
    </comment>
    <comment ref="G12" authorId="1" shapeId="0" xr:uid="{85DE9A10-E9AA-40F9-95E6-238E846862A8}">
      <text>
        <r>
          <rPr>
            <sz val="10"/>
            <color indexed="81"/>
            <rFont val="Tahoma"/>
            <family val="2"/>
          </rPr>
          <t>Procentsiffran betyder månadens försäljningsandel av hela årets försäljning. Om försäljningen är jämnstor i varje månad, är siffran 8,3 %.</t>
        </r>
      </text>
    </comment>
    <comment ref="E13" authorId="2" shapeId="0" xr:uid="{56C971BB-4E0A-4F8B-B4C0-2C673688B1DB}">
      <text>
        <r>
          <rPr>
            <sz val="10"/>
            <color indexed="81"/>
            <rFont val="Tahoma"/>
            <family val="2"/>
          </rPr>
          <t>Genomsnittlig betalningstid för försäljningsfakturor.</t>
        </r>
        <r>
          <rPr>
            <b/>
            <i/>
            <sz val="10"/>
            <color indexed="81"/>
            <rFont val="Tahoma"/>
            <family val="2"/>
          </rPr>
          <t xml:space="preserve"> </t>
        </r>
        <r>
          <rPr>
            <b/>
            <sz val="10"/>
            <color indexed="81"/>
            <rFont val="Tahoma"/>
            <family val="2"/>
          </rPr>
          <t>Längsta betalningstid 180 dagar!</t>
        </r>
      </text>
    </comment>
    <comment ref="G14" authorId="3" shapeId="0" xr:uid="{76A46AB7-42FE-40D3-888E-C9F3DDA3EC81}">
      <text>
        <r>
          <rPr>
            <sz val="10"/>
            <color indexed="81"/>
            <rFont val="Tahoma"/>
            <family val="2"/>
          </rPr>
          <t xml:space="preserve">Det totala beloppet för lån som ska lyftas. Flytta till rätt månad om behövs. Lägg till ränta på lån till punkt 26 och återbetalning av lån på punkt 30. </t>
        </r>
      </text>
    </comment>
    <comment ref="N15" authorId="1" shapeId="0" xr:uid="{32734E03-C0B3-47AB-A1FB-2A0B548A8595}">
      <text>
        <r>
          <rPr>
            <sz val="10"/>
            <color indexed="81"/>
            <rFont val="Tahoma"/>
            <family val="2"/>
          </rPr>
          <t>Bidrag betalas antagligen under 8. månaden från början.</t>
        </r>
      </text>
    </comment>
    <comment ref="G21" authorId="1" shapeId="0" xr:uid="{E69DB533-7691-40EC-A50E-A10662BCA38C}">
      <text>
        <r>
          <rPr>
            <sz val="10"/>
            <color indexed="81"/>
            <rFont val="Tahoma"/>
            <family val="2"/>
          </rPr>
          <t>Programmet beräknar jämnstora månatliga rater. Förändra om behövs.</t>
        </r>
      </text>
    </comment>
    <comment ref="C32" authorId="3"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3"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3"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3" shapeId="0" xr:uid="{FE196B84-E6C3-4EA6-9F70-CA08F0646650}">
      <text>
        <r>
          <rPr>
            <sz val="10"/>
            <color indexed="81"/>
            <rFont val="Tahoma"/>
            <family val="2"/>
          </rPr>
          <t>YEL-yrittäjien rahapalkat ennen veronpidätyksiä.</t>
        </r>
      </text>
    </comment>
    <comment ref="F34" authorId="3" shapeId="0" xr:uid="{3A3D5DE5-D025-41C0-AB43-5200A14F4B41}">
      <text>
        <r>
          <rPr>
            <sz val="10"/>
            <color indexed="81"/>
            <rFont val="Tahoma"/>
            <family val="2"/>
          </rPr>
          <t>Keskimääräinen veronpidätysprosentti, joka löytyy verokortista tai Verolaskurilla www.vero.fi</t>
        </r>
      </text>
    </comment>
    <comment ref="M34" authorId="3" shapeId="0" xr:uid="{E64A4210-F809-4290-86CA-FDA2624ADCB6}">
      <text>
        <r>
          <rPr>
            <sz val="10"/>
            <color indexed="81"/>
            <rFont val="Tahoma"/>
            <family val="2"/>
          </rPr>
          <t>Muista huomioida mahdollinen lomarahan maksu eli normaali kk-palkka x 1,5.</t>
        </r>
      </text>
    </comment>
    <comment ref="X34" authorId="3"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3"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1" shapeId="0" xr:uid="{D415BDE2-EC97-4608-801D-4EEEC912BE93}">
      <text>
        <r>
          <rPr>
            <sz val="10"/>
            <color indexed="81"/>
            <rFont val="Tahoma"/>
            <family val="2"/>
          </rPr>
          <t>Brutto penninglöner till arbetstagarna</t>
        </r>
      </text>
    </comment>
    <comment ref="F36" authorId="1" shapeId="0" xr:uid="{67D91F46-D87A-4862-A7A3-6FE393255A44}">
      <text>
        <r>
          <rPr>
            <sz val="10"/>
            <color indexed="81"/>
            <rFont val="Tahoma"/>
            <family val="2"/>
          </rPr>
          <t>Genomsnittlig skatteavdragsprocent, som finns i skattekortet eller beräknas med Skatteräknare vid www.vero.fi.</t>
        </r>
      </text>
    </comment>
    <comment ref="X36" authorId="3" shapeId="0" xr:uid="{9C2A5503-35F1-49CE-9CA8-1D2F45DCA264}">
      <text>
        <r>
          <rPr>
            <b/>
            <sz val="9"/>
            <color indexed="81"/>
            <rFont val="Tahoma"/>
            <family val="2"/>
          </rPr>
          <t>Yritystulkki:</t>
        </r>
        <r>
          <rPr>
            <sz val="9"/>
            <color indexed="81"/>
            <rFont val="Tahoma"/>
            <family val="2"/>
          </rPr>
          <t xml:space="preserve">
Rahapalkka ja luontoisetu
</t>
        </r>
      </text>
    </comment>
    <comment ref="C37" authorId="1" shapeId="0" xr:uid="{1DC61444-9F99-4A92-BA0B-EC0267D937B0}">
      <text>
        <r>
          <rPr>
            <sz val="10"/>
            <color indexed="81"/>
            <rFont val="Tahoma"/>
            <family val="2"/>
          </rPr>
          <t>Skattegrunden är totalsumman av penninglöner och naturaförmån.</t>
        </r>
      </text>
    </comment>
    <comment ref="Y37" authorId="3" shapeId="0" xr:uid="{FB2A3756-6EF6-4589-BBB5-F79FC3D1F08F}">
      <text>
        <r>
          <rPr>
            <b/>
            <sz val="9"/>
            <color indexed="81"/>
            <rFont val="Tahoma"/>
            <family val="2"/>
          </rPr>
          <t xml:space="preserve">
Työnantajan sairausvakuutusmaksu:
</t>
        </r>
        <r>
          <rPr>
            <sz val="9"/>
            <color indexed="81"/>
            <rFont val="Tahoma"/>
            <family val="2"/>
          </rPr>
          <t xml:space="preserve">
2026   1,91 %
2024   1,16 %
2023   1,53 %
</t>
        </r>
      </text>
    </comment>
    <comment ref="E38" authorId="1" shapeId="0" xr:uid="{FC23ED3C-3BAD-4B9D-A1D6-AB20656A445E}">
      <text>
        <r>
          <rPr>
            <b/>
            <sz val="10"/>
            <color indexed="81"/>
            <rFont val="Tahoma"/>
            <family val="2"/>
          </rPr>
          <t>År 2025</t>
        </r>
        <r>
          <rPr>
            <sz val="10"/>
            <color indexed="81"/>
            <rFont val="Tahoma"/>
            <family val="2"/>
          </rPr>
          <t xml:space="preserve">
Av arbetstagarens lön minskas 
- ArPL-premie 7,15 % 17 - 52 år + Arbetslöshetsförsäkring 0,59 % = 7,74 %
- ArPL-premie 8,65 % 53 - 62 år + Arbetslöshetsförsäkring 0,59 % = 9,24 %
- ArPL-premie 7,15 % 63 - 67 år + Arbetslöshetsförsäkring 0,59 % = 7,74 %
Genomsnitt 8,06 %</t>
        </r>
      </text>
    </comment>
    <comment ref="F38" authorId="1" shapeId="0" xr:uid="{AAE99C9B-977D-442A-87EF-4326E6789CCC}">
      <text>
        <r>
          <rPr>
            <b/>
            <sz val="10"/>
            <color indexed="81"/>
            <rFont val="Tahoma"/>
            <family val="2"/>
          </rPr>
          <t>År 2026</t>
        </r>
        <r>
          <rPr>
            <sz val="10"/>
            <color indexed="81"/>
            <rFont val="Tahoma"/>
            <family val="2"/>
          </rPr>
          <t xml:space="preserve">
Av arbetstagarens lön minskas 
- ArPL-premie 7,3 % 
- Arbetslöshetsförsäkring 0,89 % 
Genomsnitt 8,19 %</t>
        </r>
      </text>
    </comment>
    <comment ref="F41" authorId="1" shapeId="0" xr:uid="{271325E7-0812-42F1-8F15-DAC1E68B969E}">
      <text>
        <r>
          <rPr>
            <b/>
            <sz val="10"/>
            <color indexed="81"/>
            <rFont val="Tahoma"/>
            <family val="2"/>
          </rPr>
          <t>År 2026</t>
        </r>
        <r>
          <rPr>
            <sz val="10"/>
            <color indexed="81"/>
            <rFont val="Tahoma"/>
            <family val="2"/>
          </rPr>
          <t xml:space="preserve">
Företaget betalar till försäkringsbolaget av lönen
- ArPL-premie genomsnitt 17,1 % 
- Olycks- och yrkessjukdomsförsäkring genomsnitt 0,51 % (för olycksbenägen bransch större, uppgår till 7 %)
- Arbetslöshetsförsäkring 0,31 %
- Grupplivförsäkringen för arbetstagare 0,06 %
Sammanlagt cirka 17,98 % (förändra om behövs)</t>
        </r>
      </text>
    </comment>
    <comment ref="H43" authorId="1" shapeId="0" xr:uid="{71D0B333-75BB-4807-94F9-B764D0D8716E}">
      <text>
        <r>
          <rPr>
            <sz val="10"/>
            <color indexed="81"/>
            <rFont val="Tahoma"/>
            <family val="2"/>
          </rPr>
          <t>Nyföretaget betalar denna avgift vanligen under 2. månaden. Kan också delas i flera rater. Förändra om behövs.</t>
        </r>
      </text>
    </comment>
    <comment ref="C45" authorId="3" shapeId="0" xr:uid="{A4FBDA77-F1EB-4E97-9972-DB9C793B00B9}">
      <text>
        <r>
          <rPr>
            <sz val="10"/>
            <color indexed="81"/>
            <rFont val="Tahoma"/>
            <family val="2"/>
          </rPr>
          <t>Räntan på lånen beräknas betalas två gånger om året. Betalningar efter 6 månader och 12 månader, ändra vid behov.</t>
        </r>
      </text>
    </comment>
    <comment ref="C46" authorId="0" shapeId="0" xr:uid="{D74C839C-F0F9-4804-B12D-375EDA57B730}">
      <text>
        <r>
          <rPr>
            <b/>
            <sz val="10"/>
            <color indexed="81"/>
            <rFont val="Tahoma"/>
            <family val="2"/>
          </rPr>
          <t xml:space="preserve">Förskottsskatt 
</t>
        </r>
        <r>
          <rPr>
            <sz val="10"/>
            <color indexed="81"/>
            <rFont val="Tahoma"/>
            <family val="2"/>
          </rPr>
          <t xml:space="preserve">Förskottsskatt beräknas för skattebetalaren på den beräknade vinsten, på vilken skattebetalaren inför förskottsskatt på alla företagsformer. Till exempel är det beräknade resultatet för ett aktiebolag 20 000 euro, varav skatt 20% = 4000 euro dividerat med 12 månader = förskottsskatt 333 euro per månad. Om förskottsbetalningen betalas för lite betalas den senare som efter skatt. Om vinstprognosen för det första året är olönsam läggs ingen förskottsskatt på. </t>
        </r>
      </text>
    </comment>
    <comment ref="C47" authorId="3" shapeId="0" xr:uid="{7FA6A883-2675-4CCF-9F7C-C798475FF9D1}">
      <text>
        <r>
          <rPr>
            <sz val="10"/>
            <color indexed="81"/>
            <rFont val="Tahoma"/>
            <family val="2"/>
          </rPr>
          <t xml:space="preserve">Resebiljetter, inkvartering, dagtraktamente osv. Programmet beräknar kostnader i lika stor del för hela året. Förändra om behövs. </t>
        </r>
      </text>
    </comment>
    <comment ref="C49" authorId="3" shapeId="0" xr:uid="{06FED6DD-ADA7-43CA-89D3-9D78ED42B385}">
      <text>
        <r>
          <rPr>
            <sz val="10"/>
            <color indexed="81"/>
            <rFont val="Tahoma"/>
            <family val="2"/>
          </rPr>
          <t>Låneavkortningar på lånen beräknas betalas två gånger om året. Betalningar efter 6 månader och 12 månader, ändra vid behov.</t>
        </r>
      </text>
    </comment>
    <comment ref="C51" authorId="0" shapeId="0" xr:uid="{9F1B78D1-93F4-42CC-A7B1-D8CD087DDF8C}">
      <text>
        <r>
          <rPr>
            <sz val="10"/>
            <color indexed="81"/>
            <rFont val="Tahoma"/>
            <family val="2"/>
          </rPr>
          <t>Antas, att alla Moms 0 % investeringar för första perioden har genomförts under 1. månaden. Förflytta till rätt månad.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<sst xmlns="http://schemas.openxmlformats.org/spreadsheetml/2006/main" count="1563" uniqueCount="574">
  <si>
    <t xml:space="preserve"> </t>
  </si>
  <si>
    <t>1. VUOSI</t>
  </si>
  <si>
    <t xml:space="preserve">2. VUOSI </t>
  </si>
  <si>
    <t>ARVONLISÄVERON MÄÄRÄ</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</si>
  <si>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</si>
  <si>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</si>
  <si>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</si>
  <si>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</si>
  <si>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</si>
  <si>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</si>
  <si>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</si>
  <si>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</si>
  <si>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</si>
  <si>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</si>
  <si>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</si>
  <si>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</si>
  <si>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</si>
  <si>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</si>
  <si>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</si>
  <si>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</si>
  <si>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</si>
  <si>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</si>
  <si>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</si>
  <si>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</si>
  <si>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</si>
  <si>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</si>
  <si>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</si>
  <si>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</si>
  <si>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</si>
  <si>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</si>
  <si>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</si>
  <si>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</si>
  <si>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</si>
  <si>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</si>
  <si>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</si>
  <si>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</si>
  <si>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</si>
  <si>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</si>
  <si>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</si>
  <si>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</si>
  <si>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</si>
  <si>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</si>
  <si>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</si>
  <si>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</si>
  <si>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</si>
  <si>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</si>
  <si>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</si>
  <si>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</si>
  <si>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</si>
  <si>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</si>
  <si>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</si>
  <si>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</si>
  <si>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</si>
  <si>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</si>
  <si>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</si>
  <si>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</si>
  <si>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</si>
  <si>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</si>
  <si>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</si>
  <si>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</si>
  <si>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</si>
  <si>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</si>
  <si>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</si>
  <si>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</si>
  <si>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</si>
  <si>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</si>
  <si>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</si>
  <si>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</si>
  <si>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</si>
  <si>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</si>
  <si>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</si>
  <si>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</si>
  <si>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</si>
  <si>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</si>
  <si>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</si>
  <si>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3.15</t>
  </si>
  <si>
    <t>3.17</t>
  </si>
  <si>
    <t>3.23</t>
  </si>
  <si>
    <t xml:space="preserve"> Finnvera</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</si>
  <si>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</si>
  <si>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</si>
  <si>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</si>
  <si>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</si>
  <si>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</si>
  <si>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</si>
  <si>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</si>
  <si>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</si>
  <si>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</si>
  <si>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</si>
  <si>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</si>
  <si>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</si>
  <si>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</si>
  <si>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</si>
  <si>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</si>
  <si>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</si>
  <si>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</si>
  <si>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</si>
  <si>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</si>
  <si>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</si>
  <si>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</si>
  <si>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</si>
  <si>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</si>
  <si>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</si>
  <si>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</si>
  <si>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</si>
  <si>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</si>
  <si>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</si>
  <si>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</si>
  <si>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</si>
  <si>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</si>
  <si>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</si>
  <si>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</si>
  <si>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</si>
  <si>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</si>
  <si>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</si>
  <si>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</si>
  <si>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</si>
  <si>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</si>
  <si>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</si>
  <si>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</si>
  <si>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</si>
  <si>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</si>
  <si>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</si>
  <si>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</si>
  <si>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</si>
  <si>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</si>
  <si>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</si>
  <si>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</si>
  <si>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</si>
  <si>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</si>
  <si>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</si>
  <si>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</si>
  <si>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</si>
  <si>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</si>
  <si>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</si>
  <si>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</si>
  <si>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</si>
  <si>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</si>
  <si>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</si>
  <si>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</si>
  <si>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</si>
  <si>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</si>
  <si>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</si>
  <si>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</si>
  <si>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</si>
  <si>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</si>
  <si>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</si>
  <si>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</si>
  <si>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</si>
  <si>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</si>
  <si>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</si>
  <si>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</si>
  <si>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</si>
  <si>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</si>
  <si>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</si>
  <si>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33.</t>
  </si>
  <si>
    <t>34.</t>
  </si>
  <si>
    <t>35.</t>
  </si>
  <si>
    <t>36.</t>
  </si>
  <si>
    <t>37.</t>
  </si>
  <si>
    <t>38.</t>
  </si>
  <si>
    <t>39.</t>
  </si>
  <si>
    <t>40.</t>
  </si>
  <si>
    <t>41.</t>
  </si>
  <si>
    <t>42.</t>
  </si>
  <si>
    <t>43.</t>
  </si>
  <si>
    <t>44.</t>
  </si>
  <si>
    <t xml:space="preserve"> Tuote 2</t>
  </si>
  <si>
    <t xml:space="preserve"> Tuote 5</t>
  </si>
  <si>
    <t xml:space="preserve"> - yrittäjien vuosipalkkatavoite laskelmassa</t>
  </si>
  <si>
    <t>Alv %</t>
  </si>
  <si>
    <t>YHT</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</si>
  <si>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</si>
  <si>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</si>
  <si>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</si>
  <si>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</si>
  <si>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</si>
  <si>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</si>
  <si>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</si>
  <si>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</si>
  <si>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</si>
  <si>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</si>
  <si>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</si>
  <si>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</si>
  <si>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</si>
  <si>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</si>
  <si>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</si>
  <si>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</si>
  <si>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</si>
  <si>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</si>
  <si>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</si>
  <si>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</si>
  <si>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</si>
  <si>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</si>
  <si>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</si>
  <si>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</si>
  <si>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</si>
  <si>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</si>
  <si>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</si>
  <si>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</si>
  <si>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</si>
  <si>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</si>
  <si>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</si>
  <si>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</si>
  <si>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</si>
  <si>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</si>
  <si>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</si>
  <si>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</si>
  <si>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</si>
  <si>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</si>
  <si>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</si>
  <si>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</si>
  <si>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</si>
  <si>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</si>
  <si>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</si>
  <si>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</si>
  <si>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</si>
  <si>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</si>
  <si>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</si>
  <si>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Käteismyynti 12 kk</t>
  </si>
  <si>
    <t xml:space="preserve"> Laskutusmyynti 12 kk</t>
  </si>
  <si>
    <t xml:space="preserve"> Kokonaismyynti 12 kk jaksolla.</t>
  </si>
  <si>
    <t>19.1 YEL-rahapalkat brutto</t>
  </si>
  <si>
    <t>19.2 YEL-luontoisedut</t>
  </si>
  <si>
    <t>Muistiinpanot</t>
  </si>
  <si>
    <t>ar1zona</t>
  </si>
  <si>
    <t>OSTOJEN ALV:N MÄÄRÄ</t>
  </si>
  <si>
    <t>myynti yhteensä</t>
  </si>
  <si>
    <t>Käteismyynti , alv</t>
  </si>
  <si>
    <t>Laskutusmyynti , alv</t>
  </si>
  <si>
    <t>MYYNTI, MAKSETTAVA ALV YHT.</t>
  </si>
  <si>
    <t>Tuote 6 alv:n peruste</t>
  </si>
  <si>
    <t>Tuote 6 alv myyntiimarginaali</t>
  </si>
  <si>
    <t>45.</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</si>
  <si>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</si>
  <si>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</si>
  <si>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</si>
  <si>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</si>
  <si>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</si>
  <si>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</si>
  <si>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</si>
  <si>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</si>
  <si>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</si>
  <si>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3.27</t>
  </si>
  <si>
    <t>3.26</t>
  </si>
  <si>
    <t>HENKILÖYHTIÖ, VEROTETTAVA TULO</t>
  </si>
  <si>
    <t>46.</t>
  </si>
  <si>
    <t>OSAKEYHTIÖ, VEROTETTAVA TULO</t>
  </si>
  <si>
    <t>LAINAKULUT VUODESSA</t>
  </si>
  <si>
    <t>Pankki1</t>
  </si>
  <si>
    <t>Laina 3</t>
  </si>
  <si>
    <t>Veronpidätys YEL</t>
  </si>
  <si>
    <t>Veronpidätys TyEL</t>
  </si>
  <si>
    <t>Nettopalkat</t>
  </si>
  <si>
    <t>Rahapalkat YEL</t>
  </si>
  <si>
    <t>Rahapalkat TyEL</t>
  </si>
  <si>
    <t>Tilitykset verottajalle yht.</t>
  </si>
  <si>
    <t xml:space="preserve"> Työntekijöiden TyEL ja tyött.</t>
  </si>
  <si>
    <t>Määrä</t>
  </si>
  <si>
    <t>Hallintopalvelut / Viranomaismaksut- ja luvat</t>
  </si>
  <si>
    <t xml:space="preserve"> Postikulut  alv 0 %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</si>
  <si>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</si>
  <si>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</si>
  <si>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</si>
  <si>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</si>
  <si>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</si>
  <si>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</si>
  <si>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</si>
  <si>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</si>
  <si>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</si>
  <si>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</si>
  <si>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(siirtyy T 3 ELY:n kohtaan)</t>
  </si>
  <si>
    <t xml:space="preserve">Hinta sis alv </t>
  </si>
  <si>
    <t>Hinta alv 24 %</t>
  </si>
  <si>
    <t xml:space="preserve"> - kirjanpitoarvo kauden lopussa</t>
  </si>
  <si>
    <t xml:space="preserve"> 5. Kehittämisinvestoinnit sis. Alv alussa</t>
  </si>
  <si>
    <t xml:space="preserve"> - poistoprosentti</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</si>
  <si>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</si>
  <si>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</si>
  <si>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</si>
  <si>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</si>
  <si>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</si>
  <si>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</si>
  <si>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</si>
  <si>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</si>
  <si>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</si>
  <si>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</si>
  <si>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</si>
  <si>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</si>
  <si>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</si>
  <si>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</si>
  <si>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</si>
  <si>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</si>
  <si>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</si>
  <si>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</si>
  <si>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</si>
  <si>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</si>
  <si>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</si>
  <si>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Företagets namn</t>
  </si>
  <si>
    <t>Utförare</t>
  </si>
  <si>
    <t>Datum</t>
  </si>
  <si>
    <t>Bransch, projektinformation</t>
  </si>
  <si>
    <t>Guide</t>
  </si>
  <si>
    <t xml:space="preserve"> FINANSIERINGBEHOV (inklusive moms)</t>
  </si>
  <si>
    <t>EURO</t>
  </si>
  <si>
    <t xml:space="preserve"> FINANSIERING</t>
  </si>
  <si>
    <t xml:space="preserve"> 1. Lokaliteter och anslutningsavgifter</t>
  </si>
  <si>
    <t>Bidrag-%</t>
  </si>
  <si>
    <t xml:space="preserve"> 7. Långfristiga lån </t>
  </si>
  <si>
    <t>Sammanlagt</t>
  </si>
  <si>
    <t xml:space="preserve"> Långivare</t>
  </si>
  <si>
    <t>Ränta -%</t>
  </si>
  <si>
    <t xml:space="preserve">Betalningstid </t>
  </si>
  <si>
    <t>Kapital</t>
  </si>
  <si>
    <t xml:space="preserve"> Bank</t>
  </si>
  <si>
    <t xml:space="preserve"> 2. Maskiner och inventarier </t>
  </si>
  <si>
    <t xml:space="preserve"> 8. Leasing finansiering </t>
  </si>
  <si>
    <t xml:space="preserve"> 9. Avbetalning </t>
  </si>
  <si>
    <t xml:space="preserve"> 10. Företagsbidragen </t>
  </si>
  <si>
    <t xml:space="preserve"> 3. Immateriella investeringar </t>
  </si>
  <si>
    <t xml:space="preserve"> 11. Återbäring av mervärdesskatt</t>
  </si>
  <si>
    <t xml:space="preserve"> 12. Egen finansiering </t>
  </si>
  <si>
    <t xml:space="preserve"> 4. Immateriella och utvecklingsinvester. moms 0 % </t>
  </si>
  <si>
    <t xml:space="preserve"> 5. Utvecklingsinvesteringar inkl. moms</t>
  </si>
  <si>
    <t xml:space="preserve"> 6. Driftskapital</t>
  </si>
  <si>
    <t>Finansieringsbehov - Finansiering, differens</t>
  </si>
  <si>
    <t>Bidragen och återbäring av Moms, sammanlagt</t>
  </si>
  <si>
    <t>1. PERIODEN</t>
  </si>
  <si>
    <t>2. PERIODEN</t>
  </si>
  <si>
    <t>3. PERIODEN</t>
  </si>
  <si>
    <t>Per månad</t>
  </si>
  <si>
    <t xml:space="preserve"> Längd av  räkenskapsperioden (månader)</t>
  </si>
  <si>
    <t xml:space="preserve"> Låneavkortningar och räntor för företagets lån</t>
  </si>
  <si>
    <t xml:space="preserve"> - varav räntans andel</t>
  </si>
  <si>
    <t xml:space="preserve"> - lånekapital i slutet av perioden</t>
  </si>
  <si>
    <t xml:space="preserve">Avbetalningens årskostnader </t>
  </si>
  <si>
    <t xml:space="preserve">Företagarnas penninglöner, FöPL-företagare </t>
  </si>
  <si>
    <t xml:space="preserve"> - penninglöner per månad sammanlagt</t>
  </si>
  <si>
    <t xml:space="preserve"> - naturaförmåner per månad sammanlagt </t>
  </si>
  <si>
    <t xml:space="preserve"> - lönebetalningsmånader</t>
  </si>
  <si>
    <t>Penninglönekostnader (ArPL-anställda och ArPL-företagare)</t>
  </si>
  <si>
    <t xml:space="preserve"> - penninglöner per månad</t>
  </si>
  <si>
    <t xml:space="preserve"> - naturaförmåner sammanlagt per månad</t>
  </si>
  <si>
    <t>Lönebikostnader</t>
  </si>
  <si>
    <t xml:space="preserve"> bikostnads-%</t>
  </si>
  <si>
    <t xml:space="preserve">Företagarpensionsavgift </t>
  </si>
  <si>
    <t xml:space="preserve"> - FöPL-betalningens årslön, ligger till grund för pensionen</t>
  </si>
  <si>
    <t xml:space="preserve"> - FöPL-betalningsprocent vid beräkning</t>
  </si>
  <si>
    <t xml:space="preserve"> - frivilliga pensionsavgifter</t>
  </si>
  <si>
    <t xml:space="preserve"> - FöPL-företagarnas sjukdomsförsäkringsavgift av löner samt olycks- och livförsäkringsavgift</t>
  </si>
  <si>
    <t>Övriga lönebikostnader</t>
  </si>
  <si>
    <t xml:space="preserve"> - FöPL-företagarnas arbetslöshetskassa-avgifter </t>
  </si>
  <si>
    <t xml:space="preserve"> - ArPL-personernas frivillig livförsäkrings-, sjukdoms- och reseförsäkringsavgifter </t>
  </si>
  <si>
    <t xml:space="preserve">Övriga personalkostnader </t>
  </si>
  <si>
    <t xml:space="preserve"> - arbetshälsovård </t>
  </si>
  <si>
    <t xml:space="preserve"> - arbetskläder och skyddsmedel </t>
  </si>
  <si>
    <t xml:space="preserve"> - övriga frivilliga personalkostnader (måltider, skolning, rekreation, rekrytering, gåvor etc.)</t>
  </si>
  <si>
    <t xml:space="preserve">Kostnader av affärslokaler </t>
  </si>
  <si>
    <t xml:space="preserve"> - hyror och vederlag</t>
  </si>
  <si>
    <t xml:space="preserve"> - hyra/vederlag i månaden (euro)</t>
  </si>
  <si>
    <t xml:space="preserve"> - betalningsmånader under räkenskapsperioden</t>
  </si>
  <si>
    <t xml:space="preserve"> - el och gas </t>
  </si>
  <si>
    <t xml:space="preserve"> - vatten och avloppsvatten</t>
  </si>
  <si>
    <t xml:space="preserve"> - värme </t>
  </si>
  <si>
    <t xml:space="preserve"> - städning och rengöring, underhållskostnader för uteområden </t>
  </si>
  <si>
    <t xml:space="preserve"> - avfallsservice</t>
  </si>
  <si>
    <t xml:space="preserve"> - bevakning, låsning, övriga kostnader</t>
  </si>
  <si>
    <t xml:space="preserve"> - värdet på den egendom som skall brandförsäkras</t>
  </si>
  <si>
    <t xml:space="preserve"> - fastighetsskatt</t>
  </si>
  <si>
    <t xml:space="preserve"> Längd av räkenskapsperioden (månader)</t>
  </si>
  <si>
    <t>Leasingfinansieringens kostnad (affärsbruk), då restvärde är</t>
  </si>
  <si>
    <t xml:space="preserve">Fordonskostnader, affärsbruk </t>
  </si>
  <si>
    <t xml:space="preserve"> - körkilometer  under räkenskapsperioden</t>
  </si>
  <si>
    <t xml:space="preserve"> - åtgång av bränsle / el / gas </t>
  </si>
  <si>
    <t xml:space="preserve"> - enhetspris på bränsle (liter) / el (kWh) / gas (kg) </t>
  </si>
  <si>
    <t xml:space="preserve"> - service och reparationer, däck, utrustning</t>
  </si>
  <si>
    <t xml:space="preserve"> - leasingkostnader (fast månadsavgift), fordonshyror </t>
  </si>
  <si>
    <t xml:space="preserve"> - försäkrings-, besiktnings- och bruksavgifter etc.</t>
  </si>
  <si>
    <t xml:space="preserve"> - övriga fordonskostnader</t>
  </si>
  <si>
    <t>Datorutrustning och datorprogram</t>
  </si>
  <si>
    <t xml:space="preserve"> - datorutrustninghyror, programhyror och leasing</t>
  </si>
  <si>
    <t xml:space="preserve"> - program och uppdatering </t>
  </si>
  <si>
    <t xml:space="preserve"> - dator och datorutrustning (brukstid &lt; 3 år)</t>
  </si>
  <si>
    <t>Övriga maskin- och apparaturkostnader</t>
  </si>
  <si>
    <t xml:space="preserve"> - maskin- och apparaturhyror, leasing med fast månadsavgift</t>
  </si>
  <si>
    <t xml:space="preserve"> - service och reparationer</t>
  </si>
  <si>
    <t xml:space="preserve"> - små anskaffningar och skaffningar brukstid är högst 3 år</t>
  </si>
  <si>
    <t xml:space="preserve"> - övriga maskin- och inventariekostnader</t>
  </si>
  <si>
    <t xml:space="preserve"> Resekostnader (resebilj., inkvartering, måltid under resan etc.)</t>
  </si>
  <si>
    <t xml:space="preserve"> Reseersättningar</t>
  </si>
  <si>
    <t xml:space="preserve"> - körkilometer per år</t>
  </si>
  <si>
    <t xml:space="preserve"> - kilometerersättning euro / km</t>
  </si>
  <si>
    <t xml:space="preserve"> - till resekostnader berättigade arbetsdagar st./år</t>
  </si>
  <si>
    <t xml:space="preserve"> - dagtraktamente euro / dag</t>
  </si>
  <si>
    <t xml:space="preserve">Marknadsföringskostnader </t>
  </si>
  <si>
    <t xml:space="preserve"> - reklambyråtjänster, trycksaker, annonser</t>
  </si>
  <si>
    <t xml:space="preserve"> - övriga marknadsföringskostnader (bl.a. Gramex)</t>
  </si>
  <si>
    <t xml:space="preserve">Administrationstjänster </t>
  </si>
  <si>
    <t xml:space="preserve">Datakommunikation och penningrörelse </t>
  </si>
  <si>
    <t xml:space="preserve"> - telefon,  internet, dataöverföring</t>
  </si>
  <si>
    <t xml:space="preserve"> - post- och kurirkostnader</t>
  </si>
  <si>
    <t xml:space="preserve"> - kostnader av penningrörelse</t>
  </si>
  <si>
    <t>Försäkringsavgifter (ansvars-, avbrotts- och övriga försäkringar)</t>
  </si>
  <si>
    <t xml:space="preserve">Kontorstillbehör </t>
  </si>
  <si>
    <t>Mötes- och förhandlingskostnader, övr. avdragsgilla kostnader, forskningskostnader</t>
  </si>
  <si>
    <t>Fordonskostnader (fordonen i privatbruk, naturaförmån)</t>
  </si>
  <si>
    <t>Behandlingsavgift för anmälning till handelsregistret</t>
  </si>
  <si>
    <t xml:space="preserve"> - ekonomiförvaltningstjänster, lag- och konsulttjänster, officiella avgifter och tillstånd</t>
  </si>
  <si>
    <t xml:space="preserve"> - tillstånd, anmälningar</t>
  </si>
  <si>
    <t>Försäkringsavgifter</t>
  </si>
  <si>
    <t xml:space="preserve"> - tidningar</t>
  </si>
  <si>
    <t xml:space="preserve"> - böcker</t>
  </si>
  <si>
    <t xml:space="preserve"> - medlemsavgifter</t>
  </si>
  <si>
    <t xml:space="preserve">  Anteckningar</t>
  </si>
  <si>
    <t>Kostnadsförändring %</t>
  </si>
  <si>
    <t xml:space="preserve"> Förändring %</t>
  </si>
  <si>
    <t>FÖRSÄLJNINGSPROGNOS (inklusive moms)</t>
  </si>
  <si>
    <t>Moms-%</t>
  </si>
  <si>
    <t xml:space="preserve"> Arbetsprestationen eller tjänst</t>
  </si>
  <si>
    <t>Omsättning</t>
  </si>
  <si>
    <t>Försjälj.</t>
  </si>
  <si>
    <t>Inköp</t>
  </si>
  <si>
    <t xml:space="preserve"> Produkt </t>
  </si>
  <si>
    <t xml:space="preserve"> Produkt (Vinstmarginalbaserad moms)</t>
  </si>
  <si>
    <t xml:space="preserve">Faktureringspris/enhet inklusive moms </t>
  </si>
  <si>
    <t xml:space="preserve">Faktureringspris/enhet moms 0 % </t>
  </si>
  <si>
    <t>Antal enheter (t.ex. faktureringstimmar)</t>
  </si>
  <si>
    <t>Försäljningspris / st. Inklusive moms</t>
  </si>
  <si>
    <t>Försäljningsmängd i enheter</t>
  </si>
  <si>
    <t>Inköpspris, materialen, underleveranser per enhet inkl. moms och svinn</t>
  </si>
  <si>
    <t>Inköpspris, materialen, underleveranser per enhet moms 0 % och svinn</t>
  </si>
  <si>
    <t>Försäljningsbidrags - %</t>
  </si>
  <si>
    <t>Försäljningsbidrag</t>
  </si>
  <si>
    <t>Inköpspris</t>
  </si>
  <si>
    <t>Inköpen sammanlagt moms 0 %</t>
  </si>
  <si>
    <t>FÖRSÄLJNINGSBIDRAG ENLIGT FÖRSÄLJNINGSPROGNOSEN (PRESTATIONER, BIDRAGEN)</t>
  </si>
  <si>
    <t xml:space="preserve"> - minus VERKSAMHETSKOSTNADER inkl. Företagarlöner</t>
  </si>
  <si>
    <t>AFFÄRVERKSAMHETENS BRUTTOINKOMST UTAN AVSKRIVNINGAR</t>
  </si>
  <si>
    <t>Beräknat minsta rörelsekapital</t>
  </si>
  <si>
    <t xml:space="preserve"> - företagarnas årslönen  i kalkyl </t>
  </si>
  <si>
    <t xml:space="preserve"> - minus avskrivningar (25 % av maskiner och 7 % av byggnader)</t>
  </si>
  <si>
    <t>FIRMA, BESKATTNINGSBAR INKOMST</t>
  </si>
  <si>
    <t>KOMMANDITBOLAG, ÖPPET BOLAG, BESKATTNINGSBAR INKOMST</t>
  </si>
  <si>
    <t>AKTIEBOLAG, BESKATTNINGSBAR INKOMST</t>
  </si>
  <si>
    <t>OMSÄTTNING</t>
  </si>
  <si>
    <t>Mervärdesskattesumma</t>
  </si>
  <si>
    <t xml:space="preserve"> TOTALFÖRSÄLJNING</t>
  </si>
  <si>
    <t xml:space="preserve"> - varav marginalbeskattade produkter i euro</t>
  </si>
  <si>
    <t>ANTALET ANSTÄLLDA I GENOMSNITT</t>
  </si>
  <si>
    <t>ARBETSDAGAR PER VECKA</t>
  </si>
  <si>
    <t>FÖRSÄLJNING PER DAG (förverkligad)</t>
  </si>
  <si>
    <t>ARBETSVECKOR PER ÅR</t>
  </si>
  <si>
    <t>JAN</t>
  </si>
  <si>
    <t>FEB</t>
  </si>
  <si>
    <t>MARS</t>
  </si>
  <si>
    <t>APR</t>
  </si>
  <si>
    <t>MAJ</t>
  </si>
  <si>
    <t>JUNI</t>
  </si>
  <si>
    <t>JULI</t>
  </si>
  <si>
    <t>AUG</t>
  </si>
  <si>
    <t>SEP</t>
  </si>
  <si>
    <t>OKT</t>
  </si>
  <si>
    <t>NOV</t>
  </si>
  <si>
    <t>DEC</t>
  </si>
  <si>
    <t>INTÄKTER</t>
  </si>
  <si>
    <t xml:space="preserve"> Egen finansiering</t>
  </si>
  <si>
    <t xml:space="preserve"> Kontantförsäljning, andels-%</t>
  </si>
  <si>
    <t xml:space="preserve"> - procentuellt försäljning per månad </t>
  </si>
  <si>
    <t xml:space="preserve"> Fakturaförsäljning</t>
  </si>
  <si>
    <t xml:space="preserve"> - betalningsvillkor</t>
  </si>
  <si>
    <t>dagar</t>
  </si>
  <si>
    <t xml:space="preserve"> Lyft av lån</t>
  </si>
  <si>
    <t xml:space="preserve"> Företagsbidrag, övriga intäkter</t>
  </si>
  <si>
    <t>INTÄKTER SAMMANLAGT</t>
  </si>
  <si>
    <t>UTGIFTER</t>
  </si>
  <si>
    <t xml:space="preserve"> Råvaru- och materialinköp</t>
  </si>
  <si>
    <t xml:space="preserve"> Inköpen, marginalbeskattade produkter</t>
  </si>
  <si>
    <t xml:space="preserve"> Lokalhyror</t>
  </si>
  <si>
    <t xml:space="preserve"> Leasing- och inventariehyror</t>
  </si>
  <si>
    <t xml:space="preserve"> El-, värme- och vattenkostnader</t>
  </si>
  <si>
    <t>Telekommunikationskostnader</t>
  </si>
  <si>
    <t xml:space="preserve"> Marknadsföring och reklam</t>
  </si>
  <si>
    <t xml:space="preserve"> Investeringar inkl. moms</t>
  </si>
  <si>
    <t xml:space="preserve"> Bil/arbetsmaskinkostnader (moms-avdragbara)</t>
  </si>
  <si>
    <t xml:space="preserve"> Städning- och avfallskostnader</t>
  </si>
  <si>
    <t xml:space="preserve"> Övriga maskin- och apparaturkostnader</t>
  </si>
  <si>
    <t xml:space="preserve"> Datorutrustning och -program</t>
  </si>
  <si>
    <t xml:space="preserve"> Övriga fasta kostnader inkl. moms</t>
  </si>
  <si>
    <t xml:space="preserve"> Betalbar mervärdesskatt</t>
  </si>
  <si>
    <t xml:space="preserve"> Nettolöner</t>
  </si>
  <si>
    <t xml:space="preserve"> FöPL - penninglön brutto</t>
  </si>
  <si>
    <t xml:space="preserve"> Brutto penninglön / arbetstagarna</t>
  </si>
  <si>
    <t xml:space="preserve"> Arbetsgivarprestationerna</t>
  </si>
  <si>
    <t xml:space="preserve"> FöPL-premier, sjukdomsförsäkr.- och livförsäkringsavgifter</t>
  </si>
  <si>
    <t xml:space="preserve"> ArPL- och obligatoriska arbetstagarförsäkringar</t>
  </si>
  <si>
    <t xml:space="preserve"> Frivilliga arbetslöshetskassa- och livsförsäkringsavgifter </t>
  </si>
  <si>
    <t xml:space="preserve"> Övriga försäkringar, bruksavgifter</t>
  </si>
  <si>
    <t xml:space="preserve"> Övriga fasta kostnader moms 0 %</t>
  </si>
  <si>
    <t xml:space="preserve"> Låneräntor och garantiprovision</t>
  </si>
  <si>
    <t xml:space="preserve"> Inkomstskatt och fastighetsskatt</t>
  </si>
  <si>
    <t xml:space="preserve"> Resekostnader, reseersättningar,</t>
  </si>
  <si>
    <t xml:space="preserve"> Företagets fordonskostnader (i privatbruk, naturaförmånbil)</t>
  </si>
  <si>
    <t xml:space="preserve"> Låneavkortningar</t>
  </si>
  <si>
    <t xml:space="preserve"> Avbetalningens månadsavgift</t>
  </si>
  <si>
    <t xml:space="preserve"> Investeringar moms 0 %</t>
  </si>
  <si>
    <t xml:space="preserve"> Placeringar</t>
  </si>
  <si>
    <t xml:space="preserve">    UTGIFTER SAMMANLAGT</t>
  </si>
  <si>
    <t xml:space="preserve"> INTÄKTER - UTGIFTER</t>
  </si>
  <si>
    <t xml:space="preserve"> KASSA VID MÅNADSKIFTET </t>
  </si>
  <si>
    <t>FT4 NYFÖRETAGETS EKONOMIPLAN</t>
  </si>
  <si>
    <t xml:space="preserve">KASSABUDGET FÖR FÖRSTA ÅRET </t>
  </si>
  <si>
    <t>SLGT</t>
  </si>
  <si>
    <t xml:space="preserve"> Sammanlagt</t>
  </si>
  <si>
    <t>VERKSAMHETSKOSTNADER UNDER RÄKENSKAPSPERIODEN
(inklusive moms)</t>
  </si>
  <si>
    <t xml:space="preserve">Anställdas lönekostnader </t>
  </si>
  <si>
    <t xml:space="preserve"> - hyror av arbetskraft, lag- och konsulttjänster, officiella avgifter och tillstånd</t>
  </si>
  <si>
    <t xml:space="preserve"> - ekonomiförvaltningstjänster, revision, andra administrativa kostnader</t>
  </si>
  <si>
    <t xml:space="preserve">Faktainsamling </t>
  </si>
  <si>
    <t>Pris-/mängdförändr.-%</t>
  </si>
  <si>
    <t xml:space="preserve"> Anteckningar</t>
  </si>
  <si>
    <t>Pris-/Mängdförändr.-%</t>
  </si>
  <si>
    <t>Kostnadsförändring -%</t>
  </si>
  <si>
    <t>Faktureringspris/enhet</t>
  </si>
  <si>
    <t xml:space="preserve"> Produkt</t>
  </si>
  <si>
    <t>Försäljningspris</t>
  </si>
  <si>
    <t>Inköpen sammanlagt</t>
  </si>
  <si>
    <t xml:space="preserve"> - minus VERKSAMHETSKOSTNADER inkl. företagarlöner</t>
  </si>
  <si>
    <t>BESKATTNINGSBAR INKOMST</t>
  </si>
  <si>
    <t xml:space="preserve"> OMSÄTTNING</t>
  </si>
  <si>
    <t xml:space="preserve"> Mervärdesskattesumma</t>
  </si>
  <si>
    <t>TOTALFÖRSÄLJNING</t>
  </si>
  <si>
    <t>Ansvar av programmets rättighet och resultaten</t>
  </si>
  <si>
    <t xml:space="preserve">Användaren är medveten, att programmet kan innehålla fel och ge felaktiga resultaten. </t>
  </si>
  <si>
    <t xml:space="preserve">Resultaten är riktningsgivande och användaren har eget ansvar om tolkning av resultaten. </t>
  </si>
  <si>
    <t>19.1 Brutto penninglön / arbetstagarna</t>
  </si>
  <si>
    <t>19.2  Naturaförmån / arbetstagarna</t>
  </si>
  <si>
    <t>19.3  ArPL- och arbetslöshetsavg./arbetstagarna</t>
  </si>
  <si>
    <t>19.1 FöPL - penninglön brutto</t>
  </si>
  <si>
    <t>19.2  FöPL- naturaförmån</t>
  </si>
  <si>
    <t>19.3 Brutto penninglön / arbetstagarna</t>
  </si>
  <si>
    <t>19.4  Naturaförmån / arbetstagarna</t>
  </si>
  <si>
    <t>19.5 ArPL- och arbetslöshetsavg./arbetstagarna</t>
  </si>
  <si>
    <t>1.</t>
  </si>
  <si>
    <t>2.</t>
  </si>
  <si>
    <t>3.</t>
  </si>
  <si>
    <t>4.</t>
  </si>
  <si>
    <t>5.</t>
  </si>
  <si>
    <t>6.</t>
  </si>
  <si>
    <t>7.</t>
  </si>
  <si>
    <t>8.</t>
  </si>
  <si>
    <t>9.</t>
  </si>
  <si>
    <t>10.</t>
  </si>
  <si>
    <t>11.</t>
  </si>
  <si>
    <t>12.</t>
  </si>
  <si>
    <t>UTGIFTER SAMMANLAGT</t>
  </si>
  <si>
    <t xml:space="preserve"> 5. Utvecklingsinvesteringar</t>
  </si>
  <si>
    <t xml:space="preserve"> Investeringar </t>
  </si>
  <si>
    <t xml:space="preserve"> Jordområden, anslutningsavgiften</t>
  </si>
  <si>
    <t xml:space="preserve"> Affärslokaler moms 0 %</t>
  </si>
  <si>
    <t xml:space="preserve"> Affärslokaler inkl. moms </t>
  </si>
  <si>
    <t xml:space="preserve"> Varulager i början, säkerhetsavgift moms 0 %</t>
  </si>
  <si>
    <t xml:space="preserve"> Varulager i början, säkerhetsavgift inkl. moms</t>
  </si>
  <si>
    <t xml:space="preserve"> Skattefria maskiner och inventarier</t>
  </si>
  <si>
    <t xml:space="preserve"> Bidrag </t>
  </si>
  <si>
    <t xml:space="preserve"> Övriga bidragen</t>
  </si>
  <si>
    <t xml:space="preserve"> Företagarnas placeringar</t>
  </si>
  <si>
    <t xml:space="preserve"> Företagarlån från Finnvera</t>
  </si>
  <si>
    <t xml:space="preserve">VERKSAMHETSKOSTNADER UNDER RÄKENSKAPSPERIODEN MOMS 0 % </t>
  </si>
  <si>
    <r>
      <rPr>
        <b/>
        <sz val="13"/>
        <color rgb="FF0152A1"/>
        <rFont val="Arial"/>
        <family val="2"/>
      </rPr>
      <t>FT4 NYFÖRETAGETS EKONOMIPLAN</t>
    </r>
    <r>
      <rPr>
        <sz val="11"/>
        <color rgb="FF0152A1"/>
        <rFont val="Arial"/>
        <family val="2"/>
      </rPr>
      <t xml:space="preserve"> (momsfria företag)</t>
    </r>
  </si>
  <si>
    <t xml:space="preserve"> Affärslokaler</t>
  </si>
  <si>
    <t xml:space="preserve"> Varulager i början, säkerhetsavgift </t>
  </si>
  <si>
    <t xml:space="preserve"> Affärsvärde</t>
  </si>
  <si>
    <r>
      <t>KASSABUDGET FÖR FÖRSTA ÅRET</t>
    </r>
    <r>
      <rPr>
        <b/>
        <sz val="11"/>
        <color rgb="FF0152A1"/>
        <rFont val="Arial"/>
        <family val="2"/>
      </rPr>
      <t xml:space="preserve"> (momsfria företag)</t>
    </r>
  </si>
  <si>
    <t>Business Kristinestad | Dynamo Närpes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</si>
</sst>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62"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indexed="81"/>
      <name val="Tahoma"/>
      <family val="2"/>
    </font>
    <font>
      <sz val="11"/>
      <color indexed="81"/>
      <name val="Tahoma"/>
      <family val="2"/>
    </font>
    <font>
      <b/>
      <i/>
      <sz val="10"/>
      <color indexed="81"/>
      <name val="Tahoma"/>
      <family val="2"/>
    </font>
    <font>
      <sz val="11"/>
      <color rgb="FF0152A1"/>
      <name val="Arial"/>
      <family val="2"/>
    </font>
    <font>
      <b/>
      <sz val="13"/>
      <color rgb="FF0152A1"/>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3">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3">
    <xf numFmtId="0" fontId="0" fillId="0" borderId="0"/>
    <xf numFmtId="9" fontId="3" fillId="0" borderId="0" applyFont="0" applyFill="0" applyBorder="0" applyAlignment="0" applyProtection="0"/>
    <xf numFmtId="0" fontId="3" fillId="0" borderId="0"/>
  </cellStyleXfs>
  <cellXfs count="1406">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7" fillId="0" borderId="105" xfId="0" applyFont="1" applyBorder="1" applyAlignment="1">
      <alignment vertical="center"/>
    </xf>
    <xf numFmtId="0" fontId="7" fillId="0" borderId="101" xfId="0" applyFont="1" applyBorder="1" applyAlignment="1">
      <alignment vertical="center"/>
    </xf>
    <xf numFmtId="0" fontId="12" fillId="0" borderId="102" xfId="0" applyFont="1" applyBorder="1" applyAlignment="1">
      <alignment horizontal="center" vertical="center"/>
    </xf>
    <xf numFmtId="0" fontId="7" fillId="0" borderId="106" xfId="0" applyFont="1" applyBorder="1" applyAlignment="1">
      <alignment vertical="center"/>
    </xf>
    <xf numFmtId="0" fontId="7" fillId="0" borderId="103" xfId="0" applyFont="1" applyBorder="1" applyAlignment="1">
      <alignment vertical="center"/>
    </xf>
    <xf numFmtId="0" fontId="12" fillId="0" borderId="107" xfId="0" applyFont="1" applyBorder="1" applyAlignment="1">
      <alignment horizontal="center" vertical="center"/>
    </xf>
    <xf numFmtId="0" fontId="7" fillId="0" borderId="108" xfId="0" applyFont="1" applyBorder="1" applyAlignment="1">
      <alignment vertical="center"/>
    </xf>
    <xf numFmtId="0" fontId="7" fillId="0" borderId="111" xfId="0" applyFont="1" applyBorder="1" applyAlignment="1">
      <alignment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4" fillId="0" borderId="0" xfId="0" applyFont="1" applyAlignment="1">
      <alignment horizontal="left" vertical="center"/>
    </xf>
    <xf numFmtId="0" fontId="7" fillId="0" borderId="89" xfId="0" applyFont="1" applyBorder="1" applyAlignment="1">
      <alignment horizontal="center" vertical="center"/>
    </xf>
    <xf numFmtId="0" fontId="7" fillId="0" borderId="97" xfId="0" applyFont="1" applyBorder="1" applyAlignment="1">
      <alignment vertical="center"/>
    </xf>
    <xf numFmtId="0" fontId="4" fillId="0" borderId="97" xfId="0" applyFont="1" applyBorder="1" applyAlignment="1">
      <alignment vertical="center"/>
    </xf>
    <xf numFmtId="9" fontId="7" fillId="0" borderId="90" xfId="0" applyNumberFormat="1" applyFont="1" applyBorder="1" applyAlignment="1">
      <alignment horizontal="center" vertical="center"/>
    </xf>
    <xf numFmtId="0" fontId="4" fillId="0" borderId="100" xfId="0" applyFont="1" applyBorder="1" applyAlignment="1">
      <alignment horizontal="center" vertical="center"/>
    </xf>
    <xf numFmtId="0" fontId="7" fillId="0" borderId="105" xfId="0" applyFont="1" applyBorder="1" applyAlignment="1">
      <alignment horizontal="left" vertical="center"/>
    </xf>
    <xf numFmtId="0" fontId="4" fillId="0" borderId="105" xfId="0" applyFont="1" applyBorder="1" applyAlignment="1">
      <alignment horizontal="left" vertical="center"/>
    </xf>
    <xf numFmtId="0" fontId="4" fillId="0" borderId="101" xfId="0" applyFont="1" applyBorder="1" applyAlignment="1">
      <alignment horizontal="left" vertical="center"/>
    </xf>
    <xf numFmtId="0" fontId="7" fillId="0" borderId="100" xfId="0" applyFont="1" applyBorder="1" applyAlignment="1">
      <alignment horizontal="center" vertical="center"/>
    </xf>
    <xf numFmtId="0" fontId="4" fillId="0" borderId="105" xfId="0" applyFont="1" applyBorder="1" applyAlignment="1">
      <alignment vertical="center"/>
    </xf>
    <xf numFmtId="9" fontId="7" fillId="0" borderId="101" xfId="0" applyNumberFormat="1"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0" fontId="7" fillId="0" borderId="113" xfId="0" applyFont="1" applyBorder="1" applyAlignment="1">
      <alignment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90" xfId="0" applyFont="1" applyFill="1" applyBorder="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7" fillId="0" borderId="148" xfId="0" applyFont="1" applyBorder="1" applyAlignment="1">
      <alignment vertical="center"/>
    </xf>
    <xf numFmtId="0" fontId="7" fillId="0" borderId="149" xfId="0" applyFont="1" applyBorder="1" applyAlignment="1">
      <alignment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14" fontId="32" fillId="0" borderId="0" xfId="0" applyNumberFormat="1" applyFont="1" applyAlignment="1">
      <alignment horizontal="left"/>
    </xf>
    <xf numFmtId="0" fontId="12" fillId="0" borderId="69" xfId="0" applyFont="1" applyBorder="1" applyAlignment="1">
      <alignment horizontal="center" vertical="center"/>
    </xf>
    <xf numFmtId="9" fontId="7" fillId="0" borderId="105" xfId="0" applyNumberFormat="1" applyFont="1" applyBorder="1" applyAlignment="1">
      <alignment vertical="center"/>
    </xf>
    <xf numFmtId="9" fontId="7" fillId="0" borderId="113" xfId="0" applyNumberFormat="1" applyFont="1" applyBorder="1" applyAlignment="1">
      <alignment vertical="center"/>
    </xf>
    <xf numFmtId="167" fontId="7" fillId="4" borderId="69" xfId="0" applyNumberFormat="1" applyFont="1" applyFill="1" applyBorder="1" applyAlignment="1" applyProtection="1">
      <alignment horizontal="center" vertical="center"/>
      <protection locked="0"/>
    </xf>
    <xf numFmtId="9" fontId="7" fillId="0" borderId="108" xfId="0" applyNumberFormat="1" applyFont="1" applyBorder="1" applyAlignment="1">
      <alignment vertical="center"/>
    </xf>
    <xf numFmtId="0" fontId="11" fillId="0" borderId="87" xfId="0" applyFont="1" applyBorder="1" applyAlignment="1">
      <alignment vertical="center"/>
    </xf>
    <xf numFmtId="0" fontId="37" fillId="25" borderId="76" xfId="0" applyFont="1" applyFill="1" applyBorder="1" applyAlignment="1">
      <alignment horizontal="center" vertical="center"/>
    </xf>
    <xf numFmtId="49" fontId="1" fillId="4" borderId="8" xfId="0" applyNumberFormat="1" applyFont="1" applyFill="1" applyBorder="1" applyAlignment="1" applyProtection="1">
      <alignment horizontal="center" vertical="center"/>
      <protection locked="0"/>
    </xf>
    <xf numFmtId="0" fontId="7" fillId="0" borderId="3" xfId="0" applyFont="1" applyBorder="1" applyAlignment="1">
      <alignment horizontal="left" vertical="center"/>
    </xf>
    <xf numFmtId="0" fontId="37" fillId="25" borderId="0" xfId="0" applyFont="1" applyFill="1" applyAlignment="1">
      <alignment horizontal="center" vertical="center"/>
    </xf>
    <xf numFmtId="0" fontId="11" fillId="0" borderId="0" xfId="0" applyFont="1" applyAlignment="1">
      <alignment horizontal="left" vertical="center" indent="1"/>
    </xf>
    <xf numFmtId="0" fontId="37" fillId="25" borderId="90" xfId="0" applyFont="1" applyFill="1" applyBorder="1" applyAlignment="1">
      <alignment horizontal="center" vertical="center"/>
    </xf>
    <xf numFmtId="167" fontId="7" fillId="28" borderId="69" xfId="0" applyNumberFormat="1" applyFont="1" applyFill="1" applyBorder="1" applyAlignment="1" applyProtection="1">
      <alignment horizontal="center" vertical="center"/>
      <protection locked="0"/>
    </xf>
    <xf numFmtId="0" fontId="32" fillId="0" borderId="87" xfId="0" applyFont="1" applyBorder="1" applyAlignment="1" applyProtection="1">
      <alignment vertical="center"/>
      <protection locked="0"/>
    </xf>
    <xf numFmtId="0" fontId="32" fillId="0" borderId="0" xfId="0" applyFont="1" applyAlignment="1" applyProtection="1">
      <alignment vertical="center"/>
      <protection locked="0"/>
    </xf>
    <xf numFmtId="49" fontId="2" fillId="28" borderId="8" xfId="0" applyNumberFormat="1" applyFont="1" applyFill="1" applyBorder="1" applyAlignment="1" applyProtection="1">
      <alignment horizontal="center" vertical="center"/>
      <protection locked="0"/>
    </xf>
    <xf numFmtId="49" fontId="1" fillId="28" borderId="8" xfId="0" applyNumberFormat="1" applyFont="1" applyFill="1" applyBorder="1" applyAlignment="1" applyProtection="1">
      <alignment horizontal="center" vertical="center"/>
      <protection locked="0" hidden="1"/>
    </xf>
    <xf numFmtId="0" fontId="6" fillId="3" borderId="87" xfId="0" applyFont="1" applyFill="1" applyBorder="1" applyAlignment="1">
      <alignment horizontal="left" vertical="center"/>
    </xf>
    <xf numFmtId="1" fontId="11" fillId="3" borderId="87" xfId="0" applyNumberFormat="1" applyFont="1" applyFill="1" applyBorder="1" applyAlignment="1" applyProtection="1">
      <alignment horizontal="center" vertical="center"/>
      <protection locked="0"/>
    </xf>
    <xf numFmtId="1" fontId="11" fillId="3" borderId="0" xfId="0" applyNumberFormat="1" applyFont="1" applyFill="1" applyAlignment="1" applyProtection="1">
      <alignment horizontal="center" vertical="center"/>
      <protection locked="0"/>
    </xf>
    <xf numFmtId="164" fontId="12" fillId="3" borderId="87" xfId="0" applyNumberFormat="1" applyFont="1" applyFill="1" applyBorder="1" applyAlignment="1">
      <alignment horizontal="center" vertical="center"/>
    </xf>
    <xf numFmtId="164" fontId="12" fillId="3" borderId="0" xfId="0" applyNumberFormat="1" applyFont="1" applyFill="1" applyAlignment="1">
      <alignment horizontal="center" vertical="center"/>
    </xf>
    <xf numFmtId="1" fontId="11" fillId="3" borderId="75" xfId="0" applyNumberFormat="1" applyFont="1" applyFill="1" applyBorder="1" applyAlignment="1">
      <alignment horizontal="center" vertical="center"/>
    </xf>
    <xf numFmtId="1" fontId="11" fillId="3" borderId="96" xfId="0" applyNumberFormat="1" applyFont="1" applyFill="1" applyBorder="1" applyAlignment="1">
      <alignment horizontal="center" vertical="center"/>
    </xf>
    <xf numFmtId="3" fontId="6" fillId="26" borderId="45" xfId="0" applyNumberFormat="1" applyFont="1" applyFill="1" applyBorder="1" applyAlignment="1" applyProtection="1">
      <alignment horizontal="center" vertical="center"/>
      <protection hidden="1"/>
    </xf>
    <xf numFmtId="3" fontId="6" fillId="26" borderId="46" xfId="0" applyNumberFormat="1" applyFont="1" applyFill="1" applyBorder="1" applyAlignment="1" applyProtection="1">
      <alignment horizontal="center" vertical="center"/>
      <protection hidden="1"/>
    </xf>
    <xf numFmtId="3" fontId="6" fillId="27" borderId="45" xfId="0" applyNumberFormat="1" applyFont="1" applyFill="1" applyBorder="1" applyAlignment="1" applyProtection="1">
      <alignment horizontal="center" vertical="center"/>
      <protection hidden="1"/>
    </xf>
    <xf numFmtId="3" fontId="17" fillId="0" borderId="0" xfId="0" applyNumberFormat="1" applyFont="1" applyAlignment="1" applyProtection="1">
      <alignment horizontal="center" vertical="center"/>
      <protection hidden="1"/>
    </xf>
    <xf numFmtId="0" fontId="12" fillId="0" borderId="98" xfId="0" applyFont="1" applyBorder="1" applyAlignment="1">
      <alignment vertical="center"/>
    </xf>
    <xf numFmtId="0" fontId="12" fillId="0" borderId="104" xfId="0" applyFont="1" applyBorder="1" applyAlignment="1">
      <alignment vertical="center"/>
    </xf>
    <xf numFmtId="0" fontId="12" fillId="0" borderId="100" xfId="0" applyFont="1" applyBorder="1" applyAlignment="1">
      <alignment vertical="center"/>
    </xf>
    <xf numFmtId="0" fontId="12" fillId="0" borderId="105" xfId="0" applyFont="1" applyBorder="1" applyAlignment="1">
      <alignment vertical="center"/>
    </xf>
    <xf numFmtId="0" fontId="46" fillId="6" borderId="0" xfId="0" applyFont="1" applyFill="1" applyAlignment="1">
      <alignment horizontal="left" vertical="top" wrapText="1"/>
    </xf>
    <xf numFmtId="0" fontId="37" fillId="6" borderId="0" xfId="0" applyFont="1" applyFill="1" applyAlignment="1">
      <alignment horizontal="left" vertical="top" wrapText="1"/>
    </xf>
    <xf numFmtId="3" fontId="50" fillId="28" borderId="75" xfId="0" applyNumberFormat="1" applyFont="1" applyFill="1" applyBorder="1" applyAlignment="1" applyProtection="1">
      <alignment horizontal="center" vertical="center"/>
      <protection locked="0"/>
    </xf>
    <xf numFmtId="3" fontId="50" fillId="28" borderId="77" xfId="0" applyNumberFormat="1" applyFont="1" applyFill="1" applyBorder="1" applyAlignment="1" applyProtection="1">
      <alignment horizontal="center" vertical="center"/>
      <protection locked="0"/>
    </xf>
    <xf numFmtId="0" fontId="60" fillId="0" borderId="0" xfId="0" applyFont="1" applyAlignment="1">
      <alignment horizontal="left" vertical="center"/>
    </xf>
    <xf numFmtId="166" fontId="42" fillId="23" borderId="8" xfId="2" applyNumberFormat="1" applyFont="1" applyFill="1" applyBorder="1" applyAlignment="1" applyProtection="1">
      <alignment horizontal="right"/>
      <protection hidden="1"/>
    </xf>
    <xf numFmtId="0" fontId="3" fillId="23" borderId="150" xfId="2" applyFill="1" applyBorder="1"/>
    <xf numFmtId="0" fontId="21" fillId="0" borderId="0" xfId="0" applyFont="1" applyAlignment="1">
      <alignment horizontal="center" vertical="center"/>
    </xf>
    <xf numFmtId="0" fontId="34" fillId="0" borderId="0" xfId="0" applyFont="1" applyAlignment="1">
      <alignment horizontal="right"/>
    </xf>
    <xf numFmtId="3" fontId="7"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pplyProtection="1">
      <alignment horizontal="center" vertical="center"/>
      <protection hidden="1"/>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0" fontId="7" fillId="0" borderId="106" xfId="0" applyFont="1" applyBorder="1" applyAlignment="1">
      <alignment horizontal="left" vertical="center"/>
    </xf>
    <xf numFmtId="0" fontId="7" fillId="0" borderId="103" xfId="0" applyFont="1" applyBorder="1" applyAlignment="1">
      <alignment horizontal="left" vertical="center"/>
    </xf>
    <xf numFmtId="0" fontId="37" fillId="25" borderId="83" xfId="0" applyFont="1" applyFill="1" applyBorder="1" applyAlignment="1" applyProtection="1">
      <alignment horizontal="center"/>
      <protection hidden="1"/>
    </xf>
    <xf numFmtId="0" fontId="11" fillId="0" borderId="96" xfId="0" applyFont="1" applyBorder="1" applyAlignment="1">
      <alignment horizontal="left" vertical="center"/>
    </xf>
    <xf numFmtId="0" fontId="7" fillId="0" borderId="104" xfId="0" applyFont="1" applyBorder="1" applyAlignment="1">
      <alignment horizontal="left" vertical="center"/>
    </xf>
    <xf numFmtId="9" fontId="7" fillId="0" borderId="104" xfId="0" applyNumberFormat="1" applyFont="1" applyBorder="1" applyAlignment="1">
      <alignment horizontal="left" vertical="center"/>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xf>
    <xf numFmtId="3" fontId="7" fillId="0" borderId="69" xfId="0" applyNumberFormat="1" applyFont="1" applyBorder="1" applyAlignment="1" applyProtection="1">
      <alignment horizontal="center" vertical="center"/>
      <protection hidden="1"/>
    </xf>
    <xf numFmtId="0" fontId="11" fillId="0" borderId="77" xfId="0" applyFont="1" applyBorder="1" applyAlignment="1">
      <alignment horizontal="left" vertical="center"/>
    </xf>
    <xf numFmtId="0" fontId="11" fillId="0" borderId="97" xfId="0" applyFont="1" applyBorder="1" applyAlignment="1">
      <alignment horizontal="left" vertical="center"/>
    </xf>
    <xf numFmtId="3" fontId="12" fillId="4" borderId="69" xfId="0" applyNumberFormat="1" applyFont="1" applyFill="1" applyBorder="1" applyAlignment="1" applyProtection="1">
      <alignment horizontal="center"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11" fillId="4" borderId="69" xfId="0" applyNumberFormat="1" applyFont="1" applyFill="1" applyBorder="1" applyAlignment="1" applyProtection="1">
      <alignment horizontal="center"/>
      <protection locked="0"/>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1" fillId="0" borderId="69" xfId="0" applyFont="1" applyBorder="1" applyAlignment="1">
      <alignment horizontal="left" vertical="center"/>
    </xf>
    <xf numFmtId="0" fontId="11" fillId="0" borderId="68" xfId="0" applyFont="1" applyBorder="1" applyAlignment="1">
      <alignment horizontal="right" vertical="center" indent="1"/>
    </xf>
    <xf numFmtId="0" fontId="11" fillId="0" borderId="95" xfId="0" applyFont="1" applyBorder="1" applyAlignment="1">
      <alignment horizontal="right" vertical="center" indent="1"/>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12" fillId="4" borderId="100" xfId="0" applyFont="1" applyFill="1" applyBorder="1" applyAlignment="1" applyProtection="1">
      <alignment horizontal="left" vertical="center"/>
      <protection locked="0"/>
    </xf>
    <xf numFmtId="0" fontId="12" fillId="4" borderId="105" xfId="0" applyFont="1" applyFill="1" applyBorder="1" applyAlignment="1" applyProtection="1">
      <alignment horizontal="left"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3" fontId="12" fillId="4" borderId="83" xfId="0" applyNumberFormat="1" applyFont="1" applyFill="1" applyBorder="1" applyAlignment="1" applyProtection="1">
      <alignment horizontal="center" vertical="center"/>
      <protection locked="0"/>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2" fillId="0" borderId="107" xfId="0" applyFont="1" applyBorder="1" applyAlignment="1">
      <alignment horizontal="left" vertical="center"/>
    </xf>
    <xf numFmtId="0" fontId="12" fillId="0" borderId="108" xfId="0" applyFont="1" applyBorder="1" applyAlignment="1">
      <alignment horizontal="left" vertical="center"/>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0" fontId="12" fillId="0" borderId="0" xfId="0" applyFont="1" applyAlignment="1" applyProtection="1">
      <alignment horizontal="right" vertical="center" indent="1"/>
      <protection hidden="1"/>
    </xf>
    <xf numFmtId="0" fontId="7" fillId="0" borderId="99" xfId="0" applyFont="1" applyBorder="1" applyAlignment="1">
      <alignment horizontal="left" vertical="center"/>
    </xf>
    <xf numFmtId="0" fontId="11" fillId="0" borderId="90" xfId="0" applyFont="1" applyBorder="1" applyAlignment="1">
      <alignment horizontal="left" vertical="center"/>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0" fontId="11" fillId="4" borderId="0" xfId="0" applyFont="1" applyFill="1" applyAlignment="1" applyProtection="1">
      <alignment horizontal="left"/>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left"/>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1" fillId="0" borderId="7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0" xfId="0" applyFont="1" applyBorder="1" applyAlignment="1">
      <alignment horizontal="left" vertical="center"/>
    </xf>
    <xf numFmtId="0" fontId="12" fillId="0" borderId="105" xfId="0" applyFont="1" applyBorder="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39" fillId="25" borderId="94" xfId="0" applyFont="1" applyFill="1" applyBorder="1" applyAlignment="1" applyProtection="1">
      <alignment horizontal="center" vertical="center"/>
      <protection hidden="1"/>
    </xf>
    <xf numFmtId="0" fontId="35" fillId="0" borderId="68" xfId="0" applyFont="1" applyBorder="1" applyAlignment="1">
      <alignment horizontal="center" vertical="center"/>
    </xf>
    <xf numFmtId="0" fontId="35" fillId="0" borderId="95" xfId="0" applyFont="1" applyBorder="1" applyAlignment="1">
      <alignment horizontal="center" vertical="center"/>
    </xf>
    <xf numFmtId="0" fontId="35" fillId="0" borderId="89" xfId="0" applyFont="1" applyBorder="1" applyAlignment="1">
      <alignment horizontal="center" vertical="center"/>
    </xf>
    <xf numFmtId="0" fontId="35" fillId="0" borderId="97" xfId="0" applyFont="1" applyBorder="1" applyAlignment="1">
      <alignment horizontal="center" vertical="center"/>
    </xf>
    <xf numFmtId="0" fontId="35" fillId="0" borderId="90" xfId="0" applyFont="1" applyBorder="1" applyAlignment="1">
      <alignment horizontal="center" vertical="center"/>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4" fontId="7" fillId="4" borderId="69"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7"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9" fontId="12" fillId="4" borderId="69" xfId="0" applyNumberFormat="1" applyFont="1" applyFill="1" applyBorder="1" applyAlignment="1" applyProtection="1">
      <alignment horizontal="center" vertical="center"/>
      <protection locked="0"/>
    </xf>
    <xf numFmtId="9" fontId="11" fillId="0" borderId="96" xfId="0" applyNumberFormat="1" applyFont="1" applyBorder="1" applyAlignment="1">
      <alignment horizontal="left" vertical="center"/>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0" borderId="0" xfId="0" applyFont="1" applyAlignment="1">
      <alignment horizontal="right" vertical="center" indent="1"/>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167" fontId="7" fillId="4" borderId="69" xfId="0" applyNumberFormat="1" applyFont="1" applyFill="1" applyBorder="1" applyAlignment="1" applyProtection="1">
      <alignment horizontal="center" vertical="center"/>
      <protection locked="0"/>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9" fontId="7" fillId="0" borderId="103" xfId="0" applyNumberFormat="1" applyFont="1" applyBorder="1" applyAlignment="1">
      <alignment horizontal="left" vertical="center"/>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 fontId="39" fillId="25" borderId="84" xfId="0" applyNumberFormat="1" applyFont="1" applyFill="1" applyBorder="1" applyAlignment="1">
      <alignment horizontal="center"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164" fontId="7" fillId="4" borderId="96" xfId="0" applyNumberFormat="1" applyFont="1" applyFill="1" applyBorder="1" applyAlignment="1" applyProtection="1">
      <alignment horizontal="center" vertical="center"/>
      <protection locked="0"/>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77" xfId="0" applyFont="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left"/>
    </xf>
    <xf numFmtId="0" fontId="48" fillId="2" borderId="0" xfId="0" applyFont="1" applyFill="1" applyAlignment="1">
      <alignment horizontal="left"/>
    </xf>
    <xf numFmtId="49" fontId="7" fillId="0" borderId="5" xfId="0" applyNumberFormat="1" applyFont="1" applyBorder="1" applyAlignment="1">
      <alignment horizontal="left" vertical="center"/>
    </xf>
    <xf numFmtId="0" fontId="7" fillId="0" borderId="5" xfId="0" applyFont="1" applyBorder="1" applyAlignment="1">
      <alignment horizontal="left" vertical="center"/>
    </xf>
    <xf numFmtId="0" fontId="7" fillId="0" borderId="3" xfId="0" applyFont="1" applyBorder="1" applyAlignment="1">
      <alignment horizontal="left" vertical="center"/>
    </xf>
    <xf numFmtId="49" fontId="7" fillId="0" borderId="3" xfId="0" applyNumberFormat="1" applyFont="1" applyBorder="1" applyAlignment="1">
      <alignment horizontal="left" vertical="center"/>
    </xf>
    <xf numFmtId="0" fontId="11" fillId="0" borderId="0" xfId="0" applyFont="1" applyAlignment="1">
      <alignment horizontal="right" vertical="center"/>
    </xf>
    <xf numFmtId="0" fontId="6" fillId="0" borderId="0" xfId="0" applyFont="1" applyAlignment="1" applyProtection="1">
      <alignment horizontal="center" vertical="center"/>
      <protection locked="0"/>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0" fontId="4" fillId="0" borderId="0" xfId="0" applyFont="1" applyAlignment="1">
      <alignment horizontal="center" wrapText="1"/>
    </xf>
    <xf numFmtId="0" fontId="59" fillId="0" borderId="0" xfId="0" applyFont="1" applyAlignment="1">
      <alignment horizontal="center" vertical="center"/>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0" fillId="0" borderId="0" xfId="0" applyFont="1" applyAlignment="1">
      <alignment horizontal="lef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50" fillId="28" borderId="110" xfId="0" applyNumberFormat="1" applyFont="1" applyFill="1" applyBorder="1" applyAlignment="1" applyProtection="1">
      <alignment horizontal="center" vertical="center"/>
      <protection locked="0"/>
    </xf>
    <xf numFmtId="3" fontId="50"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11" fillId="0" borderId="77" xfId="0" applyFont="1" applyBorder="1" applyAlignment="1" applyProtection="1">
      <alignment horizontal="left" vertical="center"/>
      <protection hidden="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left" vertical="center"/>
    </xf>
    <xf numFmtId="0" fontId="11" fillId="8" borderId="97" xfId="0" applyFont="1" applyFill="1" applyBorder="1" applyAlignment="1">
      <alignment horizontal="left"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14" fontId="0" fillId="0" borderId="0" xfId="0" applyNumberFormat="1" applyAlignment="1">
      <alignment horizontal="left"/>
    </xf>
    <xf numFmtId="0" fontId="6" fillId="0" borderId="0" xfId="0" applyFont="1" applyAlignment="1">
      <alignment horizontal="center" vertical="center"/>
    </xf>
    <xf numFmtId="0" fontId="6" fillId="27" borderId="48" xfId="0" applyFont="1" applyFill="1" applyBorder="1" applyAlignment="1">
      <alignment horizontal="left" vertical="center"/>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xf numFmtId="0" fontId="11" fillId="0" borderId="0" xfId="0" applyFont="1" applyAlignment="1">
      <alignment horizontal="left" wrapText="1"/>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0152A1"/>
      <color rgb="FFCCFF99"/>
      <color rgb="FF66FF33"/>
      <color rgb="FFFFC000"/>
      <color rgb="FFC1E3DC"/>
      <color rgb="FFFFFFCC"/>
      <color rgb="FFFFFF99"/>
      <color rgb="FFFFFF66"/>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1. Ekonomikalkyl'!A1"/><Relationship Id="rId1" Type="http://schemas.openxmlformats.org/officeDocument/2006/relationships/image" Target="../media/image1.jpg"/><Relationship Id="rId6" Type="http://schemas.openxmlformats.org/officeDocument/2006/relationships/image" Target="../media/image4.png"/><Relationship Id="rId5" Type="http://schemas.openxmlformats.org/officeDocument/2006/relationships/image" Target="../media/image3.png"/><Relationship Id="rId4" Type="http://schemas.openxmlformats.org/officeDocument/2006/relationships/hyperlink" Target="#'3. Ekonomikalkyl ingen moms'!A1"/></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hyperlink" Target="#'2. Kassabudget'!A1"/></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Ekonomikalkyl'!A1"/></Relationships>
</file>

<file path=xl/drawings/_rels/drawing4.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hyperlink" Target="#'4. Kassabudjetti ei alv'!A1"/><Relationship Id="rId1" Type="http://schemas.openxmlformats.org/officeDocument/2006/relationships/hyperlink" Target="#'4. Kassabudget ingen moms'!A1"/><Relationship Id="rId4" Type="http://schemas.openxmlformats.org/officeDocument/2006/relationships/image" Target="../media/image9.jpeg"/></Relationships>
</file>

<file path=xl/drawings/_rels/drawing5.xml.rels><?xml version="1.0" encoding="UTF-8" standalone="yes"?>
<Relationships xmlns="http://schemas.openxmlformats.org/package/2006/relationships"><Relationship Id="rId2" Type="http://schemas.openxmlformats.org/officeDocument/2006/relationships/image" Target="../media/image10.jpeg"/><Relationship Id="rId1" Type="http://schemas.openxmlformats.org/officeDocument/2006/relationships/hyperlink" Target="#'3. Ekonomikalkyl ingen moms'!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20954</xdr:rowOff>
    </xdr:from>
    <xdr:to>
      <xdr:col>7</xdr:col>
      <xdr:colOff>591366</xdr:colOff>
      <xdr:row>34</xdr:row>
      <xdr:rowOff>20956</xdr:rowOff>
    </xdr:to>
    <xdr:pic>
      <xdr:nvPicPr>
        <xdr:cNvPr id="19" name="Kuva 18">
          <a:extLst>
            <a:ext uri="{FF2B5EF4-FFF2-40B4-BE49-F238E27FC236}">
              <a16:creationId xmlns:a16="http://schemas.microsoft.com/office/drawing/2014/main" id="{02644E75-F29C-2BE1-FB3A-E517822706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0954"/>
          <a:ext cx="7645581" cy="5836922"/>
        </a:xfrm>
        <a:prstGeom prst="rect">
          <a:avLst/>
        </a:prstGeom>
      </xdr:spPr>
    </xdr:pic>
    <xdr:clientData/>
  </xdr:twoCellAnchor>
  <xdr:twoCellAnchor>
    <xdr:from>
      <xdr:col>2</xdr:col>
      <xdr:colOff>68623</xdr:colOff>
      <xdr:row>3</xdr:row>
      <xdr:rowOff>69041</xdr:rowOff>
    </xdr:from>
    <xdr:to>
      <xdr:col>5</xdr:col>
      <xdr:colOff>623522</xdr:colOff>
      <xdr:row>5</xdr:row>
      <xdr:rowOff>140185</xdr:rowOff>
    </xdr:to>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1725973" y="554816"/>
          <a:ext cx="3698149" cy="394994"/>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400" b="1" i="0">
              <a:solidFill>
                <a:schemeClr val="lt1"/>
              </a:solidFill>
              <a:effectLst/>
              <a:latin typeface="+mn-lt"/>
              <a:ea typeface="+mn-ea"/>
              <a:cs typeface="+mn-cs"/>
            </a:rPr>
            <a:t>FT4 NYFÖRETAGETS EKONOMIPLAN</a:t>
          </a:r>
          <a:endParaRPr lang="fi-FI" sz="1100"/>
        </a:p>
      </xdr:txBody>
    </xdr:sp>
    <xdr:clientData/>
  </xdr:twoCellAnchor>
  <xdr:twoCellAnchor>
    <xdr:from>
      <xdr:col>0</xdr:col>
      <xdr:colOff>364253</xdr:colOff>
      <xdr:row>7</xdr:row>
      <xdr:rowOff>120787</xdr:rowOff>
    </xdr:from>
    <xdr:to>
      <xdr:col>3</xdr:col>
      <xdr:colOff>946424</xdr:colOff>
      <xdr:row>32</xdr:row>
      <xdr:rowOff>14979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364253" y="1249133"/>
          <a:ext cx="3285806" cy="3924000"/>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92529</xdr:colOff>
      <xdr:row>7</xdr:row>
      <xdr:rowOff>117230</xdr:rowOff>
    </xdr:from>
    <xdr:to>
      <xdr:col>7</xdr:col>
      <xdr:colOff>217500</xdr:colOff>
      <xdr:row>32</xdr:row>
      <xdr:rowOff>11422</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843914" y="1245576"/>
          <a:ext cx="3268221" cy="3924000"/>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90646</xdr:colOff>
      <xdr:row>8</xdr:row>
      <xdr:rowOff>129164</xdr:rowOff>
    </xdr:from>
    <xdr:to>
      <xdr:col>7</xdr:col>
      <xdr:colOff>199503</xdr:colOff>
      <xdr:row>11</xdr:row>
      <xdr:rowOff>47521</xdr:rowOff>
    </xdr:to>
    <xdr:sp macro="" textlink="">
      <xdr:nvSpPr>
        <xdr:cNvPr id="9" name="Tekstiruutu 8">
          <a:extLst>
            <a:ext uri="{FF2B5EF4-FFF2-40B4-BE49-F238E27FC236}">
              <a16:creationId xmlns:a16="http://schemas.microsoft.com/office/drawing/2014/main" id="{7635CD57-7AC1-4BFE-81DB-7F73A70B3426}"/>
            </a:ext>
          </a:extLst>
        </xdr:cNvPr>
        <xdr:cNvSpPr txBox="1"/>
      </xdr:nvSpPr>
      <xdr:spPr>
        <a:xfrm>
          <a:off x="3842031" y="1418702"/>
          <a:ext cx="3252107" cy="4019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MOMSFRIA FÖRETAG</a:t>
          </a:r>
        </a:p>
      </xdr:txBody>
    </xdr:sp>
    <xdr:clientData/>
  </xdr:twoCellAnchor>
  <xdr:twoCellAnchor>
    <xdr:from>
      <xdr:col>4</xdr:col>
      <xdr:colOff>114090</xdr:colOff>
      <xdr:row>10</xdr:row>
      <xdr:rowOff>37891</xdr:rowOff>
    </xdr:from>
    <xdr:to>
      <xdr:col>7</xdr:col>
      <xdr:colOff>197827</xdr:colOff>
      <xdr:row>28</xdr:row>
      <xdr:rowOff>73269</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865475" y="1649814"/>
          <a:ext cx="3226987" cy="29368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Arial" panose="020B0604020202020204" pitchFamily="34" charset="0"/>
            <a:buChar char="•"/>
          </a:pPr>
          <a:endParaRPr lang="fi-FI" b="1"/>
        </a:p>
        <a:p>
          <a:pPr marL="171450" indent="-171450">
            <a:buFont typeface="Arial" panose="020B0604020202020204" pitchFamily="34" charset="0"/>
            <a:buChar char="•"/>
          </a:pPr>
          <a:r>
            <a:rPr lang="fi-FI" b="1"/>
            <a:t>Företagsomsättning mindre än 20 000 euro per kalenderår</a:t>
          </a:r>
        </a:p>
        <a:p>
          <a:pPr marL="171450" indent="-171450">
            <a:buFont typeface="Arial" panose="020B0604020202020204" pitchFamily="34" charset="0"/>
            <a:buChar char="•"/>
          </a:pPr>
          <a:r>
            <a:rPr lang="fi-FI" b="1"/>
            <a:t>hälso- och sjukvård, socialvård</a:t>
          </a:r>
        </a:p>
        <a:p>
          <a:pPr marL="171450" indent="-171450">
            <a:buFont typeface="Arial" panose="020B0604020202020204" pitchFamily="34" charset="0"/>
            <a:buChar char="•"/>
          </a:pPr>
          <a:r>
            <a:rPr lang="fi-FI" b="1"/>
            <a:t>allmänbildande utbildning och yrkesutbildning, högskoleutbildning och grundläggande konstutbildning</a:t>
          </a:r>
        </a:p>
        <a:p>
          <a:pPr marL="171450" indent="-171450">
            <a:buFont typeface="Arial" panose="020B0604020202020204" pitchFamily="34" charset="0"/>
            <a:buChar char="•"/>
          </a:pPr>
          <a:r>
            <a:rPr lang="fi-FI" b="1"/>
            <a:t>finansiella tjänster och försäkringstjänster</a:t>
          </a:r>
        </a:p>
        <a:p>
          <a:pPr marL="171450" indent="-171450">
            <a:buFont typeface="Arial" panose="020B0604020202020204" pitchFamily="34" charset="0"/>
            <a:buChar char="•"/>
          </a:pPr>
          <a:r>
            <a:rPr lang="fi-FI" b="1"/>
            <a:t>vissa honorar och</a:t>
          </a:r>
          <a:r>
            <a:rPr lang="fi-FI" b="1" baseline="0"/>
            <a:t> </a:t>
          </a:r>
          <a:r>
            <a:rPr lang="fi-FI" b="1"/>
            <a:t>upphovsrätter</a:t>
          </a:r>
        </a:p>
        <a:p>
          <a:pPr marL="171450" indent="-171450">
            <a:buFont typeface="Arial" panose="020B0604020202020204" pitchFamily="34" charset="0"/>
            <a:buChar char="•"/>
          </a:pPr>
          <a:r>
            <a:rPr lang="fi-FI" b="1"/>
            <a:t>försäljning och uthyrning av fastigheter och aktielägenheter</a:t>
          </a:r>
        </a:p>
        <a:p>
          <a:pPr marL="171450" indent="-171450">
            <a:buFont typeface="Arial" panose="020B0604020202020204" pitchFamily="34" charset="0"/>
            <a:buChar char="•"/>
          </a:pPr>
          <a:r>
            <a:rPr lang="fi-FI" b="1"/>
            <a:t>allmänna posttjänster</a:t>
          </a:r>
        </a:p>
        <a:p>
          <a:pPr marL="171450" indent="-171450">
            <a:buFont typeface="Arial" panose="020B0604020202020204" pitchFamily="34" charset="0"/>
            <a:buChar char="•"/>
          </a:pPr>
          <a:r>
            <a:rPr lang="fi-FI" b="1"/>
            <a:t>vissa andra varor och tjänster (exempelvis arrangemang av lotterier)</a:t>
          </a:r>
        </a:p>
        <a:p>
          <a:pPr marL="171450" indent="-171450" algn="l">
            <a:buFont typeface="Arial" panose="020B0604020202020204" pitchFamily="34" charset="0"/>
            <a:buChar char="•"/>
          </a:pPr>
          <a:endParaRPr lang="fi-FI" sz="1100" b="1"/>
        </a:p>
      </xdr:txBody>
    </xdr:sp>
    <xdr:clientData/>
  </xdr:twoCellAnchor>
  <xdr:twoCellAnchor>
    <xdr:from>
      <xdr:col>0</xdr:col>
      <xdr:colOff>408111</xdr:colOff>
      <xdr:row>8</xdr:row>
      <xdr:rowOff>127511</xdr:rowOff>
    </xdr:from>
    <xdr:to>
      <xdr:col>3</xdr:col>
      <xdr:colOff>915865</xdr:colOff>
      <xdr:row>11</xdr:row>
      <xdr:rowOff>102202</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408111" y="1417049"/>
          <a:ext cx="3211389" cy="4582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SMÅFÖRETAG</a:t>
          </a:r>
        </a:p>
      </xdr:txBody>
    </xdr:sp>
    <xdr:clientData/>
  </xdr:twoCellAnchor>
  <xdr:twoCellAnchor editAs="oneCell">
    <xdr:from>
      <xdr:col>1</xdr:col>
      <xdr:colOff>814273</xdr:colOff>
      <xdr:row>22</xdr:row>
      <xdr:rowOff>8999</xdr:rowOff>
    </xdr:from>
    <xdr:to>
      <xdr:col>2</xdr:col>
      <xdr:colOff>850138</xdr:colOff>
      <xdr:row>28</xdr:row>
      <xdr:rowOff>132299</xdr:rowOff>
    </xdr:to>
    <xdr:pic>
      <xdr:nvPicPr>
        <xdr:cNvPr id="16" name="Kuva 39" descr="C:\Users\Henri\AppData\Local\Microsoft\Windows\Temporary Internet Files\Content.IE5\9ZN2D3X7\MC900432666[1].png">
          <a:hlinkClick xmlns:r="http://schemas.openxmlformats.org/officeDocument/2006/relationships" r:id="rId2"/>
          <a:extLst>
            <a:ext uri="{FF2B5EF4-FFF2-40B4-BE49-F238E27FC236}">
              <a16:creationId xmlns:a16="http://schemas.microsoft.com/office/drawing/2014/main" id="{ED483525-0533-43FE-9009-32E6ECC1C6B8}"/>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22408" y="3555230"/>
          <a:ext cx="1083615" cy="1090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63224</xdr:colOff>
      <xdr:row>25</xdr:row>
      <xdr:rowOff>67889</xdr:rowOff>
    </xdr:from>
    <xdr:to>
      <xdr:col>6</xdr:col>
      <xdr:colOff>106709</xdr:colOff>
      <xdr:row>32</xdr:row>
      <xdr:rowOff>29997</xdr:rowOff>
    </xdr:to>
    <xdr:pic>
      <xdr:nvPicPr>
        <xdr:cNvPr id="17" name="Kuva 39" descr="C:\Users\Henri\AppData\Local\Microsoft\Windows\Temporary Internet Files\Content.IE5\9ZN2D3X7\MC900432666[1].png">
          <a:hlinkClick xmlns:r="http://schemas.openxmlformats.org/officeDocument/2006/relationships" r:id="rId4"/>
          <a:extLst>
            <a:ext uri="{FF2B5EF4-FFF2-40B4-BE49-F238E27FC236}">
              <a16:creationId xmlns:a16="http://schemas.microsoft.com/office/drawing/2014/main" id="{534B7B0A-4C98-49FD-88BC-52DB31401F87}"/>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62359" y="4097697"/>
          <a:ext cx="1091235" cy="1090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585944</xdr:colOff>
      <xdr:row>12</xdr:row>
      <xdr:rowOff>101949</xdr:rowOff>
    </xdr:from>
    <xdr:to>
      <xdr:col>3</xdr:col>
      <xdr:colOff>830873</xdr:colOff>
      <xdr:row>21</xdr:row>
      <xdr:rowOff>117233</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85944" y="2036257"/>
          <a:ext cx="2948564" cy="1466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a:t>Färre än tre anställda</a:t>
          </a:r>
        </a:p>
        <a:p>
          <a:pPr marL="171450" indent="-171450" algn="l">
            <a:lnSpc>
              <a:spcPts val="1500"/>
            </a:lnSpc>
            <a:buFont typeface="Arial" panose="020B0604020202020204" pitchFamily="34" charset="0"/>
            <a:buChar char="•"/>
          </a:pPr>
          <a:r>
            <a:rPr lang="fi-FI" b="1"/>
            <a:t>Försäljning: färre än sju tjänster och färre än sex produkter</a:t>
          </a:r>
        </a:p>
        <a:p>
          <a:pPr marL="171450" indent="-171450" algn="l">
            <a:lnSpc>
              <a:spcPts val="1500"/>
            </a:lnSpc>
            <a:buFont typeface="Arial" panose="020B0604020202020204" pitchFamily="34" charset="0"/>
            <a:buChar char="•"/>
          </a:pPr>
          <a:r>
            <a:rPr lang="fi-FI" b="1"/>
            <a:t>Beräkna större företag med YT5- eller YT6-Kalkylerings</a:t>
          </a: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editAs="oneCell">
    <xdr:from>
      <xdr:col>0</xdr:col>
      <xdr:colOff>550693</xdr:colOff>
      <xdr:row>3</xdr:row>
      <xdr:rowOff>119135</xdr:rowOff>
    </xdr:from>
    <xdr:to>
      <xdr:col>1</xdr:col>
      <xdr:colOff>974855</xdr:colOff>
      <xdr:row>5</xdr:row>
      <xdr:rowOff>119823</xdr:rowOff>
    </xdr:to>
    <xdr:pic>
      <xdr:nvPicPr>
        <xdr:cNvPr id="23" name="Kuva 22">
          <a:extLst>
            <a:ext uri="{FF2B5EF4-FFF2-40B4-BE49-F238E27FC236}">
              <a16:creationId xmlns:a16="http://schemas.microsoft.com/office/drawing/2014/main" id="{E56F2465-3CAB-3FC8-0279-FCEE9555DB9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50693" y="602712"/>
          <a:ext cx="1032297" cy="323073"/>
        </a:xfrm>
        <a:prstGeom prst="rect">
          <a:avLst/>
        </a:prstGeom>
      </xdr:spPr>
    </xdr:pic>
    <xdr:clientData/>
  </xdr:twoCellAnchor>
  <xdr:twoCellAnchor editAs="oneCell">
    <xdr:from>
      <xdr:col>2</xdr:col>
      <xdr:colOff>662609</xdr:colOff>
      <xdr:row>35</xdr:row>
      <xdr:rowOff>16566</xdr:rowOff>
    </xdr:from>
    <xdr:to>
      <xdr:col>5</xdr:col>
      <xdr:colOff>332437</xdr:colOff>
      <xdr:row>38</xdr:row>
      <xdr:rowOff>25578</xdr:rowOff>
    </xdr:to>
    <xdr:pic>
      <xdr:nvPicPr>
        <xdr:cNvPr id="12" name="Kuva 11">
          <a:extLst>
            <a:ext uri="{FF2B5EF4-FFF2-40B4-BE49-F238E27FC236}">
              <a16:creationId xmlns:a16="http://schemas.microsoft.com/office/drawing/2014/main" id="{1A6796D2-AEFC-2788-416D-D6801DBC8DC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327413" y="5814392"/>
          <a:ext cx="2825502" cy="50596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221253</xdr:colOff>
      <xdr:row>1</xdr:row>
      <xdr:rowOff>292008</xdr:rowOff>
    </xdr:from>
    <xdr:to>
      <xdr:col>16</xdr:col>
      <xdr:colOff>342901</xdr:colOff>
      <xdr:row>2</xdr:row>
      <xdr:rowOff>133032</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5B61ECAC-BF04-41B7-A049-0969E6BC18F1}"/>
            </a:ext>
          </a:extLst>
        </xdr:cNvPr>
        <xdr:cNvSpPr/>
      </xdr:nvSpPr>
      <xdr:spPr>
        <a:xfrm>
          <a:off x="8460378" y="463458"/>
          <a:ext cx="1169398" cy="355374"/>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KASSABUDGET</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1"/>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KASSABUDGET</a:t>
          </a:r>
        </a:p>
      </xdr:txBody>
    </xdr:sp>
    <xdr:clientData fPrintsWithSheet="0"/>
  </xdr:twoCellAnchor>
  <xdr:twoCellAnchor editAs="oneCell">
    <xdr:from>
      <xdr:col>11</xdr:col>
      <xdr:colOff>265496</xdr:colOff>
      <xdr:row>223</xdr:row>
      <xdr:rowOff>102872</xdr:rowOff>
    </xdr:from>
    <xdr:to>
      <xdr:col>13</xdr:col>
      <xdr:colOff>28575</xdr:colOff>
      <xdr:row>225</xdr:row>
      <xdr:rowOff>59055</xdr:rowOff>
    </xdr:to>
    <xdr:pic>
      <xdr:nvPicPr>
        <xdr:cNvPr id="5" name="Kuva 4">
          <a:extLst>
            <a:ext uri="{FF2B5EF4-FFF2-40B4-BE49-F238E27FC236}">
              <a16:creationId xmlns:a16="http://schemas.microsoft.com/office/drawing/2014/main" id="{D17C2EB0-F9D2-8065-E13F-1481A23B45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209221" y="35383472"/>
          <a:ext cx="896554" cy="304798"/>
        </a:xfrm>
        <a:prstGeom prst="rect">
          <a:avLst/>
        </a:prstGeom>
      </xdr:spPr>
    </xdr:pic>
    <xdr:clientData/>
  </xdr:twoCellAnchor>
  <xdr:twoCellAnchor editAs="oneCell">
    <xdr:from>
      <xdr:col>2</xdr:col>
      <xdr:colOff>40005</xdr:colOff>
      <xdr:row>1</xdr:row>
      <xdr:rowOff>59056</xdr:rowOff>
    </xdr:from>
    <xdr:to>
      <xdr:col>3</xdr:col>
      <xdr:colOff>859155</xdr:colOff>
      <xdr:row>1</xdr:row>
      <xdr:rowOff>402072</xdr:rowOff>
    </xdr:to>
    <xdr:pic>
      <xdr:nvPicPr>
        <xdr:cNvPr id="7" name="Kuva 6">
          <a:extLst>
            <a:ext uri="{FF2B5EF4-FFF2-40B4-BE49-F238E27FC236}">
              <a16:creationId xmlns:a16="http://schemas.microsoft.com/office/drawing/2014/main" id="{9E21BDB1-5527-6128-8A46-5583292ECB3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30580" y="230506"/>
          <a:ext cx="1043940" cy="34682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17</xdr:col>
      <xdr:colOff>76200</xdr:colOff>
      <xdr:row>0</xdr:row>
      <xdr:rowOff>87629</xdr:rowOff>
    </xdr:from>
    <xdr:to>
      <xdr:col>19</xdr:col>
      <xdr:colOff>16999</xdr:colOff>
      <xdr:row>2</xdr:row>
      <xdr:rowOff>92133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268200" y="87629"/>
          <a:ext cx="1436224" cy="347404"/>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EKONOMIKALKYL</a:t>
          </a:r>
        </a:p>
      </xdr:txBody>
    </xdr:sp>
    <xdr:clientData/>
  </xdr:twoCellAnchor>
  <xdr:twoCellAnchor editAs="oneCell">
    <xdr:from>
      <xdr:col>17</xdr:col>
      <xdr:colOff>464821</xdr:colOff>
      <xdr:row>3</xdr:row>
      <xdr:rowOff>63571</xdr:rowOff>
    </xdr:from>
    <xdr:to>
      <xdr:col>18</xdr:col>
      <xdr:colOff>701041</xdr:colOff>
      <xdr:row>5</xdr:row>
      <xdr:rowOff>53720</xdr:rowOff>
    </xdr:to>
    <xdr:pic>
      <xdr:nvPicPr>
        <xdr:cNvPr id="5" name="Kuva 4">
          <a:extLst>
            <a:ext uri="{FF2B5EF4-FFF2-40B4-BE49-F238E27FC236}">
              <a16:creationId xmlns:a16="http://schemas.microsoft.com/office/drawing/2014/main" id="{B6E67915-7D76-E24A-B794-2A103777CF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656821" y="577921"/>
          <a:ext cx="969645" cy="3368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217443</xdr:colOff>
      <xdr:row>1</xdr:row>
      <xdr:rowOff>284388</xdr:rowOff>
    </xdr:from>
    <xdr:to>
      <xdr:col>16</xdr:col>
      <xdr:colOff>125730</xdr:colOff>
      <xdr:row>3</xdr:row>
      <xdr:rowOff>47625</xdr:rowOff>
    </xdr:to>
    <xdr:sp macro="" textlink="">
      <xdr:nvSpPr>
        <xdr:cNvPr id="9" name="Rectangle: Rounded Corners 2">
          <a:hlinkClick xmlns:r="http://schemas.openxmlformats.org/officeDocument/2006/relationships" r:id="rId1"/>
          <a:extLst>
            <a:ext uri="{FF2B5EF4-FFF2-40B4-BE49-F238E27FC236}">
              <a16:creationId xmlns:a16="http://schemas.microsoft.com/office/drawing/2014/main" id="{69CA878C-9D77-465B-9E88-8B00562FE791}"/>
            </a:ext>
          </a:extLst>
        </xdr:cNvPr>
        <xdr:cNvSpPr/>
      </xdr:nvSpPr>
      <xdr:spPr>
        <a:xfrm>
          <a:off x="8589918" y="455838"/>
          <a:ext cx="1184637" cy="287112"/>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KASSABUDGET</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38100</xdr:colOff>
      <xdr:row>1</xdr:row>
      <xdr:rowOff>38100</xdr:rowOff>
    </xdr:from>
    <xdr:to>
      <xdr:col>3</xdr:col>
      <xdr:colOff>892302</xdr:colOff>
      <xdr:row>1</xdr:row>
      <xdr:rowOff>402336</xdr:rowOff>
    </xdr:to>
    <xdr:pic>
      <xdr:nvPicPr>
        <xdr:cNvPr id="11" name="Kuva 10">
          <a:extLst>
            <a:ext uri="{FF2B5EF4-FFF2-40B4-BE49-F238E27FC236}">
              <a16:creationId xmlns:a16="http://schemas.microsoft.com/office/drawing/2014/main" id="{FA748755-4855-E0BC-693A-36CABF84C11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8675" y="209550"/>
          <a:ext cx="1082802" cy="364236"/>
        </a:xfrm>
        <a:prstGeom prst="rect">
          <a:avLst/>
        </a:prstGeom>
      </xdr:spPr>
    </xdr:pic>
    <xdr:clientData/>
  </xdr:twoCellAnchor>
  <xdr:twoCellAnchor editAs="oneCell">
    <xdr:from>
      <xdr:col>11</xdr:col>
      <xdr:colOff>174916</xdr:colOff>
      <xdr:row>223</xdr:row>
      <xdr:rowOff>78104</xdr:rowOff>
    </xdr:from>
    <xdr:to>
      <xdr:col>12</xdr:col>
      <xdr:colOff>720851</xdr:colOff>
      <xdr:row>225</xdr:row>
      <xdr:rowOff>72770</xdr:rowOff>
    </xdr:to>
    <xdr:pic>
      <xdr:nvPicPr>
        <xdr:cNvPr id="12" name="Kuva 11">
          <a:extLst>
            <a:ext uri="{FF2B5EF4-FFF2-40B4-BE49-F238E27FC236}">
              <a16:creationId xmlns:a16="http://schemas.microsoft.com/office/drawing/2014/main" id="{BAC9A412-50FF-E00A-0E63-72B579C32E1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51991" y="34596704"/>
          <a:ext cx="984085" cy="33756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EKONOMIKALKYL</a:t>
          </a:r>
        </a:p>
      </xdr:txBody>
    </xdr:sp>
    <xdr:clientData/>
  </xdr:twoCellAnchor>
  <xdr:twoCellAnchor editAs="oneCell">
    <xdr:from>
      <xdr:col>17</xdr:col>
      <xdr:colOff>571501</xdr:colOff>
      <xdr:row>3</xdr:row>
      <xdr:rowOff>87187</xdr:rowOff>
    </xdr:from>
    <xdr:to>
      <xdr:col>19</xdr:col>
      <xdr:colOff>0</xdr:colOff>
      <xdr:row>5</xdr:row>
      <xdr:rowOff>57531</xdr:rowOff>
    </xdr:to>
    <xdr:pic>
      <xdr:nvPicPr>
        <xdr:cNvPr id="4" name="Kuva 3">
          <a:extLst>
            <a:ext uri="{FF2B5EF4-FFF2-40B4-BE49-F238E27FC236}">
              <a16:creationId xmlns:a16="http://schemas.microsoft.com/office/drawing/2014/main" id="{04868564-23D2-27F4-F700-34F51787C0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82551" y="601537"/>
          <a:ext cx="895350" cy="309434"/>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6:I43"/>
  <sheetViews>
    <sheetView showGridLines="0" showZeros="0" tabSelected="1" zoomScale="115" zoomScaleNormal="115" workbookViewId="0">
      <selection activeCell="I45" sqref="I45"/>
    </sheetView>
  </sheetViews>
  <sheetFormatPr defaultRowHeight="12.75" x14ac:dyDescent="0.2"/>
  <cols>
    <col min="2" max="12" width="15.7109375" customWidth="1"/>
  </cols>
  <sheetData>
    <row r="36" spans="2:9" x14ac:dyDescent="0.2">
      <c r="G36" s="995">
        <v>46092</v>
      </c>
    </row>
    <row r="37" spans="2:9" x14ac:dyDescent="0.2">
      <c r="B37" s="938"/>
      <c r="C37" s="938"/>
      <c r="D37" s="938"/>
      <c r="E37" s="938"/>
      <c r="F37" s="938"/>
      <c r="G37" s="938"/>
      <c r="H37" s="938"/>
      <c r="I37" s="938"/>
    </row>
    <row r="38" spans="2:9" x14ac:dyDescent="0.2">
      <c r="B38" s="938"/>
      <c r="C38" s="938"/>
      <c r="D38" s="938"/>
      <c r="E38" s="938"/>
      <c r="F38" s="938"/>
      <c r="G38" s="938"/>
      <c r="I38" s="938"/>
    </row>
    <row r="39" spans="2:9" x14ac:dyDescent="0.2">
      <c r="B39" s="1035"/>
      <c r="C39" s="938"/>
      <c r="D39" s="938"/>
      <c r="E39" s="938"/>
      <c r="F39" s="938"/>
      <c r="G39" s="938"/>
      <c r="H39" s="938"/>
      <c r="I39" s="938"/>
    </row>
    <row r="40" spans="2:9" x14ac:dyDescent="0.2">
      <c r="B40" s="1035"/>
      <c r="C40" s="938"/>
      <c r="D40" s="938"/>
      <c r="E40" s="1036" t="s">
        <v>573</v>
      </c>
      <c r="F40" s="1036"/>
      <c r="G40" s="1036"/>
      <c r="H40" s="1036"/>
      <c r="I40" s="938"/>
    </row>
    <row r="41" spans="2:9" x14ac:dyDescent="0.2">
      <c r="B41" s="938"/>
      <c r="C41" s="938"/>
      <c r="D41" s="938"/>
      <c r="E41" s="938"/>
      <c r="F41" s="938"/>
      <c r="G41" s="938"/>
      <c r="H41" s="938"/>
      <c r="I41" s="938"/>
    </row>
    <row r="42" spans="2:9" x14ac:dyDescent="0.2">
      <c r="B42" s="938"/>
      <c r="C42" s="938"/>
      <c r="D42" s="938"/>
      <c r="E42" s="938"/>
      <c r="F42" s="938"/>
      <c r="G42" s="938"/>
      <c r="H42" s="938"/>
      <c r="I42" s="938"/>
    </row>
    <row r="43" spans="2:9" x14ac:dyDescent="0.2">
      <c r="B43" s="938"/>
      <c r="C43" s="938"/>
      <c r="D43" s="938"/>
      <c r="E43" s="938"/>
      <c r="F43" s="938"/>
      <c r="G43" s="938"/>
      <c r="H43" s="938"/>
      <c r="I43" s="938"/>
    </row>
  </sheetData>
  <sheetProtection algorithmName="SHA-512" hashValue="PipfIWZkeLmNyFJfZH2BjYHuN1lpjEug3yFnWe4o/XyVSaOhMUB4RfzGAlF1DDFWt9/0bphRbr/wQpt6kkfHiA==" saltValue="cqtEUYHrRfX84htk1fgzXw=="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election activeCell="P40" sqref="P40"/>
    </sheetView>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44</v>
      </c>
      <c r="L1" s="38"/>
      <c r="M1" s="38"/>
      <c r="N1" s="38"/>
      <c r="O1" s="38"/>
      <c r="P1" s="39"/>
    </row>
    <row r="2" spans="1:38" s="22" customFormat="1" ht="11.25" x14ac:dyDescent="0.2">
      <c r="A2" s="46"/>
      <c r="B2" s="46"/>
      <c r="C2" s="46"/>
      <c r="D2" s="46"/>
      <c r="E2" s="46"/>
      <c r="F2" s="46"/>
      <c r="G2" s="46"/>
      <c r="H2" s="46"/>
      <c r="I2" s="46"/>
      <c r="J2" s="40"/>
      <c r="K2" s="35" t="s">
        <v>45</v>
      </c>
      <c r="L2" s="41">
        <f>'1. Ekonomikalkyl'!J16/12</f>
        <v>0</v>
      </c>
      <c r="P2" s="42"/>
    </row>
    <row r="3" spans="1:38" s="22" customFormat="1" ht="11.25" x14ac:dyDescent="0.2">
      <c r="A3" s="46"/>
      <c r="B3" s="47"/>
      <c r="C3" s="48" t="s">
        <v>6</v>
      </c>
      <c r="D3" s="49"/>
      <c r="E3" s="50"/>
      <c r="F3" s="51">
        <f>G40+G41</f>
        <v>0</v>
      </c>
      <c r="G3" s="51">
        <f>F3-F5</f>
        <v>0</v>
      </c>
      <c r="H3" s="51">
        <f>G3-G5</f>
        <v>0</v>
      </c>
      <c r="I3" s="52"/>
      <c r="J3" s="40"/>
      <c r="K3" s="22" t="s">
        <v>46</v>
      </c>
      <c r="L3" s="22">
        <f>'1. Ekonomikalkyl'!K16*12</f>
        <v>0</v>
      </c>
      <c r="P3" s="42"/>
    </row>
    <row r="4" spans="1:38" s="22" customFormat="1" ht="11.25" x14ac:dyDescent="0.2">
      <c r="A4" s="46"/>
      <c r="B4" s="47"/>
      <c r="C4" s="48" t="s">
        <v>7</v>
      </c>
      <c r="D4" s="49"/>
      <c r="E4" s="50"/>
      <c r="F4" s="260">
        <v>7.0000000000000007E-2</v>
      </c>
      <c r="G4" s="260">
        <v>7.0000000000000007E-2</v>
      </c>
      <c r="H4" s="260">
        <v>7.0000000000000007E-2</v>
      </c>
      <c r="I4" s="261"/>
      <c r="J4" s="40"/>
      <c r="K4" s="22" t="s">
        <v>18</v>
      </c>
      <c r="L4" s="43">
        <f>'1. Ekonomikalkyl'!M16</f>
        <v>0</v>
      </c>
      <c r="P4" s="42"/>
    </row>
    <row r="5" spans="1:38" s="22" customFormat="1" ht="11.25" x14ac:dyDescent="0.2">
      <c r="A5" s="46"/>
      <c r="B5" s="47"/>
      <c r="C5" s="48" t="s">
        <v>13</v>
      </c>
      <c r="D5" s="49"/>
      <c r="E5" s="50"/>
      <c r="F5" s="51">
        <f>F3*F4</f>
        <v>0</v>
      </c>
      <c r="G5" s="51">
        <f>G3*G4</f>
        <v>0</v>
      </c>
      <c r="H5" s="51">
        <f>H3*H4</f>
        <v>0</v>
      </c>
      <c r="I5" s="52"/>
      <c r="J5" s="40"/>
      <c r="K5" s="22" t="s">
        <v>47</v>
      </c>
      <c r="L5" s="44">
        <f>IF(L2=0,0,-PMT(L2,L3,L4)*12)</f>
        <v>0</v>
      </c>
      <c r="P5" s="42"/>
    </row>
    <row r="6" spans="1:38" s="22" customFormat="1" ht="11.25" x14ac:dyDescent="0.2">
      <c r="A6" s="46"/>
      <c r="B6" s="47"/>
      <c r="C6" s="48" t="s">
        <v>11</v>
      </c>
      <c r="D6" s="49"/>
      <c r="E6" s="50"/>
      <c r="F6" s="51">
        <f>F3-F5</f>
        <v>0</v>
      </c>
      <c r="G6" s="51">
        <f>G3-G5</f>
        <v>0</v>
      </c>
      <c r="H6" s="51">
        <f>H3-H5</f>
        <v>0</v>
      </c>
      <c r="I6" s="52"/>
      <c r="K6" s="22" t="s">
        <v>95</v>
      </c>
      <c r="L6" s="44">
        <f>L5/4</f>
        <v>0</v>
      </c>
    </row>
    <row r="7" spans="1:38" s="22" customFormat="1" ht="11.25" x14ac:dyDescent="0.2">
      <c r="A7" s="46"/>
      <c r="B7" s="47"/>
      <c r="C7" s="48" t="s">
        <v>8</v>
      </c>
      <c r="D7" s="49"/>
      <c r="E7" s="50"/>
      <c r="F7" s="51">
        <f>IF(G51&lt;0,0,G51)</f>
        <v>0</v>
      </c>
      <c r="G7" s="51">
        <f>F7-F9</f>
        <v>0</v>
      </c>
      <c r="H7" s="51">
        <f>G7-G9</f>
        <v>0</v>
      </c>
      <c r="I7" s="52"/>
      <c r="J7" s="40"/>
      <c r="K7" s="14" t="s">
        <v>79</v>
      </c>
      <c r="L7" s="14" t="s">
        <v>80</v>
      </c>
      <c r="M7" s="14" t="s">
        <v>81</v>
      </c>
      <c r="N7" s="14" t="s">
        <v>82</v>
      </c>
      <c r="O7" s="14" t="s">
        <v>83</v>
      </c>
      <c r="P7" s="58" t="s">
        <v>84</v>
      </c>
      <c r="Q7" s="14" t="s">
        <v>85</v>
      </c>
      <c r="R7" s="14" t="s">
        <v>86</v>
      </c>
      <c r="S7" s="14" t="s">
        <v>87</v>
      </c>
      <c r="T7" s="14" t="s">
        <v>88</v>
      </c>
      <c r="U7" s="14" t="s">
        <v>89</v>
      </c>
      <c r="V7" s="14" t="s">
        <v>90</v>
      </c>
      <c r="W7" s="14" t="s">
        <v>91</v>
      </c>
    </row>
    <row r="8" spans="1:38" s="22" customFormat="1" ht="11.25" x14ac:dyDescent="0.2">
      <c r="A8" s="46"/>
      <c r="B8" s="47"/>
      <c r="C8" s="48" t="s">
        <v>9</v>
      </c>
      <c r="D8" s="49"/>
      <c r="E8" s="50"/>
      <c r="F8" s="260">
        <v>0.25</v>
      </c>
      <c r="G8" s="260">
        <v>0.25</v>
      </c>
      <c r="H8" s="260">
        <v>0.25</v>
      </c>
      <c r="I8" s="261"/>
      <c r="J8" s="40" t="s">
        <v>48</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14</v>
      </c>
      <c r="D9" s="49"/>
      <c r="E9" s="50"/>
      <c r="F9" s="51">
        <f>F7*F8</f>
        <v>0</v>
      </c>
      <c r="G9" s="51">
        <f>G7*G8</f>
        <v>0</v>
      </c>
      <c r="H9" s="51">
        <f>H7*H8</f>
        <v>0</v>
      </c>
      <c r="I9" s="52"/>
      <c r="J9" s="40" t="s">
        <v>92</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12</v>
      </c>
      <c r="D10" s="49"/>
      <c r="E10" s="50"/>
      <c r="F10" s="51">
        <f>F7-F9</f>
        <v>0</v>
      </c>
      <c r="G10" s="51">
        <f>G7-G9</f>
        <v>0</v>
      </c>
      <c r="H10" s="51">
        <f>H7-H9</f>
        <v>0</v>
      </c>
      <c r="I10" s="52"/>
      <c r="J10" s="40" t="s">
        <v>93</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94</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98" t="s">
        <v>21</v>
      </c>
      <c r="H13" s="1398"/>
      <c r="I13" s="1398"/>
      <c r="O13" s="1402">
        <f>'3. Ekonomikalkyl ingen moms'!J32</f>
        <v>2026</v>
      </c>
      <c r="P13" s="1403"/>
      <c r="Q13" s="1403"/>
      <c r="R13" s="1403"/>
      <c r="S13" s="1403"/>
      <c r="T13" s="1404"/>
      <c r="U13" s="1402">
        <f>'3. Ekonomikalkyl ingen moms'!K32</f>
        <v>2027</v>
      </c>
      <c r="V13" s="1403"/>
      <c r="W13" s="1403"/>
      <c r="X13" s="1403"/>
      <c r="Y13" s="1403"/>
      <c r="Z13" s="1404"/>
      <c r="AA13" s="1402">
        <f>'3. Ekonomikalkyl ingen moms'!M32</f>
        <v>2028</v>
      </c>
      <c r="AB13" s="1403"/>
      <c r="AC13" s="1403"/>
      <c r="AD13" s="1403"/>
      <c r="AE13" s="1403"/>
      <c r="AF13" s="1404"/>
      <c r="AG13" s="917"/>
      <c r="AH13" s="894"/>
      <c r="AI13" s="894"/>
      <c r="AJ13" s="894"/>
      <c r="AK13" s="894"/>
      <c r="AL13" s="894"/>
    </row>
    <row r="14" spans="1:38" s="22" customFormat="1" x14ac:dyDescent="0.2">
      <c r="C14" s="35"/>
      <c r="D14" s="35"/>
      <c r="E14" s="35"/>
      <c r="F14" s="53" t="s">
        <v>20</v>
      </c>
      <c r="G14" s="54" t="s">
        <v>1</v>
      </c>
      <c r="H14" s="54" t="s">
        <v>22</v>
      </c>
      <c r="I14" s="54" t="s">
        <v>4</v>
      </c>
      <c r="O14" s="908"/>
      <c r="P14" s="909"/>
      <c r="Q14" s="909"/>
      <c r="R14" s="909"/>
      <c r="S14" s="909"/>
      <c r="T14" s="910"/>
      <c r="U14" s="908"/>
      <c r="V14" s="909"/>
      <c r="W14" s="909"/>
      <c r="X14" s="909"/>
      <c r="Y14" s="909"/>
      <c r="Z14" s="910"/>
      <c r="AA14" s="908"/>
      <c r="AB14" s="909"/>
      <c r="AC14" s="909"/>
      <c r="AD14" s="909"/>
      <c r="AE14" s="909"/>
      <c r="AF14" s="910"/>
      <c r="AG14" s="893"/>
      <c r="AH14" s="894"/>
      <c r="AI14" s="894"/>
      <c r="AJ14" s="894"/>
      <c r="AK14" s="894"/>
      <c r="AL14" s="894"/>
    </row>
    <row r="15" spans="1:38" s="22" customFormat="1" x14ac:dyDescent="0.2">
      <c r="C15" s="55"/>
      <c r="D15" s="55"/>
      <c r="E15" s="55"/>
      <c r="F15" s="53" t="str">
        <f>A23</f>
        <v>Pankki1</v>
      </c>
      <c r="G15" s="56">
        <f>T18</f>
        <v>0</v>
      </c>
      <c r="H15" s="56">
        <f>Z18</f>
        <v>0</v>
      </c>
      <c r="I15" s="56">
        <f>AF18</f>
        <v>0</v>
      </c>
      <c r="J15" s="272" t="s">
        <v>284</v>
      </c>
      <c r="K15" s="1"/>
      <c r="L15" s="911" t="s">
        <v>290</v>
      </c>
      <c r="M15" s="888" t="s">
        <v>280</v>
      </c>
      <c r="N15" s="1"/>
      <c r="O15" s="893"/>
      <c r="P15" s="894" t="s">
        <v>280</v>
      </c>
      <c r="Q15" s="894"/>
      <c r="R15" s="894"/>
      <c r="S15" s="894"/>
      <c r="T15" s="895"/>
      <c r="U15" s="893"/>
      <c r="V15" s="894" t="s">
        <v>280</v>
      </c>
      <c r="W15" s="894"/>
      <c r="X15" s="894"/>
      <c r="Y15" s="894"/>
      <c r="Z15" s="895"/>
      <c r="AA15" s="893"/>
      <c r="AB15" s="894" t="s">
        <v>280</v>
      </c>
      <c r="AC15" s="894"/>
      <c r="AD15" s="894"/>
      <c r="AE15" s="894"/>
      <c r="AF15" s="895"/>
      <c r="AG15" s="893"/>
      <c r="AH15" s="894"/>
      <c r="AI15" s="894"/>
      <c r="AJ15" s="894"/>
      <c r="AK15" s="894"/>
      <c r="AL15" s="894"/>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88" t="s">
        <v>258</v>
      </c>
      <c r="L16" s="911" t="s">
        <v>291</v>
      </c>
      <c r="M16" s="888" t="s">
        <v>281</v>
      </c>
      <c r="N16" s="888" t="s">
        <v>282</v>
      </c>
      <c r="O16" s="896" t="s">
        <v>285</v>
      </c>
      <c r="P16" s="897" t="s">
        <v>286</v>
      </c>
      <c r="Q16" s="898" t="s">
        <v>287</v>
      </c>
      <c r="R16" s="898" t="s">
        <v>288</v>
      </c>
      <c r="S16" s="898" t="s">
        <v>289</v>
      </c>
      <c r="T16" s="899" t="s">
        <v>282</v>
      </c>
      <c r="U16" s="896" t="s">
        <v>294</v>
      </c>
      <c r="V16" s="897" t="s">
        <v>286</v>
      </c>
      <c r="W16" s="898" t="s">
        <v>287</v>
      </c>
      <c r="X16" s="898" t="s">
        <v>288</v>
      </c>
      <c r="Y16" s="898" t="s">
        <v>289</v>
      </c>
      <c r="Z16" s="899" t="s">
        <v>282</v>
      </c>
      <c r="AA16" s="896" t="s">
        <v>294</v>
      </c>
      <c r="AB16" s="897" t="s">
        <v>286</v>
      </c>
      <c r="AC16" s="898" t="s">
        <v>287</v>
      </c>
      <c r="AD16" s="898" t="s">
        <v>288</v>
      </c>
      <c r="AE16" s="898" t="s">
        <v>289</v>
      </c>
      <c r="AF16" s="899" t="s">
        <v>282</v>
      </c>
      <c r="AG16" s="914"/>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283</v>
      </c>
      <c r="K17" s="569"/>
      <c r="L17" s="911" t="s">
        <v>292</v>
      </c>
      <c r="M17" s="569"/>
      <c r="N17" s="569"/>
      <c r="O17" s="896"/>
      <c r="P17" s="897"/>
      <c r="Q17" s="898"/>
      <c r="R17" s="898"/>
      <c r="S17" s="898"/>
      <c r="T17" s="899"/>
      <c r="U17" s="896"/>
      <c r="V17" s="897"/>
      <c r="W17" s="898"/>
      <c r="X17" s="898"/>
      <c r="Y17" s="898"/>
      <c r="Z17" s="899"/>
      <c r="AA17" s="896"/>
      <c r="AB17" s="897"/>
      <c r="AC17" s="898"/>
      <c r="AD17" s="898"/>
      <c r="AE17" s="898"/>
      <c r="AF17" s="899"/>
      <c r="AG17" s="914"/>
      <c r="AH17" s="266"/>
      <c r="AI17" s="915"/>
      <c r="AJ17" s="266"/>
      <c r="AK17" s="266"/>
      <c r="AL17" s="266"/>
    </row>
    <row r="18" spans="1:38" s="22" customFormat="1" ht="13.5" thickBot="1" x14ac:dyDescent="0.25">
      <c r="C18" s="57"/>
      <c r="D18" s="57"/>
      <c r="E18" s="57"/>
      <c r="F18" s="53" t="s">
        <v>0</v>
      </c>
      <c r="G18" s="56">
        <v>0</v>
      </c>
      <c r="H18" s="56">
        <v>0</v>
      </c>
      <c r="I18" s="56">
        <v>0</v>
      </c>
      <c r="J18" s="889" t="str">
        <f>'3. Ekonomikalkyl ingen moms'!H12</f>
        <v xml:space="preserve"> Bank</v>
      </c>
      <c r="K18" s="890">
        <f>'3. Ekonomikalkyl ingen moms'!M12</f>
        <v>0</v>
      </c>
      <c r="L18" s="912">
        <f>'3. Ekonomikalkyl ingen moms'!K12</f>
        <v>0</v>
      </c>
      <c r="M18" s="891">
        <f>'3. Ekonomikalkyl ingen moms'!L12</f>
        <v>0</v>
      </c>
      <c r="N18" s="892">
        <f>'3. Ekonomikalkyl ingen moms'!J12</f>
        <v>0</v>
      </c>
      <c r="O18" s="900">
        <f>K18</f>
        <v>0</v>
      </c>
      <c r="P18" s="901"/>
      <c r="Q18" s="902">
        <f>IF($L18=2,0,IF($L18=1,0,IF($M18=0,0,$K18/$M18)))</f>
        <v>0</v>
      </c>
      <c r="R18" s="902">
        <f>(O18+S18)/2</f>
        <v>0</v>
      </c>
      <c r="S18" s="902">
        <f>K18-Q18</f>
        <v>0</v>
      </c>
      <c r="T18" s="903">
        <f>R18*$N18</f>
        <v>0</v>
      </c>
      <c r="U18" s="904">
        <f>S18</f>
        <v>0</v>
      </c>
      <c r="V18" s="901"/>
      <c r="W18" s="902">
        <f>IF($M18=0,0,IF($L18=2,0,IF($L18=1,$K18/($M18-1),$K18/$M18)))</f>
        <v>0</v>
      </c>
      <c r="X18" s="902">
        <f>(U18+Y18)/2</f>
        <v>0</v>
      </c>
      <c r="Y18" s="902">
        <f>U18-W18</f>
        <v>0</v>
      </c>
      <c r="Z18" s="903">
        <f>X18*$N18</f>
        <v>0</v>
      </c>
      <c r="AA18" s="904">
        <f>Y18</f>
        <v>0</v>
      </c>
      <c r="AB18" s="901"/>
      <c r="AC18" s="902">
        <f>IF($M18=0,0,IF($L18=2,0,IF($L18=1,$K18/($M18-1),$K18/$M18)))</f>
        <v>0</v>
      </c>
      <c r="AD18" s="902">
        <f>(AA18+AE18)/2</f>
        <v>0</v>
      </c>
      <c r="AE18" s="902">
        <f>AA18-AC18</f>
        <v>0</v>
      </c>
      <c r="AF18" s="903">
        <f>AD18*$N18</f>
        <v>0</v>
      </c>
      <c r="AG18" s="916"/>
      <c r="AH18" s="9"/>
      <c r="AI18" s="915"/>
      <c r="AJ18" s="9"/>
      <c r="AK18" s="9"/>
      <c r="AL18" s="9"/>
    </row>
    <row r="19" spans="1:38" s="22" customFormat="1" ht="13.5" thickBot="1" x14ac:dyDescent="0.25">
      <c r="C19" s="57"/>
      <c r="D19" s="57"/>
      <c r="E19" s="57"/>
      <c r="F19" s="53" t="s">
        <v>10</v>
      </c>
      <c r="G19" s="56">
        <f>SUM(G15:G18)</f>
        <v>0</v>
      </c>
      <c r="H19" s="56">
        <f>SUM(H15:H18)</f>
        <v>0</v>
      </c>
      <c r="I19" s="56">
        <f>SUM(I15:I18)</f>
        <v>0</v>
      </c>
      <c r="J19" s="889">
        <f>'3. Ekonomikalkyl ingen moms'!H13</f>
        <v>0</v>
      </c>
      <c r="K19" s="890">
        <f>'3. Ekonomikalkyl ingen moms'!M13</f>
        <v>0</v>
      </c>
      <c r="L19" s="912">
        <f>'3. Ekonomikalkyl ingen moms'!K13</f>
        <v>0</v>
      </c>
      <c r="M19" s="891">
        <f>'3. Ekonomikalkyl ingen moms'!L13</f>
        <v>0</v>
      </c>
      <c r="N19" s="892">
        <f>'3. Ekonomikalkyl ingen moms'!J13</f>
        <v>0</v>
      </c>
      <c r="O19" s="900">
        <f t="shared" ref="O19:O20" si="7">K19</f>
        <v>0</v>
      </c>
      <c r="P19" s="901"/>
      <c r="Q19" s="902">
        <f t="shared" ref="Q19:Q20" si="8">IF($L19=2,0,IF($L19=1,0,IF($M19=0,0,$K19/$M19)))</f>
        <v>0</v>
      </c>
      <c r="R19" s="902">
        <f t="shared" ref="R19:R20" si="9">(O19+S19)/2</f>
        <v>0</v>
      </c>
      <c r="S19" s="361">
        <f>O19-Q19</f>
        <v>0</v>
      </c>
      <c r="T19" s="903">
        <f t="shared" ref="T19:T20" si="10">R19*$N19</f>
        <v>0</v>
      </c>
      <c r="U19" s="904">
        <f t="shared" ref="U19:U20" si="11">S19</f>
        <v>0</v>
      </c>
      <c r="V19" s="901"/>
      <c r="W19" s="902">
        <f t="shared" ref="W19:W20" si="12">IF($M19=0,0,IF($L19=2,0,IF($L19=1,$K19/($M19-1),$K19/$M19)))</f>
        <v>0</v>
      </c>
      <c r="X19" s="902">
        <f>(U19+Y19)/2</f>
        <v>0</v>
      </c>
      <c r="Y19" s="902">
        <f t="shared" ref="Y19:Y20" si="13">U19-W19</f>
        <v>0</v>
      </c>
      <c r="Z19" s="903">
        <f t="shared" ref="Z19:Z20" si="14">X19*$N19</f>
        <v>0</v>
      </c>
      <c r="AA19" s="904">
        <f t="shared" ref="AA19:AA20" si="15">Y19</f>
        <v>0</v>
      </c>
      <c r="AB19" s="901"/>
      <c r="AC19" s="902">
        <f t="shared" ref="AC19:AC20" si="16">IF($M19=0,0,IF($L19=2,0,IF($L19=1,$K19/($M19-1),$K19/$M19)))</f>
        <v>0</v>
      </c>
      <c r="AD19" s="902">
        <f>(AA19+AE19)/2</f>
        <v>0</v>
      </c>
      <c r="AE19" s="902">
        <f t="shared" ref="AE19:AE20" si="17">AA19-AC19</f>
        <v>0</v>
      </c>
      <c r="AF19" s="903">
        <f t="shared" ref="AF19:AF20" si="18">AD19*$N19</f>
        <v>0</v>
      </c>
      <c r="AG19" s="916"/>
      <c r="AH19" s="9"/>
      <c r="AI19" s="915"/>
      <c r="AJ19" s="9"/>
      <c r="AK19" s="9"/>
      <c r="AL19" s="9"/>
    </row>
    <row r="20" spans="1:38" s="22" customFormat="1" x14ac:dyDescent="0.2">
      <c r="A20" s="46"/>
      <c r="B20" s="46"/>
      <c r="C20" s="46"/>
      <c r="D20" s="46"/>
      <c r="E20" s="46"/>
      <c r="F20" s="46"/>
      <c r="G20" s="46"/>
      <c r="H20" s="46"/>
      <c r="I20" s="46"/>
      <c r="J20" s="889">
        <f>'3. Ekonomikalkyl ingen moms'!H14</f>
        <v>0</v>
      </c>
      <c r="K20" s="890">
        <f>'3. Ekonomikalkyl ingen moms'!M14</f>
        <v>0</v>
      </c>
      <c r="L20" s="912">
        <f>'3. Ekonomikalkyl ingen moms'!K14</f>
        <v>0</v>
      </c>
      <c r="M20" s="891">
        <f>'3. Ekonomikalkyl ingen moms'!L14</f>
        <v>0</v>
      </c>
      <c r="N20" s="892">
        <f>'3. Ekonomikalkyl ingen moms'!J14</f>
        <v>0</v>
      </c>
      <c r="O20" s="900">
        <f t="shared" si="7"/>
        <v>0</v>
      </c>
      <c r="P20" s="901"/>
      <c r="Q20" s="902">
        <f t="shared" si="8"/>
        <v>0</v>
      </c>
      <c r="R20" s="902">
        <f t="shared" si="9"/>
        <v>0</v>
      </c>
      <c r="S20" s="361">
        <f>O20-Q20</f>
        <v>0</v>
      </c>
      <c r="T20" s="903">
        <f t="shared" si="10"/>
        <v>0</v>
      </c>
      <c r="U20" s="904">
        <f t="shared" si="11"/>
        <v>0</v>
      </c>
      <c r="V20" s="901"/>
      <c r="W20" s="902">
        <f t="shared" si="12"/>
        <v>0</v>
      </c>
      <c r="X20" s="902">
        <f>(U20+Y20)/2</f>
        <v>0</v>
      </c>
      <c r="Y20" s="902">
        <f t="shared" si="13"/>
        <v>0</v>
      </c>
      <c r="Z20" s="903">
        <f t="shared" si="14"/>
        <v>0</v>
      </c>
      <c r="AA20" s="904">
        <f t="shared" si="15"/>
        <v>0</v>
      </c>
      <c r="AB20" s="901">
        <v>0</v>
      </c>
      <c r="AC20" s="902">
        <f t="shared" si="16"/>
        <v>0</v>
      </c>
      <c r="AD20" s="902">
        <f>(AA20+AE20)/2</f>
        <v>0</v>
      </c>
      <c r="AE20" s="902">
        <f t="shared" si="17"/>
        <v>0</v>
      </c>
      <c r="AF20" s="903">
        <f t="shared" si="18"/>
        <v>0</v>
      </c>
      <c r="AG20" s="916"/>
      <c r="AH20" s="9"/>
      <c r="AI20" s="915"/>
      <c r="AJ20" s="9"/>
      <c r="AK20" s="9"/>
      <c r="AL20" s="9"/>
    </row>
    <row r="21" spans="1:38" s="22" customFormat="1" ht="13.5" thickBot="1" x14ac:dyDescent="0.25">
      <c r="C21" s="1399" t="s">
        <v>26</v>
      </c>
      <c r="D21" s="1399"/>
      <c r="E21" s="1399"/>
      <c r="G21" s="1399" t="s">
        <v>248</v>
      </c>
      <c r="H21" s="1399"/>
      <c r="I21" s="1399"/>
      <c r="O21" s="905"/>
      <c r="P21" s="913" t="s">
        <v>0</v>
      </c>
      <c r="Q21" s="906">
        <f>SUM(Q18:Q20)</f>
        <v>0</v>
      </c>
      <c r="R21" s="918" t="s">
        <v>0</v>
      </c>
      <c r="S21" s="906">
        <f>SUM(S18:S20)</f>
        <v>0</v>
      </c>
      <c r="T21" s="906">
        <f>SUM(T18:T20)</f>
        <v>0</v>
      </c>
      <c r="U21" s="907"/>
      <c r="V21" s="913" t="s">
        <v>0</v>
      </c>
      <c r="W21" s="906">
        <f>SUM(W18:W20)</f>
        <v>0</v>
      </c>
      <c r="X21" s="918" t="s">
        <v>0</v>
      </c>
      <c r="Y21" s="906">
        <f>SUM(Y18:Y20)</f>
        <v>0</v>
      </c>
      <c r="Z21" s="906">
        <f>SUM(Z18:Z20)</f>
        <v>0</v>
      </c>
      <c r="AA21" s="907"/>
      <c r="AB21" s="913" t="s">
        <v>0</v>
      </c>
      <c r="AC21" s="906">
        <f>SUM(AC18:AC20)</f>
        <v>0</v>
      </c>
      <c r="AD21" s="918" t="s">
        <v>0</v>
      </c>
      <c r="AE21" s="906">
        <f>SUM(AE18:AE20)</f>
        <v>0</v>
      </c>
      <c r="AF21" s="906">
        <f>SUM(AF18:AF20)</f>
        <v>0</v>
      </c>
      <c r="AG21" s="916"/>
      <c r="AH21" s="9"/>
      <c r="AI21" s="915"/>
      <c r="AJ21" s="9"/>
      <c r="AK21" s="9"/>
      <c r="AL21" s="9"/>
    </row>
    <row r="22" spans="1:38" s="22" customFormat="1" ht="11.25" x14ac:dyDescent="0.2">
      <c r="A22" s="53" t="s">
        <v>20</v>
      </c>
      <c r="B22" s="60" t="s">
        <v>18</v>
      </c>
      <c r="C22" s="54" t="s">
        <v>23</v>
      </c>
      <c r="D22" s="54" t="s">
        <v>24</v>
      </c>
      <c r="E22" s="54" t="s">
        <v>25</v>
      </c>
      <c r="F22" s="53" t="s">
        <v>20</v>
      </c>
      <c r="G22" s="54" t="s">
        <v>1</v>
      </c>
      <c r="H22" s="54" t="s">
        <v>22</v>
      </c>
      <c r="I22" s="885" t="s">
        <v>4</v>
      </c>
    </row>
    <row r="23" spans="1:38" s="22" customFormat="1" ht="11.25" x14ac:dyDescent="0.2">
      <c r="A23" s="53" t="s">
        <v>249</v>
      </c>
      <c r="B23" s="61">
        <f>'3. Ekonomikalkyl ingen moms'!M12</f>
        <v>0</v>
      </c>
      <c r="C23" s="62">
        <f>IF('3. Ekonomikalkyl ingen moms'!$L12=0,0,$B23/('3. Ekonomikalkyl ingen moms'!$L12-1))</f>
        <v>0</v>
      </c>
      <c r="D23" s="62">
        <f>IF('3. Ekonomikalkyl ingen moms'!$L12=0,0,$B23/('3. Ekonomikalkyl ingen moms'!$L12-2))</f>
        <v>0</v>
      </c>
      <c r="E23" s="62">
        <f>IF('3. Ekonomikalkyl ingen moms'!$L12=0,0,$B23/('3. Ekonomikalkyl ingen moms'!$L12))</f>
        <v>0</v>
      </c>
      <c r="F23" s="53" t="str">
        <f>A23</f>
        <v>Pankki1</v>
      </c>
      <c r="G23" s="63">
        <f>Q18+G15</f>
        <v>0</v>
      </c>
      <c r="H23" s="63">
        <f>H15+W18</f>
        <v>0</v>
      </c>
      <c r="I23" s="886">
        <f>I15+AC18</f>
        <v>0</v>
      </c>
    </row>
    <row r="24" spans="1:38" s="22" customFormat="1" ht="11.25" x14ac:dyDescent="0.2">
      <c r="A24" s="53" t="s">
        <v>19</v>
      </c>
      <c r="B24" s="61">
        <f>'3. Ekonomikalkyl ingen moms'!M13</f>
        <v>0</v>
      </c>
      <c r="C24" s="62">
        <f>IF('3. Ekonomikalkyl ingen moms'!$L13=0,0,$B24/('3. Ekonomikalkyl ingen moms'!$L13-1))</f>
        <v>0</v>
      </c>
      <c r="D24" s="62">
        <f>IF('3. Ekonomikalkyl ingen moms'!$L13=0,0,$B24/('3. Ekonomikalkyl ingen moms'!$L13-2))</f>
        <v>0</v>
      </c>
      <c r="E24" s="62">
        <f>IF('3. Ekonomikalkyl ingen moms'!$L13=0,0,$B24/('3. Ekonomikalkyl ingen moms'!$L13))</f>
        <v>0</v>
      </c>
      <c r="F24" s="53" t="str">
        <f t="shared" ref="F24:F25" si="19">A24</f>
        <v>Finnvera</v>
      </c>
      <c r="G24" s="63">
        <f t="shared" ref="G24" si="20">Q19+G16</f>
        <v>0</v>
      </c>
      <c r="H24" s="63">
        <f t="shared" ref="H24:H25" si="21">H16+W19</f>
        <v>0</v>
      </c>
      <c r="I24" s="886">
        <f t="shared" ref="I24:I25" si="22">I16+AC19</f>
        <v>0</v>
      </c>
    </row>
    <row r="25" spans="1:38" s="22" customFormat="1" ht="11.25" x14ac:dyDescent="0.2">
      <c r="A25" s="53" t="s">
        <v>250</v>
      </c>
      <c r="B25" s="61">
        <f>'3. Ekonomikalkyl ingen moms'!M14</f>
        <v>0</v>
      </c>
      <c r="C25" s="62">
        <f>IF('3. Ekonomikalkyl ingen moms'!$L14=0,0,$B25/('3. Ekonomikalkyl ingen moms'!$L14-1))</f>
        <v>0</v>
      </c>
      <c r="D25" s="62">
        <f>IF('3. Ekonomikalkyl ingen moms'!$L14=0,0,$B25/('3. Ekonomikalkyl ingen moms'!$L14-2))</f>
        <v>0</v>
      </c>
      <c r="E25" s="62">
        <f>IF('3. Ekonomikalkyl ingen moms'!$L14=0,0,$B25/('3. Ekonomikalkyl ingen moms'!$L14))</f>
        <v>0</v>
      </c>
      <c r="F25" s="53" t="str">
        <f t="shared" si="19"/>
        <v>Laina 3</v>
      </c>
      <c r="G25" s="63">
        <f>Q20+G17</f>
        <v>0</v>
      </c>
      <c r="H25" s="63">
        <f t="shared" si="21"/>
        <v>0</v>
      </c>
      <c r="I25" s="886">
        <f t="shared" si="22"/>
        <v>0</v>
      </c>
    </row>
    <row r="26" spans="1:38" s="22" customFormat="1" ht="11.25" x14ac:dyDescent="0.2">
      <c r="A26" s="53"/>
      <c r="B26" s="61">
        <v>0</v>
      </c>
      <c r="C26" s="62">
        <v>0</v>
      </c>
      <c r="D26" s="62">
        <v>0</v>
      </c>
      <c r="E26" s="62">
        <v>0</v>
      </c>
      <c r="F26" s="53">
        <v>0</v>
      </c>
      <c r="G26" s="63">
        <v>0</v>
      </c>
      <c r="H26" s="63">
        <v>0</v>
      </c>
      <c r="I26" s="886">
        <v>0</v>
      </c>
    </row>
    <row r="27" spans="1:38" s="22" customFormat="1" ht="11.25" x14ac:dyDescent="0.2">
      <c r="A27" s="53" t="s">
        <v>10</v>
      </c>
      <c r="B27" s="64">
        <f>SUM(B23:B26)</f>
        <v>0</v>
      </c>
      <c r="C27" s="62">
        <f>SUM(C23:C26)</f>
        <v>0</v>
      </c>
      <c r="D27" s="62">
        <f>SUM(D23:D26)</f>
        <v>0</v>
      </c>
      <c r="E27" s="62">
        <f>SUM(E23:E26)</f>
        <v>0</v>
      </c>
      <c r="F27" s="65" t="s">
        <v>10</v>
      </c>
      <c r="G27" s="66">
        <f>SUM(G23:G26)</f>
        <v>0</v>
      </c>
      <c r="H27" s="66">
        <f>SUM(H23:H26)</f>
        <v>0</v>
      </c>
      <c r="I27" s="887">
        <f>SUM(I23:I26)</f>
        <v>0</v>
      </c>
    </row>
    <row r="28" spans="1:38" s="22" customFormat="1" ht="11.25" x14ac:dyDescent="0.2"/>
    <row r="29" spans="1:38" s="22" customFormat="1" ht="11.25" x14ac:dyDescent="0.2"/>
    <row r="30" spans="1:38" s="22" customFormat="1" ht="11.25" x14ac:dyDescent="0.2">
      <c r="G30" s="1398" t="s">
        <v>27</v>
      </c>
      <c r="H30" s="1398"/>
      <c r="I30" s="1398"/>
    </row>
    <row r="31" spans="1:38" s="22" customFormat="1" ht="11.25" x14ac:dyDescent="0.2">
      <c r="F31" s="46" t="s">
        <v>20</v>
      </c>
      <c r="G31" s="35" t="s">
        <v>1</v>
      </c>
      <c r="H31" s="22" t="s">
        <v>293</v>
      </c>
      <c r="I31" s="35" t="s">
        <v>22</v>
      </c>
      <c r="J31" s="22" t="s">
        <v>293</v>
      </c>
      <c r="K31" s="35" t="s">
        <v>4</v>
      </c>
    </row>
    <row r="32" spans="1:38" s="22" customFormat="1" ht="11.25" x14ac:dyDescent="0.2">
      <c r="F32" s="53" t="str">
        <f>A23</f>
        <v>Pankki1</v>
      </c>
      <c r="G32" s="61">
        <f>IF('1. Ekonomikalkyl'!$K12=2,'5 AT Lainat, avustukset ei alv '!$B23,IF('1. Ekonomikalkyl'!$K12=1,'5 AT Lainat, avustukset ei alv '!$B23,'5 AT Lainat, avustukset ei alv '!$B23-'5 AT Lainat, avustukset ei alv '!$E23))</f>
        <v>0</v>
      </c>
      <c r="H32" s="43">
        <f>G32</f>
        <v>0</v>
      </c>
      <c r="I32" s="61">
        <f>IF('3. Ekonomikalkyl ingen moms'!$K12=2,'5 AT Lainat, avustukset ei alv '!$B23,IF('3. Ekonomikalkyl ingen moms'!$K12=1,'5 AT Lainat, avustukset ei alv '!$B23-$C23,'5 AT Lainat, avustukset ei alv '!$B23-2*'5 AT Lainat, avustukset ei alv '!$E23))</f>
        <v>0</v>
      </c>
      <c r="K32" s="61">
        <f>IF('1. Ekonomikalkyl'!$K12=2,'5 AT Lainat, avustukset ei alv '!$B23-D23,IF('1. Ekonomikalkyl'!$K12=1,'5 AT Lainat, avustukset ei alv '!$B23-2*$C23,'5 AT Lainat, avustukset ei alv '!$B23-3*'5 AT Lainat, avustukset ei alv '!$E23))</f>
        <v>0</v>
      </c>
    </row>
    <row r="33" spans="2:11" s="22" customFormat="1" ht="11.25" x14ac:dyDescent="0.2">
      <c r="F33" s="53" t="str">
        <f t="shared" ref="F33:F34" si="23">A24</f>
        <v>Finnvera</v>
      </c>
      <c r="G33" s="61">
        <f>IF('1. Ekonomikalkyl'!$K13=2,'5 AT Lainat, avustukset ei alv '!$B24,IF('1. Ekonomikalkyl'!$K13=1,'5 AT Lainat, avustukset ei alv '!$B24,'5 AT Lainat, avustukset ei alv '!$B24-'5 AT Lainat, avustukset ei alv '!$E24))</f>
        <v>0</v>
      </c>
      <c r="I33" s="61">
        <f>IF('1. Ekonomikalkyl'!$K13=2,'5 AT Lainat, avustukset ei alv '!$B24,IF('1. Ekonomikalkyl'!$K13=1,'5 AT Lainat, avustukset ei alv '!$B24-$C24,'5 AT Lainat, avustukset ei alv '!$B24-2*'5 AT Lainat, avustukset ei alv '!$E24))</f>
        <v>0</v>
      </c>
      <c r="K33" s="61">
        <f>IF('1. Ekonomikalkyl'!$K13=2,'5 AT Lainat, avustukset ei alv '!$B24-D24,IF('1. Ekonomikalkyl'!$K13=1,'5 AT Lainat, avustukset ei alv '!$B24-2*$C24,'5 AT Lainat, avustukset ei alv '!$B24-3*'5 AT Lainat, avustukset ei alv '!$E24))</f>
        <v>0</v>
      </c>
    </row>
    <row r="34" spans="2:11" s="22" customFormat="1" ht="11.25" x14ac:dyDescent="0.2">
      <c r="F34" s="53" t="str">
        <f t="shared" si="23"/>
        <v>Laina 3</v>
      </c>
      <c r="G34" s="61">
        <f>IF('1. Ekonomikalkyl'!$K14=2,'5 AT Lainat, avustukset ei alv '!$B25,IF('1. Ekonomikalkyl'!$K14=1,'5 AT Lainat, avustukset ei alv '!$B25,'5 AT Lainat, avustukset ei alv '!$B25-'5 AT Lainat, avustukset ei alv '!$E25))</f>
        <v>0</v>
      </c>
      <c r="I34" s="61">
        <f>IF('1. Ekonomikalkyl'!$K14=2,'5 AT Lainat, avustukset ei alv '!$B25,IF('1. Ekonomikalkyl'!$K14=1,'5 AT Lainat, avustukset ei alv '!$B25-$C25,'5 AT Lainat, avustukset ei alv '!$B25-2*'5 AT Lainat, avustukset ei alv '!$E25))</f>
        <v>0</v>
      </c>
      <c r="K34" s="61">
        <f>IF('1. Ekonomikalkyl'!$K14=2,'5 AT Lainat, avustukset ei alv '!$B25-D25,IF('1. Ekonomikalkyl'!$K14=1,'5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10</v>
      </c>
      <c r="G36" s="71">
        <f>SUM(G32:G35)</f>
        <v>0</v>
      </c>
      <c r="H36" s="71">
        <f>SUM(I32:I35)</f>
        <v>0</v>
      </c>
      <c r="I36" s="71">
        <f>SUM(K32:K35)</f>
        <v>0</v>
      </c>
    </row>
    <row r="37" spans="2:11" s="22" customFormat="1" ht="11.25" x14ac:dyDescent="0.2">
      <c r="B37" s="72" t="s">
        <v>49</v>
      </c>
      <c r="F37" s="36"/>
      <c r="G37" s="38" t="s">
        <v>50</v>
      </c>
      <c r="H37" s="38"/>
      <c r="I37" s="39">
        <f>IF($K35=6,B127,IF($K35=7,F144,IF($F29=8,G145,IF($F29=9,H146,IF($F29=10,I147,IF($F29=11,J148,IF($F29=12,K149,IF($F29=13,L150,IF($F29=14,M151,IF($F29=15,N152,IF($F29=16,O153,IF($F29=17,P154,Q155))))))))))))</f>
        <v>0</v>
      </c>
    </row>
    <row r="38" spans="2:11" s="22" customFormat="1" ht="11.25" x14ac:dyDescent="0.2">
      <c r="B38" s="73" t="s">
        <v>43</v>
      </c>
      <c r="C38" s="74" t="s">
        <v>28</v>
      </c>
      <c r="D38" s="74" t="s">
        <v>18</v>
      </c>
      <c r="E38" s="22" t="s">
        <v>30</v>
      </c>
      <c r="F38" s="75"/>
      <c r="G38" s="43" t="s">
        <v>50</v>
      </c>
      <c r="H38" s="43"/>
      <c r="I38" s="76"/>
    </row>
    <row r="39" spans="2:11" s="22" customFormat="1" ht="11.25" x14ac:dyDescent="0.2">
      <c r="B39" s="77" t="s">
        <v>15</v>
      </c>
      <c r="C39" s="78">
        <f>'3. Ekonomikalkyl ingen moms'!E11</f>
        <v>0</v>
      </c>
      <c r="D39" s="43">
        <f>'3. Ekonomikalkyl ingen moms'!F11</f>
        <v>0</v>
      </c>
      <c r="E39" s="22">
        <f>C39*D39</f>
        <v>0</v>
      </c>
      <c r="F39" s="75"/>
      <c r="G39" s="43">
        <f>D39-E39</f>
        <v>0</v>
      </c>
      <c r="H39" s="43"/>
      <c r="I39" s="76"/>
    </row>
    <row r="40" spans="2:11" s="22" customFormat="1" ht="11.25" x14ac:dyDescent="0.2">
      <c r="B40" s="77" t="s">
        <v>16</v>
      </c>
      <c r="C40" s="78">
        <f>'3. Ekonomikalkyl ingen moms'!E12</f>
        <v>0</v>
      </c>
      <c r="D40" s="43">
        <f>'3. Ekonomikalkyl ingen moms'!F12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10</v>
      </c>
      <c r="E42" s="79">
        <f>SUM(E39:E41)</f>
        <v>0</v>
      </c>
      <c r="F42" s="40"/>
      <c r="I42" s="42"/>
    </row>
    <row r="43" spans="2:11" s="22" customFormat="1" ht="11.25" x14ac:dyDescent="0.2">
      <c r="I43" s="42"/>
    </row>
    <row r="44" spans="2:11" s="22" customFormat="1" ht="11.25" x14ac:dyDescent="0.2">
      <c r="B44" s="73" t="s">
        <v>29</v>
      </c>
      <c r="C44" s="16" t="s">
        <v>28</v>
      </c>
      <c r="D44" s="16" t="s">
        <v>273</v>
      </c>
      <c r="E44" s="16" t="s">
        <v>30</v>
      </c>
      <c r="F44" s="40"/>
      <c r="G44" s="16" t="s">
        <v>51</v>
      </c>
      <c r="I44" s="42"/>
    </row>
    <row r="45" spans="2:11" s="22" customFormat="1" ht="11.25" x14ac:dyDescent="0.2">
      <c r="B45" s="60">
        <f>'3. Ekonomikalkyl ingen moms'!C15</f>
        <v>0</v>
      </c>
      <c r="C45" s="804">
        <f>'3. Ekonomikalkyl ingen moms'!E15</f>
        <v>0</v>
      </c>
      <c r="D45" s="61">
        <f>'3. Ekonomikalkyl ingen moms'!F15</f>
        <v>0</v>
      </c>
      <c r="E45" s="803">
        <f>C45*D45</f>
        <v>0</v>
      </c>
      <c r="F45" s="852"/>
      <c r="G45" s="803">
        <f>D45</f>
        <v>0</v>
      </c>
      <c r="I45" s="42"/>
    </row>
    <row r="46" spans="2:11" s="22" customFormat="1" ht="11.25" x14ac:dyDescent="0.2">
      <c r="B46" s="60">
        <f>'3. Ekonomikalkyl ingen moms'!C16</f>
        <v>0</v>
      </c>
      <c r="C46" s="804">
        <f>'3. Ekonomikalkyl ingen moms'!E16</f>
        <v>0</v>
      </c>
      <c r="D46" s="61">
        <f>'3. Ekonomikalkyl ingen moms'!F16</f>
        <v>0</v>
      </c>
      <c r="E46" s="803">
        <f t="shared" ref="E46:E47" si="24">C46*D46</f>
        <v>0</v>
      </c>
      <c r="F46" s="852"/>
      <c r="G46" s="803">
        <f t="shared" ref="G46:G47" si="25">D46</f>
        <v>0</v>
      </c>
      <c r="I46" s="42"/>
    </row>
    <row r="47" spans="2:11" s="22" customFormat="1" ht="11.25" x14ac:dyDescent="0.2">
      <c r="B47" s="60">
        <f>'3. Ekonomikalkyl ingen moms'!C17</f>
        <v>0</v>
      </c>
      <c r="C47" s="804">
        <f>'3. Ekonomikalkyl ingen moms'!E17</f>
        <v>0</v>
      </c>
      <c r="D47" s="61">
        <f>'3. Ekonomikalkyl ingen moms'!F17</f>
        <v>0</v>
      </c>
      <c r="E47" s="803">
        <f t="shared" si="24"/>
        <v>0</v>
      </c>
      <c r="F47" s="852"/>
      <c r="G47" s="803">
        <f t="shared" si="25"/>
        <v>0</v>
      </c>
      <c r="I47" s="42"/>
    </row>
    <row r="48" spans="2:11" s="22" customFormat="1" ht="11.25" x14ac:dyDescent="0.2">
      <c r="B48" s="842" t="s">
        <v>41</v>
      </c>
      <c r="C48" s="843">
        <f>IF(D48=0,0,(E48/D48))</f>
        <v>0</v>
      </c>
      <c r="D48" s="844">
        <f>SUM(D44:D47)</f>
        <v>0</v>
      </c>
      <c r="E48" s="845">
        <f>SUM(E44:E47)</f>
        <v>0</v>
      </c>
      <c r="F48" s="852"/>
      <c r="G48" s="845">
        <v>0</v>
      </c>
      <c r="I48" s="42"/>
    </row>
    <row r="49" spans="2:11" s="22" customFormat="1" ht="11.25" x14ac:dyDescent="0.2">
      <c r="B49" s="73" t="s">
        <v>32</v>
      </c>
      <c r="C49" s="73"/>
      <c r="D49" s="81">
        <f>B55</f>
        <v>0</v>
      </c>
      <c r="E49" s="846">
        <v>0</v>
      </c>
      <c r="F49" s="853"/>
      <c r="G49" s="847">
        <f>-(D49)</f>
        <v>0</v>
      </c>
      <c r="I49" s="42"/>
    </row>
    <row r="50" spans="2:11" s="22" customFormat="1" ht="22.5" customHeight="1" thickBot="1" x14ac:dyDescent="0.25">
      <c r="B50" s="22" t="s">
        <v>54</v>
      </c>
      <c r="C50" s="83">
        <f>'3. Ekonomikalkyl ingen moms'!E20</f>
        <v>0</v>
      </c>
      <c r="D50" s="43">
        <f>'3. Ekonomikalkyl ingen moms'!F20</f>
        <v>0</v>
      </c>
      <c r="E50" s="22">
        <f>C50*D50</f>
        <v>0</v>
      </c>
      <c r="F50" s="854"/>
      <c r="G50" s="82">
        <f>D50-E50</f>
        <v>0</v>
      </c>
      <c r="I50" s="42"/>
    </row>
    <row r="51" spans="2:11" s="22" customFormat="1" ht="12" thickBot="1" x14ac:dyDescent="0.25">
      <c r="B51" s="22" t="s">
        <v>33</v>
      </c>
      <c r="C51" s="1400" t="s">
        <v>271</v>
      </c>
      <c r="D51" s="1401"/>
      <c r="E51" s="84">
        <f>E42+E48+E49+E50</f>
        <v>0</v>
      </c>
      <c r="F51" s="85" t="s">
        <v>10</v>
      </c>
      <c r="G51" s="86">
        <f>SUM(G44:G50)</f>
        <v>0</v>
      </c>
      <c r="I51" s="42"/>
    </row>
    <row r="52" spans="2:11" s="22" customFormat="1" ht="11.25" x14ac:dyDescent="0.2">
      <c r="F52" s="67"/>
      <c r="G52" s="68"/>
      <c r="H52" s="68"/>
      <c r="I52" s="69"/>
    </row>
    <row r="53" spans="2:11" s="22" customFormat="1" ht="11.25" x14ac:dyDescent="0.2">
      <c r="B53" s="73" t="s">
        <v>35</v>
      </c>
    </row>
    <row r="54" spans="2:11" s="22" customFormat="1" ht="11.25" x14ac:dyDescent="0.2">
      <c r="B54" s="74" t="s">
        <v>18</v>
      </c>
      <c r="C54" s="74" t="s">
        <v>17</v>
      </c>
      <c r="D54" s="74" t="s">
        <v>34</v>
      </c>
      <c r="E54" s="74" t="s">
        <v>37</v>
      </c>
      <c r="F54" s="22" t="s">
        <v>36</v>
      </c>
      <c r="G54" s="74" t="s">
        <v>39</v>
      </c>
      <c r="K54" s="22" t="s">
        <v>65</v>
      </c>
    </row>
    <row r="55" spans="2:11" s="22" customFormat="1" ht="11.25" x14ac:dyDescent="0.2">
      <c r="B55" s="43">
        <f>'3. Ekonomikalkyl ingen moms'!M15</f>
        <v>0</v>
      </c>
      <c r="C55" s="80">
        <f>'3. Ekonomikalkyl ingen moms'!J15</f>
        <v>0</v>
      </c>
      <c r="D55" s="43">
        <f>'3. Ekonomikalkyl ingen moms'!K15</f>
        <v>0</v>
      </c>
      <c r="E55" s="80">
        <f>'3. Ekonomikalkyl ingen moms'!H74</f>
        <v>0.2</v>
      </c>
      <c r="F55" s="43">
        <f>B55*E55</f>
        <v>0</v>
      </c>
      <c r="G55" s="55">
        <f>IF(B55=0,0,-PMT(C55,D55,B55-F55)+12*K55)</f>
        <v>0</v>
      </c>
      <c r="H55" s="22" t="s">
        <v>66</v>
      </c>
      <c r="K55" s="269">
        <v>15</v>
      </c>
    </row>
    <row r="56" spans="2:11" s="22" customFormat="1" ht="11.25" x14ac:dyDescent="0.2">
      <c r="B56" s="43">
        <f>B55</f>
        <v>0</v>
      </c>
      <c r="C56" s="83">
        <f>C55</f>
        <v>0</v>
      </c>
      <c r="D56" s="286">
        <f>D55</f>
        <v>0</v>
      </c>
      <c r="E56" s="83">
        <f>E55</f>
        <v>0.2</v>
      </c>
      <c r="F56" s="43">
        <f>F55</f>
        <v>0</v>
      </c>
      <c r="G56" s="88">
        <f>IF(D56=0,0,(C56*F56))</f>
        <v>0</v>
      </c>
      <c r="H56" s="22" t="s">
        <v>67</v>
      </c>
    </row>
    <row r="57" spans="2:11" s="22" customFormat="1" ht="11.25" x14ac:dyDescent="0.2">
      <c r="C57" s="43"/>
      <c r="D57" s="83"/>
      <c r="F57" s="89" t="s">
        <v>38</v>
      </c>
      <c r="G57" s="43"/>
    </row>
    <row r="58" spans="2:11" s="22" customFormat="1" ht="11.25" x14ac:dyDescent="0.2">
      <c r="F58" s="74" t="s">
        <v>40</v>
      </c>
      <c r="G58" s="43">
        <f>G55+G56</f>
        <v>0</v>
      </c>
      <c r="H58" s="22" t="s">
        <v>68</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20</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96</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97</v>
      </c>
      <c r="B70" s="99">
        <f>'3. Ekonomikalkyl ingen moms'!M13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98</v>
      </c>
      <c r="B71" s="6">
        <f>IF(B70=0,0,IF('3. Ekonomikalkyl ingen moms'!$K13=2,0,IF('3. Ekonomikalkyl ingen moms'!$K13=1,0,'3. Ekonomikalkyl ingen moms'!$M13/(2*'3. Ekonomikalkyl ingen moms'!$L13))))</f>
        <v>0</v>
      </c>
      <c r="C71" s="103"/>
      <c r="D71" s="104"/>
      <c r="E71" s="104"/>
      <c r="F71" s="104"/>
      <c r="G71" s="104"/>
      <c r="H71" s="6">
        <f>IF(H70=0,0,IF('3. Ekonomikalkyl ingen moms'!$K13=2,0,IF('3. Ekonomikalkyl ingen moms'!$K13=1,0,'3. Ekonomikalkyl ingen moms'!$M13/(2*'3. Ekonomikalkyl ingen moms'!$L13))))</f>
        <v>0</v>
      </c>
      <c r="I71" s="104"/>
      <c r="J71" s="104"/>
      <c r="K71" s="104"/>
      <c r="L71" s="104"/>
      <c r="M71" s="104"/>
      <c r="N71" s="6">
        <f>IF(N70=0,0,IF('3. Ekonomikalkyl ingen moms'!$K13=2,0,IF('3. Ekonomikalkyl ingen moms'!$K13=1,0,'3. Ekonomikalkyl ingen moms'!$M13/(2*'3. Ekonomikalkyl ingen moms'!$L13))))</f>
        <v>0</v>
      </c>
      <c r="O71" s="104"/>
      <c r="P71" s="105"/>
      <c r="Q71" s="2"/>
      <c r="R71" s="2"/>
      <c r="S71" s="2"/>
      <c r="T71" s="6">
        <f>IF(T70=0,0,IF('3. Ekonomikalkyl ingen moms'!$K13=2,0,IF('3. Ekonomikalkyl ingen moms'!$K13=1,0,'3. Ekonomikalkyl ingen moms'!$M13/(2*'3. Ekonomikalkyl ingen moms'!$L13))))</f>
        <v>0</v>
      </c>
      <c r="U71" s="2"/>
      <c r="V71" s="2"/>
      <c r="W71" s="2"/>
      <c r="X71" s="2"/>
      <c r="Y71" s="2"/>
      <c r="Z71" s="6">
        <f>IF(Z70=0,0,IF('3. Ekonomikalkyl ingen moms'!$K13=2,0,IF('3. Ekonomikalkyl ingen moms'!$K13=1,0,'3. Ekonomikalkyl ingen moms'!$M13/(2*'3. Ekonomikalkyl ingen moms'!$L13))))</f>
        <v>0</v>
      </c>
      <c r="AA71" s="2"/>
      <c r="AB71" s="2"/>
      <c r="AC71" s="2"/>
      <c r="AD71" s="2"/>
      <c r="AE71" s="2"/>
      <c r="AF71" s="6">
        <f>IF(AF70=0,0,IF('3. Ekonomikalkyl ingen moms'!$K13=2,0,IF('3. Ekonomikalkyl ingen moms'!$K13=1,0,'3. Ekonomikalkyl ingen moms'!$M13/(2*'3. Ekonomikalkyl ingen moms'!$L13))))</f>
        <v>0</v>
      </c>
      <c r="AG71" s="2"/>
      <c r="AH71" s="2"/>
      <c r="AI71" s="2"/>
      <c r="AJ71" s="2"/>
      <c r="AK71" s="2"/>
      <c r="AL71" s="6">
        <f>IF(AL70=0,0,IF('3. Ekonomikalkyl ingen moms'!$K13=2,0,IF('3. Ekonomikalkyl ingen moms'!$K13=1,0,'3. Ekonomikalkyl ingen moms'!$M13/(2*'3. Ekonomikalkyl ingen moms'!$L13))))</f>
        <v>0</v>
      </c>
    </row>
    <row r="72" spans="1:38" s="22" customFormat="1" ht="12" x14ac:dyDescent="0.2">
      <c r="A72" s="106" t="s">
        <v>117</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17</v>
      </c>
      <c r="B73" s="108">
        <f>'1. Ekonomikalkyl'!J12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99</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100</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101</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102</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103</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104</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105</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106</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107</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108</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109</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110</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111</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112</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119</v>
      </c>
      <c r="B88" s="99">
        <f>'3. Ekonomikalkyl ingen moms'!M12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98</v>
      </c>
      <c r="B89" s="6">
        <f>IF(B88=0,0,IF('3. Ekonomikalkyl ingen moms'!$K12=2,0,IF('3. Ekonomikalkyl ingen moms'!$K12=1,0,'3. Ekonomikalkyl ingen moms'!$M12/(2*'3. Ekonomikalkyl ingen moms'!$L12))))</f>
        <v>0</v>
      </c>
      <c r="C89" s="103"/>
      <c r="D89" s="104"/>
      <c r="E89" s="104"/>
      <c r="F89" s="104"/>
      <c r="G89" s="104"/>
      <c r="H89" s="6">
        <f>IF(H88=0,0,IF('3. Ekonomikalkyl ingen moms'!$K12=2,0,IF('3. Ekonomikalkyl ingen moms'!$K12=1,0,'3. Ekonomikalkyl ingen moms'!$M12/(2*'3. Ekonomikalkyl ingen moms'!$L12))))</f>
        <v>0</v>
      </c>
      <c r="I89" s="104"/>
      <c r="J89" s="104"/>
      <c r="K89" s="104"/>
      <c r="L89" s="104"/>
      <c r="M89" s="104"/>
      <c r="N89" s="6">
        <f>IF(N88=0,0,IF('3. Ekonomikalkyl ingen moms'!$K12=2,0,IF('3. Ekonomikalkyl ingen moms'!$K12=1,0,'3. Ekonomikalkyl ingen moms'!$M12/(2*'3. Ekonomikalkyl ingen moms'!$L12))))</f>
        <v>0</v>
      </c>
      <c r="O89" s="104"/>
      <c r="P89" s="105"/>
      <c r="T89" s="6">
        <f>IF(T88=0,0,IF('3. Ekonomikalkyl ingen moms'!$K12=2,0,IF('3. Ekonomikalkyl ingen moms'!$K12=1,0,'3. Ekonomikalkyl ingen moms'!$M12/(2*'3. Ekonomikalkyl ingen moms'!$L12))))</f>
        <v>0</v>
      </c>
      <c r="Z89" s="6">
        <f>IF(Z88=0,0,IF('3. Ekonomikalkyl ingen moms'!$K12=2,0,IF('3. Ekonomikalkyl ingen moms'!$K12=1,0,'3. Ekonomikalkyl ingen moms'!$M12/(2*'3. Ekonomikalkyl ingen moms'!$L12))))</f>
        <v>0</v>
      </c>
      <c r="AF89" s="6">
        <f>IF(AF88=0,0,IF('3. Ekonomikalkyl ingen moms'!$K12=2,0,IF('3. Ekonomikalkyl ingen moms'!$K12=1,0,'3. Ekonomikalkyl ingen moms'!$M12/(2*'3. Ekonomikalkyl ingen moms'!$L12))))</f>
        <v>0</v>
      </c>
      <c r="AL89" s="6">
        <f>IF(AL88=0,0,IF('3. Ekonomikalkyl ingen moms'!$K12=2,0,IF('3. Ekonomikalkyl ingen moms'!$K12=1,0,'3. Ekonomikalkyl ingen moms'!$M12/(2*'3. Ekonomikalkyl ingen moms'!$L12))))</f>
        <v>0</v>
      </c>
    </row>
    <row r="90" spans="1:38" s="2" customFormat="1" ht="12" x14ac:dyDescent="0.2">
      <c r="A90" s="106" t="s">
        <v>117</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17</v>
      </c>
      <c r="B91" s="108">
        <f>'1. Ekonomikalkyl'!J13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99</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100</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101</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102</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103</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104</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105</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106</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107</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108</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109</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110</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111</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112</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118</v>
      </c>
      <c r="B106" s="99">
        <f>'3. Ekonomikalkyl ingen moms'!M14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98</v>
      </c>
      <c r="B107" s="6">
        <f>IF(B106=0,0,IF('3. Ekonomikalkyl ingen moms'!$K14=2,0,IF('3. Ekonomikalkyl ingen moms'!$K14=1,0,'3. Ekonomikalkyl ingen moms'!$M14/(2*'3. Ekonomikalkyl ingen moms'!$L14))))</f>
        <v>0</v>
      </c>
      <c r="C107" s="103"/>
      <c r="D107" s="104"/>
      <c r="E107" s="104"/>
      <c r="F107" s="104"/>
      <c r="G107" s="104"/>
      <c r="H107" s="6">
        <f>IF(H106=0,0,IF('3. Ekonomikalkyl ingen moms'!$K14=2,0,IF('3. Ekonomikalkyl ingen moms'!$K14=1,0,'3. Ekonomikalkyl ingen moms'!$M14/(2*'3. Ekonomikalkyl ingen moms'!$L14))))</f>
        <v>0</v>
      </c>
      <c r="I107" s="104"/>
      <c r="J107" s="6">
        <v>0</v>
      </c>
      <c r="K107" s="104"/>
      <c r="L107" s="104"/>
      <c r="M107" s="104"/>
      <c r="N107" s="6">
        <f>IF(N106=0,0,IF('3. Ekonomikalkyl ingen moms'!$K14=2,0,IF('3. Ekonomikalkyl ingen moms'!$K14=1,0,'3. Ekonomikalkyl ingen moms'!$M14/(2*'3. Ekonomikalkyl ingen moms'!$L14))))</f>
        <v>0</v>
      </c>
      <c r="O107" s="104"/>
      <c r="P107" s="105"/>
      <c r="T107" s="6">
        <f>IF(T106=0,0,IF('3. Ekonomikalkyl ingen moms'!$K14=2,0,IF('3. Ekonomikalkyl ingen moms'!$K14=1,0,'3. Ekonomikalkyl ingen moms'!$M14/(2*'3. Ekonomikalkyl ingen moms'!$L14))))</f>
        <v>0</v>
      </c>
      <c r="Z107" s="6">
        <f>IF(Z106=0,0,IF('3. Ekonomikalkyl ingen moms'!$K14=2,0,IF('3. Ekonomikalkyl ingen moms'!$K14=1,0,'3. Ekonomikalkyl ingen moms'!$M14/(2*'3. Ekonomikalkyl ingen moms'!$L14))))</f>
        <v>0</v>
      </c>
      <c r="AF107" s="6">
        <f>IF(AF106=0,0,IF('3. Ekonomikalkyl ingen moms'!$K14=2,0,IF('3. Ekonomikalkyl ingen moms'!$K14=1,0,'3. Ekonomikalkyl ingen moms'!$M14/(2*'3. Ekonomikalkyl ingen moms'!$L14))))</f>
        <v>0</v>
      </c>
      <c r="AL107" s="6">
        <f>IF(AL106=0,0,IF('3. Ekonomikalkyl ingen moms'!$K14=2,0,IF('3. Ekonomikalkyl ingen moms'!$K14=1,0,'3. Ekonomikalkyl ingen moms'!$M14/(2*'3. Ekonomikalkyl ingen moms'!$L14))))</f>
        <v>0</v>
      </c>
    </row>
    <row r="108" spans="1:38" s="2" customFormat="1" ht="12" x14ac:dyDescent="0.2">
      <c r="A108" s="106" t="s">
        <v>117</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17</v>
      </c>
      <c r="B109" s="108">
        <f>'1. Ekonomikalkyl'!J14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99</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100</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101</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102</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103</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104</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105</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106</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107</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108</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109</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110</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111</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112</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120</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121</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122</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123</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101</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102</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103</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104</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105</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82" customFormat="1" x14ac:dyDescent="0.2">
      <c r="A133" s="878" t="s">
        <v>106</v>
      </c>
      <c r="B133" s="879"/>
      <c r="C133" s="880"/>
      <c r="D133" s="881"/>
      <c r="E133" s="881"/>
      <c r="F133" s="881"/>
      <c r="G133" s="881"/>
      <c r="H133" s="881">
        <f>H117+H99+H81</f>
        <v>0</v>
      </c>
      <c r="I133" s="881"/>
      <c r="J133" s="881"/>
      <c r="K133" s="881"/>
      <c r="L133" s="881"/>
      <c r="M133" s="881"/>
      <c r="N133" s="881"/>
      <c r="O133" s="881"/>
      <c r="P133" s="881"/>
      <c r="T133" s="881">
        <f>T117+T99+T81</f>
        <v>0</v>
      </c>
      <c r="AA133" s="881"/>
      <c r="AB133" s="881"/>
      <c r="AF133" s="881">
        <f>AF117+AF99+AF81</f>
        <v>0</v>
      </c>
      <c r="AL133" s="883"/>
    </row>
    <row r="134" spans="1:38" s="2" customFormat="1" ht="12" x14ac:dyDescent="0.2">
      <c r="A134" s="135" t="s">
        <v>107</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108</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109</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110</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111</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112</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129</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126</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101</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102</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103</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104</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105</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82" customFormat="1" x14ac:dyDescent="0.2">
      <c r="A147" s="878" t="s">
        <v>106</v>
      </c>
      <c r="B147" s="879"/>
      <c r="C147" s="880"/>
      <c r="D147" s="881"/>
      <c r="E147" s="881"/>
      <c r="F147" s="881"/>
      <c r="G147" s="881"/>
      <c r="H147" s="881">
        <f>H$125+B125+C125+D125+E125+F125+G125+H133</f>
        <v>0</v>
      </c>
      <c r="I147" s="881"/>
      <c r="J147" s="881"/>
      <c r="K147" s="881"/>
      <c r="L147" s="881"/>
      <c r="M147" s="881"/>
      <c r="N147" s="881"/>
      <c r="O147" s="881"/>
      <c r="P147" s="881"/>
      <c r="T147" s="881">
        <f>T$125+N$125+M$125+L$125+K$125+J$125+I$125+O$125+P$125+Q$125+R$125+S$125+T133</f>
        <v>0</v>
      </c>
      <c r="AA147" s="881"/>
      <c r="AB147" s="881"/>
      <c r="AF147" s="881">
        <f>AF$125+Z$125+Y$125+X$125+W$125+V$125+U$125+AA$125+AB$125+AC$125+AD$125+AE$125+AF133</f>
        <v>0</v>
      </c>
      <c r="AL147" s="883"/>
    </row>
    <row r="148" spans="1:38" x14ac:dyDescent="0.2">
      <c r="A148" s="220" t="s">
        <v>107</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108</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109</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110</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111</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112</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113</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98</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99</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100</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101</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102</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103</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104</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105</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106</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107</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108</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109</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110</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111</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112</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124</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125</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114</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115</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101</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102</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103</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104</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105</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106</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107</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108</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109</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110</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111</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112</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116</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101</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102</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103</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104</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105</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106</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107</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108</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109</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110</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111</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112</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J00QdO2mJsoOyKpCdmbhqYqLaXvJLfItjQbbAZi9xuHksJOxSiJYUm4ffFZnUVzdUDi3JpK7Z2CiHrUqBQUxzA==" saltValue="+yC1clMtmlOifsJopwG2wA=="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197</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198</v>
      </c>
      <c r="E5" s="326" t="str">
        <f>'2. Kassabudget'!G7</f>
        <v>JAN</v>
      </c>
      <c r="F5" s="326" t="str">
        <f>'2. Kassabudget'!H7</f>
        <v>FEB</v>
      </c>
      <c r="G5" s="326" t="str">
        <f>'2. Kassabudget'!I7</f>
        <v>MARS</v>
      </c>
      <c r="H5" s="326" t="str">
        <f>'2. Kassabudget'!J7</f>
        <v>APR</v>
      </c>
      <c r="I5" s="326" t="str">
        <f>'2. Kassabudget'!K7</f>
        <v>MAJ</v>
      </c>
      <c r="J5" s="326" t="str">
        <f>'2. Kassabudget'!L7</f>
        <v>JUNI</v>
      </c>
      <c r="K5" s="326" t="str">
        <f>'2. Kassabudget'!M7</f>
        <v>JULI</v>
      </c>
      <c r="L5" s="326" t="str">
        <f>'2. Kassabudget'!N7</f>
        <v>AUG</v>
      </c>
      <c r="M5" s="326" t="str">
        <f>'2. Kassabudget'!O7</f>
        <v>SEP</v>
      </c>
      <c r="N5" s="326" t="str">
        <f>'2. Kassabudget'!P7</f>
        <v>OKT</v>
      </c>
      <c r="O5" s="326" t="str">
        <f>'2. Kassabudget'!Q7</f>
        <v>NOV</v>
      </c>
      <c r="P5" s="326" t="str">
        <f>'2. Kassabudget'!R7</f>
        <v>DEC</v>
      </c>
      <c r="Q5" s="327" t="s">
        <v>171</v>
      </c>
    </row>
    <row r="6" spans="2:17" x14ac:dyDescent="0.2">
      <c r="C6" s="328" t="s">
        <v>228</v>
      </c>
      <c r="D6" s="329">
        <v>0</v>
      </c>
      <c r="E6" s="330">
        <f>'2. Kassabudget'!G9</f>
        <v>0</v>
      </c>
      <c r="F6" s="330">
        <f>'2. Kassabudget'!H9</f>
        <v>0</v>
      </c>
      <c r="G6" s="330">
        <f>'2. Kassabudget'!I9</f>
        <v>0</v>
      </c>
      <c r="H6" s="330">
        <f>'2. Kassabudget'!J9</f>
        <v>0</v>
      </c>
      <c r="I6" s="330">
        <f>'2. Kassabudget'!K9</f>
        <v>0</v>
      </c>
      <c r="J6" s="330">
        <f>'2. Kassabudget'!L9</f>
        <v>0</v>
      </c>
      <c r="K6" s="330">
        <f>'2. Kassabudget'!M9</f>
        <v>0</v>
      </c>
      <c r="L6" s="330">
        <f>'2. Kassabudget'!N9</f>
        <v>0</v>
      </c>
      <c r="M6" s="330">
        <f>'2. Kassabudget'!O9</f>
        <v>0</v>
      </c>
      <c r="N6" s="330">
        <f>'2. Kassabudget'!P9</f>
        <v>0</v>
      </c>
      <c r="O6" s="330">
        <f>'2. Kassabudget'!Q9</f>
        <v>0</v>
      </c>
      <c r="P6" s="330">
        <f>'2. Kassabudget'!R9</f>
        <v>0</v>
      </c>
      <c r="Q6" s="331">
        <f>SUM(E6:P6)</f>
        <v>0</v>
      </c>
    </row>
    <row r="7" spans="2:17" x14ac:dyDescent="0.2">
      <c r="C7" s="332" t="s">
        <v>199</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229</v>
      </c>
      <c r="D8" s="336">
        <f>D6</f>
        <v>0</v>
      </c>
      <c r="E8" s="330">
        <f>'2. Kassabudget'!G11</f>
        <v>0</v>
      </c>
      <c r="F8" s="330">
        <f>'2. Kassabudget'!H11</f>
        <v>0</v>
      </c>
      <c r="G8" s="330">
        <f>'2. Kassabudget'!I11</f>
        <v>0</v>
      </c>
      <c r="H8" s="330">
        <f>'2. Kassabudget'!J11</f>
        <v>0</v>
      </c>
      <c r="I8" s="330">
        <f>'2. Kassabudget'!K11</f>
        <v>0</v>
      </c>
      <c r="J8" s="330">
        <f>'2. Kassabudget'!L11</f>
        <v>0</v>
      </c>
      <c r="K8" s="330">
        <f>'2. Kassabudget'!M11</f>
        <v>0</v>
      </c>
      <c r="L8" s="330">
        <f>'2. Kassabudget'!N11</f>
        <v>0</v>
      </c>
      <c r="M8" s="330">
        <f>'2. Kassabudget'!O11</f>
        <v>0</v>
      </c>
      <c r="N8" s="330">
        <f>'2. Kassabudget'!P11</f>
        <v>0</v>
      </c>
      <c r="O8" s="330">
        <f>'2. Kassabudget'!Q11</f>
        <v>0</v>
      </c>
      <c r="P8" s="330">
        <f>'2. Kassabudget'!R11</f>
        <v>0</v>
      </c>
      <c r="Q8" s="331">
        <f>SUM(E8:P8)</f>
        <v>0</v>
      </c>
    </row>
    <row r="9" spans="2:17" x14ac:dyDescent="0.2">
      <c r="C9" s="332" t="s">
        <v>199</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227</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230</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200</v>
      </c>
      <c r="D15" s="325" t="s">
        <v>198</v>
      </c>
      <c r="E15" s="341" t="str">
        <f>E5</f>
        <v>JAN</v>
      </c>
      <c r="F15" s="341" t="str">
        <f t="shared" ref="F15:P15" si="3">F5</f>
        <v>FEB</v>
      </c>
      <c r="G15" s="341" t="str">
        <f t="shared" si="3"/>
        <v>MARS</v>
      </c>
      <c r="H15" s="341" t="str">
        <f t="shared" si="3"/>
        <v>APR</v>
      </c>
      <c r="I15" s="341" t="str">
        <f t="shared" si="3"/>
        <v>MAJ</v>
      </c>
      <c r="J15" s="341" t="str">
        <f t="shared" si="3"/>
        <v>JUNI</v>
      </c>
      <c r="K15" s="341" t="str">
        <f t="shared" si="3"/>
        <v>JULI</v>
      </c>
      <c r="L15" s="341" t="str">
        <f t="shared" si="3"/>
        <v>AUG</v>
      </c>
      <c r="M15" s="341" t="str">
        <f t="shared" si="3"/>
        <v>SEP</v>
      </c>
      <c r="N15" s="341" t="str">
        <f t="shared" si="3"/>
        <v>OKT</v>
      </c>
      <c r="O15" s="341" t="str">
        <f t="shared" si="3"/>
        <v>NOV</v>
      </c>
      <c r="P15" s="341" t="str">
        <f t="shared" si="3"/>
        <v>DEC</v>
      </c>
      <c r="Q15" s="342" t="s">
        <v>171</v>
      </c>
    </row>
    <row r="16" spans="2:17" x14ac:dyDescent="0.2">
      <c r="B16" s="279">
        <v>6</v>
      </c>
      <c r="C16" s="343" t="s">
        <v>239</v>
      </c>
      <c r="D16" s="441">
        <v>0</v>
      </c>
      <c r="E16" s="562">
        <f>IF('4. Kassabudget ingen moms'!$U12=0,0,(('4. Kassabudget ingen moms'!G9+'4. Kassabudget ingen moms'!G11)/'4. Kassabudget ingen moms'!$U12)*'3. Ekonomikalkyl ingen moms'!$J237)</f>
        <v>0</v>
      </c>
      <c r="F16" s="562">
        <f>IF('4. Kassabudget ingen moms'!$U12=0,0,(('4. Kassabudget ingen moms'!H9+'4. Kassabudget ingen moms'!H11)/'4. Kassabudget ingen moms'!$U12)*'3. Ekonomikalkyl ingen moms'!$J237)</f>
        <v>0</v>
      </c>
      <c r="G16" s="562">
        <f>IF('4. Kassabudget ingen moms'!$U12=0,0,(('4. Kassabudget ingen moms'!I9+'4. Kassabudget ingen moms'!I11)/'4. Kassabudget ingen moms'!$U12)*'3. Ekonomikalkyl ingen moms'!$J237)</f>
        <v>0</v>
      </c>
      <c r="H16" s="562">
        <f>IF('4. Kassabudget ingen moms'!$U12=0,0,(('4. Kassabudget ingen moms'!J9+'4. Kassabudget ingen moms'!J11)/'4. Kassabudget ingen moms'!$U12)*'3. Ekonomikalkyl ingen moms'!$J237)</f>
        <v>0</v>
      </c>
      <c r="I16" s="562">
        <f>IF('4. Kassabudget ingen moms'!$U12=0,0,(('4. Kassabudget ingen moms'!K9+'4. Kassabudget ingen moms'!K11)/'4. Kassabudget ingen moms'!$U12)*'3. Ekonomikalkyl ingen moms'!$J237)</f>
        <v>0</v>
      </c>
      <c r="J16" s="562">
        <f>IF('4. Kassabudget ingen moms'!$U12=0,0,(('4. Kassabudget ingen moms'!L9+'4. Kassabudget ingen moms'!L11)/'4. Kassabudget ingen moms'!$U12)*'3. Ekonomikalkyl ingen moms'!$J237)</f>
        <v>0</v>
      </c>
      <c r="K16" s="562">
        <f>IF('4. Kassabudget ingen moms'!$U12=0,0,(('4. Kassabudget ingen moms'!M9+'4. Kassabudget ingen moms'!M11)/'4. Kassabudget ingen moms'!$U12)*'3. Ekonomikalkyl ingen moms'!$J237)</f>
        <v>0</v>
      </c>
      <c r="L16" s="562">
        <f>IF('4. Kassabudget ingen moms'!$U12=0,0,(('4. Kassabudget ingen moms'!N9+'4. Kassabudget ingen moms'!N11)/'4. Kassabudget ingen moms'!$U12)*'3. Ekonomikalkyl ingen moms'!$J237)</f>
        <v>0</v>
      </c>
      <c r="M16" s="562">
        <f>IF('4. Kassabudget ingen moms'!$U12=0,0,(('4. Kassabudget ingen moms'!O9+'4. Kassabudget ingen moms'!O11)/'4. Kassabudget ingen moms'!$U12)*'3. Ekonomikalkyl ingen moms'!$J237)</f>
        <v>0</v>
      </c>
      <c r="N16" s="562">
        <f>IF('4. Kassabudget ingen moms'!$U12=0,0,(('4. Kassabudget ingen moms'!P9+'4. Kassabudget ingen moms'!P11)/'4. Kassabudget ingen moms'!$U12)*'3. Ekonomikalkyl ingen moms'!$J237)</f>
        <v>0</v>
      </c>
      <c r="O16" s="562">
        <f>IF('4. Kassabudget ingen moms'!$U12=0,0,(('4. Kassabudget ingen moms'!Q9+'4. Kassabudget ingen moms'!Q11)/'4. Kassabudget ingen moms'!$U12)*'3. Ekonomikalkyl ingen moms'!$J237)</f>
        <v>0</v>
      </c>
      <c r="P16" s="562">
        <f>IF('4. Kassabudget ingen moms'!$U12=0,0,(('4. Kassabudget ingen moms'!R9+'4. Kassabudget ingen moms'!R11)/'4. Kassabudget ingen moms'!$U12)*'3. Ekonomikalkyl ingen moms'!$J237)</f>
        <v>0</v>
      </c>
      <c r="Q16" s="331">
        <f>SUM(E16:P16)</f>
        <v>0</v>
      </c>
    </row>
    <row r="17" spans="2:21" x14ac:dyDescent="0.2">
      <c r="C17" s="348" t="s">
        <v>201</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t="str">
        <f>'2. Kassabudget'!B21</f>
        <v>7.</v>
      </c>
      <c r="C18" s="348" t="str">
        <f>'2. Kassabudget'!C21</f>
        <v xml:space="preserve"> Lokalhyror</v>
      </c>
      <c r="D18" s="371">
        <v>0</v>
      </c>
      <c r="E18" s="349">
        <f>'2. Kassabudget'!G21</f>
        <v>0</v>
      </c>
      <c r="F18" s="349">
        <f>'2. Kassabudget'!H21</f>
        <v>0</v>
      </c>
      <c r="G18" s="349">
        <f>'2. Kassabudget'!I21</f>
        <v>0</v>
      </c>
      <c r="H18" s="349">
        <f>'2. Kassabudget'!J21</f>
        <v>0</v>
      </c>
      <c r="I18" s="349">
        <f>'2. Kassabudget'!K21</f>
        <v>0</v>
      </c>
      <c r="J18" s="349">
        <f>'2. Kassabudget'!L21</f>
        <v>0</v>
      </c>
      <c r="K18" s="349">
        <f>'2. Kassabudget'!M21</f>
        <v>0</v>
      </c>
      <c r="L18" s="349">
        <f>'2. Kassabudget'!N21</f>
        <v>0</v>
      </c>
      <c r="M18" s="349">
        <f>'2. Kassabudget'!O21</f>
        <v>0</v>
      </c>
      <c r="N18" s="349">
        <f>'2. Kassabudget'!P21</f>
        <v>0</v>
      </c>
      <c r="O18" s="349">
        <f>'2. Kassabudget'!Q21</f>
        <v>0</v>
      </c>
      <c r="P18" s="349">
        <f>'2. Kassabudget'!R21</f>
        <v>0</v>
      </c>
      <c r="Q18" s="331">
        <f>SUM(E18:P18)</f>
        <v>0</v>
      </c>
    </row>
    <row r="19" spans="2:21" x14ac:dyDescent="0.2">
      <c r="C19" s="348" t="s">
        <v>201</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t="str">
        <f>'2. Kassabudget'!B22</f>
        <v>8.</v>
      </c>
      <c r="C20" s="343" t="str">
        <f>'2. Kassabudget'!C22</f>
        <v xml:space="preserve"> Leasing- och inventariehyror</v>
      </c>
      <c r="D20" s="371">
        <v>0</v>
      </c>
      <c r="E20" s="344">
        <f>'2. Kassabudget'!G22</f>
        <v>0</v>
      </c>
      <c r="F20" s="344">
        <f>'2. Kassabudget'!H22</f>
        <v>0</v>
      </c>
      <c r="G20" s="344">
        <f>'2. Kassabudget'!I22</f>
        <v>0</v>
      </c>
      <c r="H20" s="344">
        <f>'2. Kassabudget'!J22</f>
        <v>0</v>
      </c>
      <c r="I20" s="344">
        <f>'2. Kassabudget'!K22</f>
        <v>0</v>
      </c>
      <c r="J20" s="344">
        <f>'2. Kassabudget'!L22</f>
        <v>0</v>
      </c>
      <c r="K20" s="344">
        <f>'2. Kassabudget'!M22</f>
        <v>0</v>
      </c>
      <c r="L20" s="344">
        <f>'2. Kassabudget'!N22</f>
        <v>0</v>
      </c>
      <c r="M20" s="344">
        <f>'2. Kassabudget'!O22</f>
        <v>0</v>
      </c>
      <c r="N20" s="344">
        <f>'2. Kassabudget'!P22</f>
        <v>0</v>
      </c>
      <c r="O20" s="344">
        <f>'2. Kassabudget'!Q22</f>
        <v>0</v>
      </c>
      <c r="P20" s="344">
        <f>'2. Kassabudget'!R22</f>
        <v>0</v>
      </c>
      <c r="Q20" s="331">
        <f>SUM(E20:P20)</f>
        <v>0</v>
      </c>
    </row>
    <row r="21" spans="2:21" x14ac:dyDescent="0.2">
      <c r="C21" s="345" t="s">
        <v>201</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t="str">
        <f>'2. Kassabudget'!B23</f>
        <v>9.</v>
      </c>
      <c r="C22" s="348" t="str">
        <f>'2. Kassabudget'!C23</f>
        <v xml:space="preserve"> El-, värme- och vattenkostnader</v>
      </c>
      <c r="D22" s="372">
        <v>0</v>
      </c>
      <c r="E22" s="349">
        <f>'2. Kassabudget'!G23</f>
        <v>0</v>
      </c>
      <c r="F22" s="349">
        <f>'2. Kassabudget'!H23</f>
        <v>0</v>
      </c>
      <c r="G22" s="349">
        <f>'2. Kassabudget'!I23</f>
        <v>0</v>
      </c>
      <c r="H22" s="349">
        <f>'2. Kassabudget'!J23</f>
        <v>0</v>
      </c>
      <c r="I22" s="349">
        <f>'2. Kassabudget'!K23</f>
        <v>0</v>
      </c>
      <c r="J22" s="349">
        <f>'2. Kassabudget'!L23</f>
        <v>0</v>
      </c>
      <c r="K22" s="349">
        <f>'2. Kassabudget'!M23</f>
        <v>0</v>
      </c>
      <c r="L22" s="349">
        <f>'2. Kassabudget'!N23</f>
        <v>0</v>
      </c>
      <c r="M22" s="349">
        <f>'2. Kassabudget'!O23</f>
        <v>0</v>
      </c>
      <c r="N22" s="349">
        <f>'2. Kassabudget'!P23</f>
        <v>0</v>
      </c>
      <c r="O22" s="349">
        <f>'2. Kassabudget'!Q23</f>
        <v>0</v>
      </c>
      <c r="P22" s="349">
        <f>'2. Kassabudget'!R23</f>
        <v>0</v>
      </c>
      <c r="Q22" s="331">
        <f>SUM(E22:P22)</f>
        <v>0</v>
      </c>
    </row>
    <row r="23" spans="2:21" x14ac:dyDescent="0.2">
      <c r="C23" s="348" t="s">
        <v>201</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t="str">
        <f>'2. Kassabudget'!B24</f>
        <v>10.</v>
      </c>
      <c r="C24" s="343" t="str">
        <f>'2. Kassabudget'!C24</f>
        <v>Telekommunikationskostnader</v>
      </c>
      <c r="D24" s="371">
        <v>0</v>
      </c>
      <c r="E24" s="344">
        <f>'2. Kassabudget'!G24</f>
        <v>0</v>
      </c>
      <c r="F24" s="344">
        <f>'2. Kassabudget'!H24</f>
        <v>0</v>
      </c>
      <c r="G24" s="344">
        <f>'2. Kassabudget'!I24</f>
        <v>0</v>
      </c>
      <c r="H24" s="344">
        <f>'2. Kassabudget'!J24</f>
        <v>0</v>
      </c>
      <c r="I24" s="344">
        <f>'2. Kassabudget'!K24</f>
        <v>0</v>
      </c>
      <c r="J24" s="344">
        <f>'2. Kassabudget'!L24</f>
        <v>0</v>
      </c>
      <c r="K24" s="344">
        <f>'2. Kassabudget'!M24</f>
        <v>0</v>
      </c>
      <c r="L24" s="344">
        <f>'2. Kassabudget'!N24</f>
        <v>0</v>
      </c>
      <c r="M24" s="344">
        <f>'2. Kassabudget'!O24</f>
        <v>0</v>
      </c>
      <c r="N24" s="344">
        <f>'2. Kassabudget'!P24</f>
        <v>0</v>
      </c>
      <c r="O24" s="344">
        <f>'2. Kassabudget'!Q24</f>
        <v>0</v>
      </c>
      <c r="P24" s="344">
        <f>'2. Kassabudget'!R24</f>
        <v>0</v>
      </c>
      <c r="Q24" s="331">
        <f>SUM(E24:P24)</f>
        <v>0</v>
      </c>
    </row>
    <row r="25" spans="2:21" x14ac:dyDescent="0.2">
      <c r="C25" s="345" t="s">
        <v>201</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t="str">
        <f>'2. Kassabudget'!B25</f>
        <v>11.</v>
      </c>
      <c r="C26" s="348" t="str">
        <f>'2. Kassabudget'!C25</f>
        <v xml:space="preserve"> Marknadsföring och reklam</v>
      </c>
      <c r="D26" s="372">
        <v>0</v>
      </c>
      <c r="E26" s="349">
        <f>'2. Kassabudget'!G25</f>
        <v>0</v>
      </c>
      <c r="F26" s="349">
        <f>'2. Kassabudget'!H25</f>
        <v>0</v>
      </c>
      <c r="G26" s="349">
        <f>'2. Kassabudget'!I25</f>
        <v>0</v>
      </c>
      <c r="H26" s="349">
        <f>'2. Kassabudget'!J25</f>
        <v>0</v>
      </c>
      <c r="I26" s="349">
        <f>'2. Kassabudget'!K25</f>
        <v>0</v>
      </c>
      <c r="J26" s="349">
        <f>'2. Kassabudget'!L25</f>
        <v>0</v>
      </c>
      <c r="K26" s="349">
        <f>'2. Kassabudget'!M25</f>
        <v>0</v>
      </c>
      <c r="L26" s="349">
        <f>'2. Kassabudget'!N25</f>
        <v>0</v>
      </c>
      <c r="M26" s="349">
        <f>'2. Kassabudget'!O25</f>
        <v>0</v>
      </c>
      <c r="N26" s="349">
        <f>'2. Kassabudget'!P25</f>
        <v>0</v>
      </c>
      <c r="O26" s="349">
        <f>'2. Kassabudget'!Q25</f>
        <v>0</v>
      </c>
      <c r="P26" s="349">
        <f>'2. Kassabudget'!R25</f>
        <v>0</v>
      </c>
      <c r="Q26" s="331">
        <f>SUM(E26:P26)</f>
        <v>0</v>
      </c>
    </row>
    <row r="27" spans="2:21" x14ac:dyDescent="0.2">
      <c r="C27" s="348" t="s">
        <v>201</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t="str">
        <f>'2. Kassabudget'!B26</f>
        <v>12.</v>
      </c>
      <c r="C28" s="348" t="str">
        <f>'2. Kassabudget'!C26</f>
        <v xml:space="preserve"> Investeringar inkl. moms</v>
      </c>
      <c r="D28" s="371">
        <v>0</v>
      </c>
      <c r="E28" s="344">
        <f>'2. Kassabudget'!G26</f>
        <v>0</v>
      </c>
      <c r="F28" s="344">
        <f>'2. Kassabudget'!H26</f>
        <v>0</v>
      </c>
      <c r="G28" s="344">
        <f>'2. Kassabudget'!I26</f>
        <v>0</v>
      </c>
      <c r="H28" s="344">
        <f>'2. Kassabudget'!J26</f>
        <v>0</v>
      </c>
      <c r="I28" s="344">
        <f>'2. Kassabudget'!K26</f>
        <v>0</v>
      </c>
      <c r="J28" s="344">
        <f>'2. Kassabudget'!L26</f>
        <v>0</v>
      </c>
      <c r="K28" s="344">
        <f>'2. Kassabudget'!M26</f>
        <v>0</v>
      </c>
      <c r="L28" s="344">
        <f>'2. Kassabudget'!N26</f>
        <v>0</v>
      </c>
      <c r="M28" s="344">
        <f>'2. Kassabudget'!O26</f>
        <v>0</v>
      </c>
      <c r="N28" s="344">
        <f>'2. Kassabudget'!P26</f>
        <v>0</v>
      </c>
      <c r="O28" s="344">
        <f>'2. Kassabudget'!Q26</f>
        <v>0</v>
      </c>
      <c r="P28" s="344">
        <f>'2. Kassabudget'!R26</f>
        <v>0</v>
      </c>
      <c r="Q28" s="331">
        <f>SUM(E28:P28)</f>
        <v>0</v>
      </c>
    </row>
    <row r="29" spans="2:21" x14ac:dyDescent="0.2">
      <c r="C29" s="345" t="s">
        <v>201</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t="str">
        <f>'2. Kassabudget'!B27</f>
        <v>13.</v>
      </c>
      <c r="C30" s="348" t="str">
        <f>'2. Kassabudget'!C27</f>
        <v xml:space="preserve"> Bil/arbetsmaskinkostnader (moms-avdragbara)</v>
      </c>
      <c r="D30" s="371">
        <v>0</v>
      </c>
      <c r="E30" s="318">
        <f>'2. Kassabudget'!G27</f>
        <v>0</v>
      </c>
      <c r="F30" s="318">
        <f>'2. Kassabudget'!H27</f>
        <v>0</v>
      </c>
      <c r="G30" s="318">
        <f>'2. Kassabudget'!I27</f>
        <v>0</v>
      </c>
      <c r="H30" s="318">
        <f>'2. Kassabudget'!J27</f>
        <v>0</v>
      </c>
      <c r="I30" s="318">
        <f>'2. Kassabudget'!K27</f>
        <v>0</v>
      </c>
      <c r="J30" s="318">
        <f>'2. Kassabudget'!L27</f>
        <v>0</v>
      </c>
      <c r="K30" s="318">
        <f>'2. Kassabudget'!M27</f>
        <v>0</v>
      </c>
      <c r="L30" s="318">
        <f>'2. Kassabudget'!N27</f>
        <v>0</v>
      </c>
      <c r="M30" s="318">
        <f>'2. Kassabudget'!O27</f>
        <v>0</v>
      </c>
      <c r="N30" s="318">
        <f>'2. Kassabudget'!P27</f>
        <v>0</v>
      </c>
      <c r="O30" s="318">
        <f>'2. Kassabudget'!Q27</f>
        <v>0</v>
      </c>
      <c r="P30" s="318">
        <f>'2. Kassabudget'!R27</f>
        <v>0</v>
      </c>
      <c r="Q30" s="331">
        <f>SUM(E30:P30)</f>
        <v>0</v>
      </c>
    </row>
    <row r="31" spans="2:21" x14ac:dyDescent="0.2">
      <c r="C31" s="345" t="s">
        <v>201</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t="str">
        <f>'2. Kassabudget'!B28</f>
        <v>14.</v>
      </c>
      <c r="C32" s="348" t="str">
        <f>'2. Kassabudget'!C28</f>
        <v xml:space="preserve"> Städning- och avfallskostnader</v>
      </c>
      <c r="D32" s="372">
        <v>0</v>
      </c>
      <c r="E32" s="318">
        <f>'2. Kassabudget'!G28</f>
        <v>0</v>
      </c>
      <c r="F32" s="318">
        <f>'2. Kassabudget'!H28</f>
        <v>0</v>
      </c>
      <c r="G32" s="318">
        <f>'2. Kassabudget'!I28</f>
        <v>0</v>
      </c>
      <c r="H32" s="318">
        <f>'2. Kassabudget'!J28</f>
        <v>0</v>
      </c>
      <c r="I32" s="318">
        <f>'2. Kassabudget'!K28</f>
        <v>0</v>
      </c>
      <c r="J32" s="318">
        <f>'2. Kassabudget'!L28</f>
        <v>0</v>
      </c>
      <c r="K32" s="318">
        <f>'2. Kassabudget'!M28</f>
        <v>0</v>
      </c>
      <c r="L32" s="318">
        <f>'2. Kassabudget'!N28</f>
        <v>0</v>
      </c>
      <c r="M32" s="318">
        <f>'2. Kassabudget'!O28</f>
        <v>0</v>
      </c>
      <c r="N32" s="318">
        <f>'2. Kassabudget'!P28</f>
        <v>0</v>
      </c>
      <c r="O32" s="318">
        <f>'2. Kassabudget'!Q28</f>
        <v>0</v>
      </c>
      <c r="P32" s="318">
        <f>'2. Kassabudget'!R28</f>
        <v>0</v>
      </c>
      <c r="Q32" s="331">
        <f>SUM(E32:P32)</f>
        <v>0</v>
      </c>
    </row>
    <row r="33" spans="2:22" x14ac:dyDescent="0.2">
      <c r="C33" s="345" t="s">
        <v>201</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t="str">
        <f>'2. Kassabudget'!B29</f>
        <v>15.</v>
      </c>
      <c r="C34" s="348" t="str">
        <f>'2. Kassabudget'!C29</f>
        <v xml:space="preserve"> Övriga maskin- och apparaturkostnader</v>
      </c>
      <c r="D34" s="371">
        <v>0</v>
      </c>
      <c r="E34" s="318">
        <f>'2. Kassabudget'!G29</f>
        <v>0</v>
      </c>
      <c r="F34" s="318">
        <f>'2. Kassabudget'!H29</f>
        <v>0</v>
      </c>
      <c r="G34" s="318">
        <f>'2. Kassabudget'!I29</f>
        <v>0</v>
      </c>
      <c r="H34" s="318">
        <f>'2. Kassabudget'!J29</f>
        <v>0</v>
      </c>
      <c r="I34" s="318">
        <f>'2. Kassabudget'!K29</f>
        <v>0</v>
      </c>
      <c r="J34" s="318">
        <f>'2. Kassabudget'!L29</f>
        <v>0</v>
      </c>
      <c r="K34" s="318">
        <f>'2. Kassabudget'!M29</f>
        <v>0</v>
      </c>
      <c r="L34" s="318">
        <f>'2. Kassabudget'!N29</f>
        <v>0</v>
      </c>
      <c r="M34" s="318">
        <f>'2. Kassabudget'!O29</f>
        <v>0</v>
      </c>
      <c r="N34" s="318">
        <f>'2. Kassabudget'!P29</f>
        <v>0</v>
      </c>
      <c r="O34" s="318">
        <f>'2. Kassabudget'!Q29</f>
        <v>0</v>
      </c>
      <c r="P34" s="318">
        <f>'2. Kassabudget'!R29</f>
        <v>0</v>
      </c>
      <c r="Q34" s="331">
        <f>SUM(E34:P34)</f>
        <v>0</v>
      </c>
    </row>
    <row r="35" spans="2:22" x14ac:dyDescent="0.2">
      <c r="C35" s="345" t="s">
        <v>201</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t="str">
        <f>'2. Kassabudget'!B30</f>
        <v>16.</v>
      </c>
      <c r="C36" s="348" t="str">
        <f>'2. Kassabudget'!C30</f>
        <v xml:space="preserve"> Datorutrustning och -program</v>
      </c>
      <c r="D36" s="350">
        <v>0</v>
      </c>
      <c r="E36" s="318">
        <f>'2. Kassabudget'!G30</f>
        <v>0</v>
      </c>
      <c r="F36" s="318">
        <f>'2. Kassabudget'!H30</f>
        <v>0</v>
      </c>
      <c r="G36" s="318">
        <f>'2. Kassabudget'!I30</f>
        <v>0</v>
      </c>
      <c r="H36" s="318">
        <f>'2. Kassabudget'!J30</f>
        <v>0</v>
      </c>
      <c r="I36" s="318">
        <f>'2. Kassabudget'!K30</f>
        <v>0</v>
      </c>
      <c r="J36" s="318">
        <f>'2. Kassabudget'!L30</f>
        <v>0</v>
      </c>
      <c r="K36" s="318">
        <f>'2. Kassabudget'!M30</f>
        <v>0</v>
      </c>
      <c r="L36" s="318">
        <f>'2. Kassabudget'!N30</f>
        <v>0</v>
      </c>
      <c r="M36" s="318">
        <f>'2. Kassabudget'!O30</f>
        <v>0</v>
      </c>
      <c r="N36" s="318">
        <f>'2. Kassabudget'!P30</f>
        <v>0</v>
      </c>
      <c r="O36" s="318">
        <f>'2. Kassabudget'!Q30</f>
        <v>0</v>
      </c>
      <c r="P36" s="318">
        <f>'2. Kassabudget'!R30</f>
        <v>0</v>
      </c>
      <c r="Q36" s="331">
        <f>SUM(E36:P36)</f>
        <v>0</v>
      </c>
    </row>
    <row r="37" spans="2:22" x14ac:dyDescent="0.2">
      <c r="C37" s="348" t="s">
        <v>202</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t="str">
        <f>'2. Kassabudget'!B31</f>
        <v>17.</v>
      </c>
      <c r="C38" s="343" t="s">
        <v>297</v>
      </c>
      <c r="D38" s="575"/>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201</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202</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203</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54" t="s">
        <v>295</v>
      </c>
      <c r="D45" s="755">
        <v>0</v>
      </c>
      <c r="E45" s="756">
        <f t="shared" ref="E45:P45" si="16">SUM(E47:E50)</f>
        <v>0</v>
      </c>
      <c r="F45" s="756">
        <f t="shared" si="16"/>
        <v>0</v>
      </c>
      <c r="G45" s="756">
        <f t="shared" si="16"/>
        <v>0</v>
      </c>
      <c r="H45" s="756">
        <f t="shared" si="16"/>
        <v>0</v>
      </c>
      <c r="I45" s="756">
        <f t="shared" si="16"/>
        <v>0</v>
      </c>
      <c r="J45" s="756">
        <f t="shared" si="16"/>
        <v>0</v>
      </c>
      <c r="K45" s="756">
        <f t="shared" si="16"/>
        <v>0</v>
      </c>
      <c r="L45" s="756">
        <f t="shared" si="16"/>
        <v>0</v>
      </c>
      <c r="M45" s="756">
        <f t="shared" si="16"/>
        <v>0</v>
      </c>
      <c r="N45" s="756">
        <f t="shared" si="16"/>
        <v>0</v>
      </c>
      <c r="O45" s="756">
        <f t="shared" si="16"/>
        <v>0</v>
      </c>
      <c r="P45" s="756">
        <f t="shared" si="16"/>
        <v>0</v>
      </c>
      <c r="Q45" s="757">
        <f t="shared" ref="Q45:Q50" si="17">SUM(E45:P45)</f>
        <v>0</v>
      </c>
      <c r="S45" s="741" t="s">
        <v>211</v>
      </c>
      <c r="T45" s="741" t="s">
        <v>174</v>
      </c>
      <c r="U45" s="352"/>
    </row>
    <row r="46" spans="2:22" ht="13.5" thickBot="1" x14ac:dyDescent="0.25">
      <c r="C46" s="758" t="s">
        <v>201</v>
      </c>
      <c r="D46" s="759"/>
      <c r="E46" s="760">
        <f>E45-E45/(1+$D45/100)</f>
        <v>0</v>
      </c>
      <c r="F46" s="760">
        <f t="shared" ref="F46:P46" si="18">F45-F45/(1+$D45/100)</f>
        <v>0</v>
      </c>
      <c r="G46" s="760">
        <f t="shared" si="18"/>
        <v>0</v>
      </c>
      <c r="H46" s="760">
        <f t="shared" si="18"/>
        <v>0</v>
      </c>
      <c r="I46" s="760">
        <f t="shared" si="18"/>
        <v>0</v>
      </c>
      <c r="J46" s="760">
        <f t="shared" si="18"/>
        <v>0</v>
      </c>
      <c r="K46" s="760">
        <f t="shared" si="18"/>
        <v>0</v>
      </c>
      <c r="L46" s="760">
        <f t="shared" si="18"/>
        <v>0</v>
      </c>
      <c r="M46" s="760">
        <f t="shared" si="18"/>
        <v>0</v>
      </c>
      <c r="N46" s="760">
        <f t="shared" si="18"/>
        <v>0</v>
      </c>
      <c r="O46" s="760">
        <f t="shared" si="18"/>
        <v>0</v>
      </c>
      <c r="P46" s="760">
        <f t="shared" si="18"/>
        <v>0</v>
      </c>
      <c r="Q46" s="761">
        <f t="shared" si="17"/>
        <v>0</v>
      </c>
      <c r="S46" s="741">
        <f>SUM(S47:S50)</f>
        <v>0</v>
      </c>
      <c r="T46" s="741">
        <f>SUM(T47:T50)</f>
        <v>0</v>
      </c>
      <c r="U46" s="352"/>
    </row>
    <row r="47" spans="2:22" x14ac:dyDescent="0.2">
      <c r="C47" s="752" t="s">
        <v>204</v>
      </c>
      <c r="D47" s="755">
        <v>0</v>
      </c>
      <c r="E47" s="753">
        <f>$T47/12*(1+$D47/100)</f>
        <v>0</v>
      </c>
      <c r="F47" s="753">
        <f t="shared" ref="F47:P50" si="19">$T47/12*(1+$D47/100)</f>
        <v>0</v>
      </c>
      <c r="G47" s="753">
        <f t="shared" si="19"/>
        <v>0</v>
      </c>
      <c r="H47" s="753">
        <f t="shared" si="19"/>
        <v>0</v>
      </c>
      <c r="I47" s="753">
        <f t="shared" si="19"/>
        <v>0</v>
      </c>
      <c r="J47" s="753">
        <f t="shared" si="19"/>
        <v>0</v>
      </c>
      <c r="K47" s="753">
        <f t="shared" si="19"/>
        <v>0</v>
      </c>
      <c r="L47" s="753">
        <f t="shared" si="19"/>
        <v>0</v>
      </c>
      <c r="M47" s="753">
        <f t="shared" si="19"/>
        <v>0</v>
      </c>
      <c r="N47" s="753">
        <f t="shared" si="19"/>
        <v>0</v>
      </c>
      <c r="O47" s="753">
        <f t="shared" si="19"/>
        <v>0</v>
      </c>
      <c r="P47" s="753">
        <f t="shared" si="19"/>
        <v>0</v>
      </c>
      <c r="Q47" s="319">
        <f t="shared" si="17"/>
        <v>0</v>
      </c>
      <c r="R47" s="723"/>
      <c r="S47" s="742">
        <f>T47*(1+' 6 AT Palkat, alv '!D47/100)</f>
        <v>0</v>
      </c>
      <c r="T47" s="762">
        <f>'3. Ekonomikalkyl ingen moms'!J57</f>
        <v>0</v>
      </c>
      <c r="V47" s="280"/>
    </row>
    <row r="48" spans="2:22" x14ac:dyDescent="0.2">
      <c r="C48" s="355" t="s">
        <v>264</v>
      </c>
      <c r="D48" s="354">
        <v>0</v>
      </c>
      <c r="E48" s="749">
        <f>$T48/12*(1+$D48/100)</f>
        <v>0</v>
      </c>
      <c r="F48" s="749">
        <f t="shared" si="19"/>
        <v>0</v>
      </c>
      <c r="G48" s="750">
        <f t="shared" si="19"/>
        <v>0</v>
      </c>
      <c r="H48" s="750">
        <f t="shared" si="19"/>
        <v>0</v>
      </c>
      <c r="I48" s="750">
        <f t="shared" si="19"/>
        <v>0</v>
      </c>
      <c r="J48" s="750">
        <f t="shared" si="19"/>
        <v>0</v>
      </c>
      <c r="K48" s="750">
        <f t="shared" si="19"/>
        <v>0</v>
      </c>
      <c r="L48" s="750">
        <f t="shared" si="19"/>
        <v>0</v>
      </c>
      <c r="M48" s="750">
        <f t="shared" si="19"/>
        <v>0</v>
      </c>
      <c r="N48" s="750">
        <f t="shared" si="19"/>
        <v>0</v>
      </c>
      <c r="O48" s="750">
        <f t="shared" si="19"/>
        <v>0</v>
      </c>
      <c r="P48" s="750">
        <f t="shared" si="19"/>
        <v>0</v>
      </c>
      <c r="Q48" s="722">
        <f t="shared" si="17"/>
        <v>0</v>
      </c>
      <c r="R48" s="723"/>
      <c r="S48" s="742">
        <f>T48*(1+' 6 AT Palkat, alv '!D48/100)</f>
        <v>0</v>
      </c>
      <c r="T48" s="762">
        <f>'3. Ekonomikalkyl ingen moms'!J113</f>
        <v>0</v>
      </c>
      <c r="V48" s="280"/>
    </row>
    <row r="49" spans="3:24" x14ac:dyDescent="0.2">
      <c r="C49" s="363" t="s">
        <v>210</v>
      </c>
      <c r="D49" s="354">
        <v>0</v>
      </c>
      <c r="E49" s="749">
        <f>$T49/12*(1+$D49/100)</f>
        <v>0</v>
      </c>
      <c r="F49" s="749">
        <f t="shared" si="19"/>
        <v>0</v>
      </c>
      <c r="G49" s="749">
        <f t="shared" si="19"/>
        <v>0</v>
      </c>
      <c r="H49" s="749">
        <f t="shared" si="19"/>
        <v>0</v>
      </c>
      <c r="I49" s="749">
        <f t="shared" si="19"/>
        <v>0</v>
      </c>
      <c r="J49" s="749">
        <f t="shared" si="19"/>
        <v>0</v>
      </c>
      <c r="K49" s="749">
        <f t="shared" si="19"/>
        <v>0</v>
      </c>
      <c r="L49" s="749">
        <f t="shared" si="19"/>
        <v>0</v>
      </c>
      <c r="M49" s="749">
        <f t="shared" si="19"/>
        <v>0</v>
      </c>
      <c r="N49" s="749">
        <f t="shared" si="19"/>
        <v>0</v>
      </c>
      <c r="O49" s="749">
        <f t="shared" si="19"/>
        <v>0</v>
      </c>
      <c r="P49" s="749">
        <f t="shared" si="19"/>
        <v>0</v>
      </c>
      <c r="Q49" s="331">
        <f t="shared" si="17"/>
        <v>0</v>
      </c>
      <c r="R49" s="723"/>
      <c r="S49" s="742">
        <f>T49*(1+' 6 AT Palkat, alv '!D49/100)</f>
        <v>0</v>
      </c>
      <c r="T49" s="762">
        <f>'3. Ekonomikalkyl ingen moms'!J114</f>
        <v>0</v>
      </c>
      <c r="V49" s="280"/>
    </row>
    <row r="50" spans="3:24" x14ac:dyDescent="0.2">
      <c r="C50" s="355" t="s">
        <v>205</v>
      </c>
      <c r="D50" s="354">
        <f>D49</f>
        <v>0</v>
      </c>
      <c r="E50" s="749">
        <f>$T50/12*(1+$D50/100)</f>
        <v>0</v>
      </c>
      <c r="F50" s="749">
        <f t="shared" si="19"/>
        <v>0</v>
      </c>
      <c r="G50" s="749">
        <f t="shared" si="19"/>
        <v>0</v>
      </c>
      <c r="H50" s="749">
        <f t="shared" si="19"/>
        <v>0</v>
      </c>
      <c r="I50" s="749">
        <f t="shared" si="19"/>
        <v>0</v>
      </c>
      <c r="J50" s="749">
        <f t="shared" si="19"/>
        <v>0</v>
      </c>
      <c r="K50" s="749">
        <f t="shared" si="19"/>
        <v>0</v>
      </c>
      <c r="L50" s="749">
        <f t="shared" si="19"/>
        <v>0</v>
      </c>
      <c r="M50" s="749">
        <f t="shared" si="19"/>
        <v>0</v>
      </c>
      <c r="N50" s="749">
        <f t="shared" si="19"/>
        <v>0</v>
      </c>
      <c r="O50" s="749">
        <f t="shared" si="19"/>
        <v>0</v>
      </c>
      <c r="P50" s="749">
        <f t="shared" si="19"/>
        <v>0</v>
      </c>
      <c r="Q50" s="331">
        <f t="shared" si="17"/>
        <v>0</v>
      </c>
      <c r="R50" s="723"/>
      <c r="S50" s="742">
        <f>T50*(1+' 6 AT Palkat, alv '!D50/100)</f>
        <v>0</v>
      </c>
      <c r="T50" s="762">
        <f>'3. Ekonomikalkyl ingen moms'!J102</f>
        <v>0</v>
      </c>
      <c r="V50" s="280"/>
    </row>
    <row r="51" spans="3:24" x14ac:dyDescent="0.2">
      <c r="C51" s="724"/>
      <c r="D51" s="725"/>
      <c r="G51" s="726"/>
      <c r="H51" s="726"/>
      <c r="I51" s="726"/>
      <c r="J51" s="726"/>
      <c r="K51" s="726"/>
      <c r="L51" s="726"/>
      <c r="M51" s="726"/>
      <c r="N51" s="726"/>
      <c r="O51" s="726"/>
      <c r="P51" s="726"/>
      <c r="Q51" s="727"/>
      <c r="S51" s="744"/>
      <c r="T51" s="745"/>
      <c r="V51" s="280"/>
    </row>
    <row r="52" spans="3:24" x14ac:dyDescent="0.2">
      <c r="C52" s="724"/>
      <c r="D52" s="725"/>
      <c r="G52" s="726"/>
      <c r="H52" s="726"/>
      <c r="I52" s="726"/>
      <c r="J52" s="726"/>
      <c r="K52" s="726"/>
      <c r="L52" s="726"/>
      <c r="M52" s="726"/>
      <c r="N52" s="726"/>
      <c r="O52" s="726"/>
      <c r="P52" s="726"/>
      <c r="Q52" s="727"/>
      <c r="S52" s="741" t="s">
        <v>211</v>
      </c>
      <c r="T52" s="741" t="s">
        <v>174</v>
      </c>
      <c r="V52" s="280"/>
    </row>
    <row r="53" spans="3:24" x14ac:dyDescent="0.2">
      <c r="C53" s="720" t="s">
        <v>263</v>
      </c>
      <c r="D53" s="354">
        <v>0</v>
      </c>
      <c r="E53" s="751">
        <f t="shared" ref="E53:P53" si="20">$T53/12*(1+$D53/100)</f>
        <v>0</v>
      </c>
      <c r="F53" s="751">
        <f t="shared" si="20"/>
        <v>0</v>
      </c>
      <c r="G53" s="751">
        <f t="shared" si="20"/>
        <v>0</v>
      </c>
      <c r="H53" s="751">
        <f t="shared" si="20"/>
        <v>0</v>
      </c>
      <c r="I53" s="751">
        <f t="shared" si="20"/>
        <v>0</v>
      </c>
      <c r="J53" s="751">
        <f t="shared" si="20"/>
        <v>0</v>
      </c>
      <c r="K53" s="751">
        <f t="shared" si="20"/>
        <v>0</v>
      </c>
      <c r="L53" s="751">
        <f t="shared" si="20"/>
        <v>0</v>
      </c>
      <c r="M53" s="751">
        <f t="shared" si="20"/>
        <v>0</v>
      </c>
      <c r="N53" s="751">
        <f t="shared" si="20"/>
        <v>0</v>
      </c>
      <c r="O53" s="751">
        <f t="shared" si="20"/>
        <v>0</v>
      </c>
      <c r="P53" s="751">
        <f t="shared" si="20"/>
        <v>0</v>
      </c>
      <c r="Q53" s="331">
        <f>SUM(E53:P53)</f>
        <v>0</v>
      </c>
      <c r="R53" s="723"/>
      <c r="S53" s="742">
        <f>T53*(1+' 6 AT Palkat, alv '!D53/100)</f>
        <v>0</v>
      </c>
      <c r="T53" s="762">
        <f>'3. Ekonomikalkyl ingen moms'!J105</f>
        <v>0</v>
      </c>
    </row>
    <row r="54" spans="3:24" x14ac:dyDescent="0.2">
      <c r="C54" s="721" t="s">
        <v>201</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38"/>
      <c r="S54" s="747"/>
      <c r="T54" s="748"/>
    </row>
    <row r="55" spans="3:24" x14ac:dyDescent="0.2">
      <c r="S55" s="741" t="s">
        <v>211</v>
      </c>
      <c r="T55" s="741" t="s">
        <v>174</v>
      </c>
    </row>
    <row r="56" spans="3:24" x14ac:dyDescent="0.2">
      <c r="C56" s="720" t="s">
        <v>262</v>
      </c>
      <c r="D56" s="354">
        <v>0</v>
      </c>
      <c r="E56" s="719">
        <f t="shared" ref="E56:P56" si="22">$T56/12*(1+$D56/100)</f>
        <v>0</v>
      </c>
      <c r="F56" s="719">
        <f t="shared" si="22"/>
        <v>0</v>
      </c>
      <c r="G56" s="719">
        <f t="shared" si="22"/>
        <v>0</v>
      </c>
      <c r="H56" s="719">
        <f t="shared" si="22"/>
        <v>0</v>
      </c>
      <c r="I56" s="719">
        <f t="shared" si="22"/>
        <v>0</v>
      </c>
      <c r="J56" s="719">
        <f t="shared" si="22"/>
        <v>0</v>
      </c>
      <c r="K56" s="719">
        <f t="shared" si="22"/>
        <v>0</v>
      </c>
      <c r="L56" s="719">
        <f t="shared" si="22"/>
        <v>0</v>
      </c>
      <c r="M56" s="719">
        <f t="shared" si="22"/>
        <v>0</v>
      </c>
      <c r="N56" s="719">
        <f t="shared" si="22"/>
        <v>0</v>
      </c>
      <c r="O56" s="719">
        <f t="shared" si="22"/>
        <v>0</v>
      </c>
      <c r="P56" s="719">
        <f t="shared" si="22"/>
        <v>0</v>
      </c>
      <c r="Q56" s="331">
        <f>SUM(E56:P56)</f>
        <v>0</v>
      </c>
      <c r="R56" s="723"/>
      <c r="S56" s="742">
        <f>T56*(1+' 6 AT Palkat, alv '!D56/100)</f>
        <v>0</v>
      </c>
      <c r="T56" s="743">
        <f>'3. Ekonomikalkyl ingen moms'!J106</f>
        <v>0</v>
      </c>
    </row>
    <row r="57" spans="3:24" x14ac:dyDescent="0.2">
      <c r="C57" s="721" t="s">
        <v>201</v>
      </c>
      <c r="D57" s="354" t="s">
        <v>267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38"/>
      <c r="S57" s="739"/>
      <c r="T57" s="740"/>
    </row>
    <row r="58" spans="3:24" x14ac:dyDescent="0.2">
      <c r="C58" s="724"/>
      <c r="D58" s="725"/>
      <c r="G58" s="726"/>
      <c r="H58" s="726"/>
      <c r="I58" s="726"/>
      <c r="J58" s="726"/>
      <c r="K58" s="726"/>
      <c r="L58" s="726"/>
      <c r="M58" s="726"/>
      <c r="N58" s="726"/>
      <c r="O58" s="726"/>
      <c r="P58" s="726"/>
      <c r="Q58" s="727"/>
      <c r="S58" s="744"/>
      <c r="T58" s="745"/>
      <c r="V58" s="280"/>
    </row>
    <row r="59" spans="3:24" x14ac:dyDescent="0.2">
      <c r="C59" s="724"/>
      <c r="D59" s="725"/>
      <c r="G59" s="726"/>
      <c r="H59" s="726"/>
      <c r="I59" s="726"/>
      <c r="J59" s="726"/>
      <c r="K59" s="726"/>
      <c r="L59" s="726"/>
      <c r="M59" s="726"/>
      <c r="N59" s="726"/>
      <c r="O59" s="726"/>
      <c r="P59" s="726"/>
      <c r="Q59" s="727"/>
      <c r="S59" s="741" t="s">
        <v>211</v>
      </c>
      <c r="T59" s="741" t="s">
        <v>174</v>
      </c>
      <c r="V59" s="280"/>
      <c r="W59" s="741" t="s">
        <v>211</v>
      </c>
      <c r="X59" s="741" t="s">
        <v>174</v>
      </c>
    </row>
    <row r="60" spans="3:24" ht="20.25" customHeight="1" x14ac:dyDescent="0.2">
      <c r="C60" s="356" t="s">
        <v>206</v>
      </c>
      <c r="E60" s="767">
        <f>SUM(E61:E68)</f>
        <v>0</v>
      </c>
      <c r="F60" s="767">
        <f t="shared" ref="F60:Q60" si="24">SUM(F61:F68)</f>
        <v>0</v>
      </c>
      <c r="G60" s="767">
        <f t="shared" si="24"/>
        <v>0</v>
      </c>
      <c r="H60" s="767">
        <f t="shared" si="24"/>
        <v>0</v>
      </c>
      <c r="I60" s="767">
        <f t="shared" si="24"/>
        <v>0</v>
      </c>
      <c r="J60" s="767">
        <f t="shared" si="24"/>
        <v>0</v>
      </c>
      <c r="K60" s="767">
        <f t="shared" si="24"/>
        <v>0</v>
      </c>
      <c r="L60" s="767">
        <f t="shared" si="24"/>
        <v>0</v>
      </c>
      <c r="M60" s="767">
        <f t="shared" si="24"/>
        <v>0</v>
      </c>
      <c r="N60" s="767">
        <f t="shared" si="24"/>
        <v>0</v>
      </c>
      <c r="O60" s="767">
        <f t="shared" si="24"/>
        <v>0</v>
      </c>
      <c r="P60" s="767">
        <f t="shared" si="24"/>
        <v>0</v>
      </c>
      <c r="Q60" s="767">
        <f t="shared" si="24"/>
        <v>0</v>
      </c>
      <c r="R60" s="352" t="s">
        <v>0</v>
      </c>
      <c r="S60" s="768"/>
      <c r="T60" s="741">
        <f>SUM(T61:T68)</f>
        <v>0</v>
      </c>
      <c r="U60" s="352"/>
    </row>
    <row r="61" spans="3:24" x14ac:dyDescent="0.2">
      <c r="C61" s="353" t="s">
        <v>207</v>
      </c>
      <c r="D61" s="730"/>
      <c r="E61" s="751">
        <f t="shared" ref="E61:Q68" si="25">$T61/12*(1+$D61/100)</f>
        <v>0</v>
      </c>
      <c r="F61" s="751">
        <f t="shared" si="25"/>
        <v>0</v>
      </c>
      <c r="G61" s="751">
        <f t="shared" si="25"/>
        <v>0</v>
      </c>
      <c r="H61" s="751">
        <f t="shared" si="25"/>
        <v>0</v>
      </c>
      <c r="I61" s="751">
        <f t="shared" si="25"/>
        <v>0</v>
      </c>
      <c r="J61" s="751">
        <f t="shared" si="25"/>
        <v>0</v>
      </c>
      <c r="K61" s="751">
        <f t="shared" si="25"/>
        <v>0</v>
      </c>
      <c r="L61" s="751">
        <f t="shared" si="25"/>
        <v>0</v>
      </c>
      <c r="M61" s="751">
        <f t="shared" si="25"/>
        <v>0</v>
      </c>
      <c r="N61" s="751">
        <f t="shared" si="25"/>
        <v>0</v>
      </c>
      <c r="O61" s="751">
        <f t="shared" si="25"/>
        <v>0</v>
      </c>
      <c r="P61" s="751">
        <f t="shared" si="25"/>
        <v>0</v>
      </c>
      <c r="Q61" s="320">
        <f t="shared" ref="Q61:Q66" si="26">SUM(E61:P61)</f>
        <v>0</v>
      </c>
      <c r="R61" s="357"/>
      <c r="S61" s="763"/>
      <c r="T61" s="762">
        <f>'3. Ekonomikalkyl ingen moms'!J56+'3. Ekonomikalkyl ingen moms'!J58</f>
        <v>0</v>
      </c>
      <c r="U61" s="368"/>
      <c r="V61" s="280"/>
    </row>
    <row r="62" spans="3:24" x14ac:dyDescent="0.2">
      <c r="C62" s="733" t="s">
        <v>266</v>
      </c>
      <c r="D62" s="730"/>
      <c r="E62" s="751">
        <f t="shared" si="25"/>
        <v>0</v>
      </c>
      <c r="F62" s="751">
        <f t="shared" si="25"/>
        <v>0</v>
      </c>
      <c r="G62" s="751">
        <f t="shared" si="25"/>
        <v>0</v>
      </c>
      <c r="H62" s="751">
        <f t="shared" si="25"/>
        <v>0</v>
      </c>
      <c r="I62" s="751">
        <f t="shared" si="25"/>
        <v>0</v>
      </c>
      <c r="J62" s="751">
        <f t="shared" si="25"/>
        <v>0</v>
      </c>
      <c r="K62" s="751">
        <f t="shared" si="25"/>
        <v>0</v>
      </c>
      <c r="L62" s="751">
        <f t="shared" si="25"/>
        <v>0</v>
      </c>
      <c r="M62" s="751">
        <f t="shared" si="25"/>
        <v>0</v>
      </c>
      <c r="N62" s="751">
        <f t="shared" si="25"/>
        <v>0</v>
      </c>
      <c r="O62" s="751">
        <f t="shared" si="25"/>
        <v>0</v>
      </c>
      <c r="P62" s="751">
        <f t="shared" si="25"/>
        <v>0</v>
      </c>
      <c r="Q62" s="320">
        <f t="shared" si="26"/>
        <v>0</v>
      </c>
      <c r="S62" s="763"/>
      <c r="T62" s="762">
        <f>'3. Ekonomikalkyl ingen moms'!J80</f>
        <v>0</v>
      </c>
    </row>
    <row r="63" spans="3:24" x14ac:dyDescent="0.2">
      <c r="C63" s="729" t="s">
        <v>259</v>
      </c>
      <c r="D63" s="730"/>
      <c r="E63" s="751">
        <f t="shared" si="25"/>
        <v>0</v>
      </c>
      <c r="F63" s="751">
        <f t="shared" si="25"/>
        <v>0</v>
      </c>
      <c r="G63" s="751">
        <f t="shared" si="25"/>
        <v>0</v>
      </c>
      <c r="H63" s="751">
        <f t="shared" si="25"/>
        <v>0</v>
      </c>
      <c r="I63" s="751">
        <f t="shared" si="25"/>
        <v>0</v>
      </c>
      <c r="J63" s="751">
        <f t="shared" si="25"/>
        <v>0</v>
      </c>
      <c r="K63" s="751">
        <f t="shared" si="25"/>
        <v>0</v>
      </c>
      <c r="L63" s="751">
        <f t="shared" si="25"/>
        <v>0</v>
      </c>
      <c r="M63" s="751">
        <f t="shared" si="25"/>
        <v>0</v>
      </c>
      <c r="N63" s="751">
        <f t="shared" si="25"/>
        <v>0</v>
      </c>
      <c r="O63" s="751">
        <f t="shared" si="25"/>
        <v>0</v>
      </c>
      <c r="P63" s="751">
        <f t="shared" si="25"/>
        <v>0</v>
      </c>
      <c r="Q63" s="320">
        <f t="shared" si="26"/>
        <v>0</v>
      </c>
      <c r="S63" s="763"/>
      <c r="T63" s="762">
        <f>'3. Ekonomikalkyl ingen moms'!J103</f>
        <v>0</v>
      </c>
    </row>
    <row r="64" spans="3:24" x14ac:dyDescent="0.2">
      <c r="C64" s="732" t="s">
        <v>260</v>
      </c>
      <c r="D64" s="731"/>
      <c r="E64" s="751">
        <f t="shared" si="25"/>
        <v>0</v>
      </c>
      <c r="F64" s="751">
        <f t="shared" si="25"/>
        <v>0</v>
      </c>
      <c r="G64" s="751">
        <f t="shared" si="25"/>
        <v>0</v>
      </c>
      <c r="H64" s="751">
        <f t="shared" si="25"/>
        <v>0</v>
      </c>
      <c r="I64" s="751">
        <f t="shared" si="25"/>
        <v>0</v>
      </c>
      <c r="J64" s="751">
        <f t="shared" si="25"/>
        <v>0</v>
      </c>
      <c r="K64" s="751">
        <f t="shared" si="25"/>
        <v>0</v>
      </c>
      <c r="L64" s="751">
        <f t="shared" si="25"/>
        <v>0</v>
      </c>
      <c r="M64" s="751">
        <f t="shared" si="25"/>
        <v>0</v>
      </c>
      <c r="N64" s="751">
        <f t="shared" si="25"/>
        <v>0</v>
      </c>
      <c r="O64" s="751">
        <f t="shared" si="25"/>
        <v>0</v>
      </c>
      <c r="P64" s="751">
        <f t="shared" si="25"/>
        <v>0</v>
      </c>
      <c r="Q64" s="320">
        <f t="shared" si="26"/>
        <v>0</v>
      </c>
      <c r="S64" s="763"/>
      <c r="T64" s="762">
        <f>'3. Ekonomikalkyl ingen moms'!J110</f>
        <v>0</v>
      </c>
    </row>
    <row r="65" spans="3:20" x14ac:dyDescent="0.2">
      <c r="C65" s="733" t="s">
        <v>261</v>
      </c>
      <c r="D65" s="731"/>
      <c r="E65" s="751">
        <f t="shared" si="25"/>
        <v>0</v>
      </c>
      <c r="F65" s="751">
        <f t="shared" si="25"/>
        <v>0</v>
      </c>
      <c r="G65" s="751">
        <f t="shared" si="25"/>
        <v>0</v>
      </c>
      <c r="H65" s="751">
        <f t="shared" si="25"/>
        <v>0</v>
      </c>
      <c r="I65" s="751">
        <f t="shared" si="25"/>
        <v>0</v>
      </c>
      <c r="J65" s="751">
        <f t="shared" si="25"/>
        <v>0</v>
      </c>
      <c r="K65" s="751">
        <f t="shared" si="25"/>
        <v>0</v>
      </c>
      <c r="L65" s="751">
        <f t="shared" si="25"/>
        <v>0</v>
      </c>
      <c r="M65" s="751">
        <f t="shared" si="25"/>
        <v>0</v>
      </c>
      <c r="N65" s="751">
        <f t="shared" si="25"/>
        <v>0</v>
      </c>
      <c r="O65" s="751">
        <f t="shared" si="25"/>
        <v>0</v>
      </c>
      <c r="P65" s="751">
        <f t="shared" si="25"/>
        <v>0</v>
      </c>
      <c r="Q65" s="320">
        <f t="shared" si="26"/>
        <v>0</v>
      </c>
      <c r="S65" s="764"/>
      <c r="T65" s="746">
        <f>'3. Ekonomikalkyl ingen moms'!J107</f>
        <v>0</v>
      </c>
    </row>
    <row r="66" spans="3:20" x14ac:dyDescent="0.2">
      <c r="C66" s="729" t="s">
        <v>265</v>
      </c>
      <c r="D66" s="731"/>
      <c r="E66" s="751">
        <f t="shared" si="25"/>
        <v>0</v>
      </c>
      <c r="F66" s="751">
        <f t="shared" si="25"/>
        <v>0</v>
      </c>
      <c r="G66" s="751">
        <f t="shared" si="25"/>
        <v>0</v>
      </c>
      <c r="H66" s="751">
        <f t="shared" si="25"/>
        <v>0</v>
      </c>
      <c r="I66" s="751">
        <f t="shared" si="25"/>
        <v>0</v>
      </c>
      <c r="J66" s="751">
        <f t="shared" si="25"/>
        <v>0</v>
      </c>
      <c r="K66" s="751">
        <f t="shared" si="25"/>
        <v>0</v>
      </c>
      <c r="L66" s="751">
        <f t="shared" si="25"/>
        <v>0</v>
      </c>
      <c r="M66" s="751">
        <f t="shared" si="25"/>
        <v>0</v>
      </c>
      <c r="N66" s="751">
        <f t="shared" si="25"/>
        <v>0</v>
      </c>
      <c r="O66" s="751">
        <f t="shared" si="25"/>
        <v>0</v>
      </c>
      <c r="P66" s="751">
        <f t="shared" si="25"/>
        <v>0</v>
      </c>
      <c r="Q66" s="320">
        <f t="shared" si="26"/>
        <v>0</v>
      </c>
      <c r="S66" s="764"/>
      <c r="T66" s="746">
        <f>'3. Ekonomikalkyl ingen moms'!J111</f>
        <v>0</v>
      </c>
    </row>
    <row r="67" spans="3:20" x14ac:dyDescent="0.2">
      <c r="C67" s="876" t="s">
        <v>296</v>
      </c>
      <c r="D67" s="877"/>
      <c r="E67" s="751">
        <f t="shared" si="25"/>
        <v>0</v>
      </c>
      <c r="F67" s="751">
        <f t="shared" si="25"/>
        <v>0</v>
      </c>
      <c r="G67" s="751">
        <f t="shared" si="25"/>
        <v>0</v>
      </c>
      <c r="H67" s="751">
        <f t="shared" si="25"/>
        <v>0</v>
      </c>
      <c r="I67" s="751">
        <f t="shared" si="25"/>
        <v>0</v>
      </c>
      <c r="J67" s="751">
        <f t="shared" si="25"/>
        <v>0</v>
      </c>
      <c r="K67" s="751">
        <f t="shared" si="25"/>
        <v>0</v>
      </c>
      <c r="L67" s="751">
        <f t="shared" si="25"/>
        <v>0</v>
      </c>
      <c r="M67" s="751">
        <f t="shared" si="25"/>
        <v>0</v>
      </c>
      <c r="N67" s="751">
        <f t="shared" si="25"/>
        <v>0</v>
      </c>
      <c r="O67" s="751">
        <f t="shared" si="25"/>
        <v>0</v>
      </c>
      <c r="P67" s="751">
        <f t="shared" si="25"/>
        <v>0</v>
      </c>
      <c r="Q67" s="751">
        <f t="shared" si="25"/>
        <v>0</v>
      </c>
      <c r="S67" s="764"/>
      <c r="T67" s="746">
        <f>'3. Ekonomikalkyl ingen moms'!J70</f>
        <v>0</v>
      </c>
    </row>
    <row r="68" spans="3:20" x14ac:dyDescent="0.2">
      <c r="C68" s="1396" t="s">
        <v>270</v>
      </c>
      <c r="D68" s="1397"/>
      <c r="E68" s="751">
        <f t="shared" si="25"/>
        <v>0</v>
      </c>
      <c r="F68" s="751">
        <f t="shared" si="25"/>
        <v>0</v>
      </c>
      <c r="G68" s="751">
        <f t="shared" si="25"/>
        <v>0</v>
      </c>
      <c r="H68" s="751">
        <f t="shared" si="25"/>
        <v>0</v>
      </c>
      <c r="I68" s="751">
        <f t="shared" si="25"/>
        <v>0</v>
      </c>
      <c r="J68" s="751">
        <f t="shared" si="25"/>
        <v>0</v>
      </c>
      <c r="K68" s="751">
        <f t="shared" si="25"/>
        <v>0</v>
      </c>
      <c r="L68" s="751">
        <f t="shared" si="25"/>
        <v>0</v>
      </c>
      <c r="M68" s="751">
        <f t="shared" si="25"/>
        <v>0</v>
      </c>
      <c r="N68" s="751">
        <f t="shared" si="25"/>
        <v>0</v>
      </c>
      <c r="O68" s="751">
        <f t="shared" si="25"/>
        <v>0</v>
      </c>
      <c r="P68" s="751">
        <f t="shared" si="25"/>
        <v>0</v>
      </c>
      <c r="Q68" s="320">
        <f t="shared" ref="Q68" si="27">SUM(E68:P68)</f>
        <v>0</v>
      </c>
      <c r="S68" s="764"/>
      <c r="T68" s="746">
        <f>'3. Ekonomikalkyl ingen moms'!J116</f>
        <v>0</v>
      </c>
    </row>
    <row r="69" spans="3:20" x14ac:dyDescent="0.2">
      <c r="C69" s="728"/>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t="str">
        <f>'4. Kassabudget ingen moms'!G7</f>
        <v>JAN</v>
      </c>
      <c r="D2" s="308" t="str">
        <f>'4. Kassabudget ingen moms'!H7</f>
        <v>FEB</v>
      </c>
      <c r="E2" s="308" t="str">
        <f>'4. Kassabudget ingen moms'!I7</f>
        <v>MARS</v>
      </c>
      <c r="F2" s="308" t="str">
        <f>'4. Kassabudget ingen moms'!J7</f>
        <v>APR</v>
      </c>
      <c r="G2" s="308" t="str">
        <f>'4. Kassabudget ingen moms'!K7</f>
        <v>MAJ</v>
      </c>
      <c r="H2" s="308" t="str">
        <f>'4. Kassabudget ingen moms'!L7</f>
        <v>JUNI</v>
      </c>
      <c r="I2" s="308" t="str">
        <f>'4. Kassabudget ingen moms'!M7</f>
        <v>JULI</v>
      </c>
      <c r="J2" s="308" t="str">
        <f>'4. Kassabudget ingen moms'!N7</f>
        <v>AUG</v>
      </c>
      <c r="K2" s="308" t="str">
        <f>'4. Kassabudget ingen moms'!O7</f>
        <v>SEP</v>
      </c>
      <c r="L2" s="308" t="str">
        <f>'4. Kassabudget ingen moms'!P7</f>
        <v>OKT</v>
      </c>
      <c r="M2" s="308" t="str">
        <f>'4. Kassabudget ingen moms'!Q7</f>
        <v>NOV</v>
      </c>
      <c r="N2" s="308" t="str">
        <f>'4. Kassabudget ingen moms'!R7</f>
        <v>DEC</v>
      </c>
    </row>
    <row r="3" spans="1:14" x14ac:dyDescent="0.2">
      <c r="B3" s="307" t="s">
        <v>177</v>
      </c>
      <c r="C3" s="309">
        <f>'4. Kassabudget ingen moms'!E13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178</v>
      </c>
      <c r="C4" s="310">
        <f>'4. Kassabudget ingen moms'!G11</f>
        <v>0</v>
      </c>
      <c r="D4" s="310">
        <f>'4. Kassabudget ingen moms'!H11</f>
        <v>0</v>
      </c>
      <c r="E4" s="310">
        <f>'4. Kassabudget ingen moms'!I11</f>
        <v>0</v>
      </c>
      <c r="F4" s="310">
        <f>'4. Kassabudget ingen moms'!J11</f>
        <v>0</v>
      </c>
      <c r="G4" s="310">
        <f>'4. Kassabudget ingen moms'!K11</f>
        <v>0</v>
      </c>
      <c r="H4" s="310">
        <f>'4. Kassabudget ingen moms'!L11</f>
        <v>0</v>
      </c>
      <c r="I4" s="310">
        <f>'4. Kassabudget ingen moms'!M11</f>
        <v>0</v>
      </c>
      <c r="J4" s="310">
        <f>'4. Kassabudget ingen moms'!N11</f>
        <v>0</v>
      </c>
      <c r="K4" s="310">
        <f>'4. Kassabudget ingen moms'!O11</f>
        <v>0</v>
      </c>
      <c r="L4" s="310">
        <f>'4. Kassabudget ingen moms'!P11</f>
        <v>0</v>
      </c>
      <c r="M4" s="310">
        <f>'4. Kassabudget ingen moms'!Q11</f>
        <v>0</v>
      </c>
      <c r="N4" s="310">
        <f>'4. Kassabudget ingen moms'!R11</f>
        <v>0</v>
      </c>
    </row>
    <row r="5" spans="1:14" x14ac:dyDescent="0.2">
      <c r="A5" s="311" t="s">
        <v>179</v>
      </c>
      <c r="B5" s="311" t="s">
        <v>180</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181</v>
      </c>
      <c r="B6" s="2" t="s">
        <v>182</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181</v>
      </c>
      <c r="B7" s="311" t="s">
        <v>182</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183</v>
      </c>
      <c r="B8" s="2" t="s">
        <v>184</v>
      </c>
      <c r="C8" s="313"/>
      <c r="D8" s="313"/>
      <c r="E8" s="313"/>
      <c r="F8" s="313"/>
      <c r="G8" s="313"/>
      <c r="H8" s="313"/>
      <c r="I8" s="313"/>
      <c r="J8" s="313"/>
      <c r="K8" s="313"/>
      <c r="L8" s="313"/>
      <c r="M8" s="313"/>
      <c r="N8" s="313"/>
    </row>
    <row r="9" spans="1:14" x14ac:dyDescent="0.2">
      <c r="A9" s="311" t="s">
        <v>183</v>
      </c>
      <c r="B9" s="311" t="s">
        <v>184</v>
      </c>
      <c r="C9" s="312"/>
      <c r="D9" s="312"/>
      <c r="E9" s="312"/>
      <c r="F9" s="312"/>
      <c r="G9" s="312"/>
      <c r="H9" s="312"/>
      <c r="I9" s="312"/>
      <c r="J9" s="312"/>
      <c r="K9" s="312"/>
      <c r="L9" s="312"/>
      <c r="M9" s="312"/>
      <c r="N9" s="312"/>
    </row>
    <row r="10" spans="1:14" x14ac:dyDescent="0.2">
      <c r="A10" s="2" t="s">
        <v>185</v>
      </c>
      <c r="B10" s="2" t="s">
        <v>186</v>
      </c>
      <c r="C10" s="313"/>
      <c r="D10" s="313"/>
      <c r="E10" s="313"/>
      <c r="F10" s="313"/>
      <c r="G10" s="313"/>
      <c r="H10" s="313"/>
      <c r="I10" s="313"/>
      <c r="J10" s="313"/>
      <c r="K10" s="313"/>
      <c r="L10" s="313"/>
      <c r="M10" s="313"/>
      <c r="N10" s="313"/>
    </row>
    <row r="11" spans="1:14" x14ac:dyDescent="0.2">
      <c r="A11" s="311" t="s">
        <v>185</v>
      </c>
      <c r="B11" s="311" t="s">
        <v>186</v>
      </c>
      <c r="C11" s="312"/>
      <c r="D11" s="312"/>
      <c r="E11" s="312"/>
      <c r="F11" s="312"/>
      <c r="G11" s="312"/>
      <c r="H11" s="312"/>
      <c r="I11" s="312"/>
      <c r="J11" s="312"/>
      <c r="K11" s="312"/>
      <c r="L11" s="312"/>
      <c r="M11" s="312"/>
      <c r="N11" s="312"/>
    </row>
    <row r="12" spans="1:14" x14ac:dyDescent="0.2">
      <c r="A12" s="2" t="s">
        <v>187</v>
      </c>
      <c r="B12" s="2" t="s">
        <v>188</v>
      </c>
      <c r="C12" s="313"/>
      <c r="D12" s="313"/>
      <c r="E12" s="313"/>
      <c r="F12" s="313"/>
      <c r="G12" s="313"/>
      <c r="H12" s="313"/>
      <c r="I12" s="313"/>
      <c r="J12" s="313"/>
      <c r="K12" s="313"/>
      <c r="L12" s="313"/>
      <c r="M12" s="313"/>
      <c r="N12" s="313"/>
    </row>
    <row r="13" spans="1:14" x14ac:dyDescent="0.2">
      <c r="A13" s="311" t="s">
        <v>187</v>
      </c>
      <c r="B13" s="311" t="s">
        <v>188</v>
      </c>
      <c r="C13" s="312"/>
      <c r="D13" s="312"/>
      <c r="E13" s="312"/>
      <c r="F13" s="312"/>
      <c r="G13" s="312"/>
      <c r="H13" s="312"/>
      <c r="I13" s="312"/>
      <c r="J13" s="312"/>
      <c r="K13" s="312"/>
      <c r="L13" s="312"/>
      <c r="M13" s="312"/>
      <c r="N13" s="312"/>
    </row>
    <row r="14" spans="1:14" x14ac:dyDescent="0.2">
      <c r="A14" s="2" t="s">
        <v>189</v>
      </c>
      <c r="B14" s="2" t="s">
        <v>190</v>
      </c>
      <c r="C14" s="313"/>
      <c r="D14" s="313"/>
      <c r="E14" s="313"/>
      <c r="F14" s="313"/>
      <c r="G14" s="313"/>
      <c r="H14" s="313"/>
      <c r="I14" s="313"/>
      <c r="J14" s="313"/>
      <c r="K14" s="313"/>
      <c r="L14" s="313"/>
      <c r="M14" s="313"/>
      <c r="N14" s="313"/>
    </row>
    <row r="15" spans="1:14" x14ac:dyDescent="0.2">
      <c r="A15" s="311" t="s">
        <v>189</v>
      </c>
      <c r="B15" s="311" t="s">
        <v>190</v>
      </c>
      <c r="C15" s="312"/>
      <c r="D15" s="312"/>
      <c r="E15" s="312"/>
      <c r="F15" s="312"/>
      <c r="G15" s="312"/>
      <c r="H15" s="312"/>
      <c r="I15" s="312"/>
      <c r="J15" s="312"/>
      <c r="K15" s="312"/>
      <c r="L15" s="312"/>
      <c r="M15" s="312"/>
      <c r="N15" s="312"/>
    </row>
    <row r="16" spans="1:14" x14ac:dyDescent="0.2">
      <c r="A16" s="2"/>
      <c r="B16" s="2" t="s">
        <v>191</v>
      </c>
      <c r="C16" s="313"/>
      <c r="D16" s="313"/>
      <c r="E16" s="313"/>
      <c r="F16" s="313"/>
      <c r="G16" s="313"/>
      <c r="H16" s="313"/>
      <c r="I16" s="313"/>
      <c r="J16" s="313"/>
      <c r="K16" s="313"/>
      <c r="L16" s="313"/>
      <c r="M16" s="313"/>
      <c r="N16" s="313"/>
    </row>
    <row r="17" spans="1:14" x14ac:dyDescent="0.2">
      <c r="A17" s="307"/>
      <c r="B17" s="307" t="s">
        <v>192</v>
      </c>
      <c r="C17" s="308" t="str">
        <f>C2</f>
        <v>JAN</v>
      </c>
      <c r="D17" s="308" t="str">
        <f t="shared" ref="D17:N17" si="4">D2</f>
        <v>FEB</v>
      </c>
      <c r="E17" s="308" t="str">
        <f t="shared" si="4"/>
        <v>MARS</v>
      </c>
      <c r="F17" s="308" t="str">
        <f t="shared" si="4"/>
        <v>APR</v>
      </c>
      <c r="G17" s="308" t="str">
        <f t="shared" si="4"/>
        <v>MAJ</v>
      </c>
      <c r="H17" s="308" t="str">
        <f t="shared" si="4"/>
        <v>JUNI</v>
      </c>
      <c r="I17" s="308" t="str">
        <f t="shared" si="4"/>
        <v>JULI</v>
      </c>
      <c r="J17" s="308" t="str">
        <f t="shared" si="4"/>
        <v>AUG</v>
      </c>
      <c r="K17" s="308" t="str">
        <f t="shared" si="4"/>
        <v>SEP</v>
      </c>
      <c r="L17" s="308" t="str">
        <f t="shared" si="4"/>
        <v>OKT</v>
      </c>
      <c r="M17" s="308" t="str">
        <f t="shared" si="4"/>
        <v>NOV</v>
      </c>
      <c r="N17" s="308" t="str">
        <f t="shared" si="4"/>
        <v>DEC</v>
      </c>
    </row>
    <row r="18" spans="1:14" x14ac:dyDescent="0.2">
      <c r="A18" s="2"/>
      <c r="B18" s="2" t="s">
        <v>193</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182</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184</v>
      </c>
      <c r="C20" s="313"/>
      <c r="D20" s="313"/>
      <c r="E20" s="313"/>
      <c r="F20" s="313"/>
      <c r="G20" s="313"/>
      <c r="H20" s="313"/>
      <c r="I20" s="313"/>
      <c r="J20" s="313"/>
      <c r="K20" s="313"/>
      <c r="L20" s="313"/>
      <c r="M20" s="313"/>
      <c r="N20" s="313"/>
    </row>
    <row r="21" spans="1:14" x14ac:dyDescent="0.2">
      <c r="A21" s="2"/>
      <c r="B21" s="2" t="s">
        <v>186</v>
      </c>
      <c r="C21" s="313"/>
      <c r="D21" s="313"/>
      <c r="E21" s="313"/>
      <c r="F21" s="313"/>
      <c r="G21" s="313"/>
      <c r="H21" s="313"/>
      <c r="I21" s="313"/>
      <c r="J21" s="313"/>
      <c r="K21" s="313"/>
      <c r="L21" s="313"/>
      <c r="M21" s="313"/>
      <c r="N21" s="313"/>
    </row>
    <row r="22" spans="1:14" x14ac:dyDescent="0.2">
      <c r="A22" s="2"/>
      <c r="B22" s="2" t="s">
        <v>188</v>
      </c>
      <c r="C22" s="313"/>
      <c r="D22" s="313"/>
      <c r="E22" s="313"/>
      <c r="F22" s="313"/>
      <c r="G22" s="313"/>
      <c r="H22" s="313"/>
      <c r="I22" s="313"/>
      <c r="J22" s="313"/>
      <c r="K22" s="313"/>
      <c r="L22" s="313"/>
      <c r="M22" s="313"/>
      <c r="N22" s="313"/>
    </row>
    <row r="23" spans="1:14" x14ac:dyDescent="0.2">
      <c r="A23" s="2"/>
      <c r="B23" s="2" t="s">
        <v>190</v>
      </c>
      <c r="C23" s="313"/>
      <c r="D23" s="313"/>
      <c r="E23" s="313"/>
      <c r="F23" s="313"/>
      <c r="G23" s="313"/>
      <c r="H23" s="313"/>
      <c r="I23" s="313"/>
      <c r="J23" s="313"/>
      <c r="K23" s="313"/>
      <c r="L23" s="313"/>
      <c r="M23" s="313"/>
      <c r="N23" s="313"/>
    </row>
    <row r="24" spans="1:14" x14ac:dyDescent="0.2">
      <c r="A24" s="2"/>
      <c r="B24" s="2" t="s">
        <v>191</v>
      </c>
      <c r="C24" s="313"/>
      <c r="D24" s="313"/>
      <c r="E24" s="313"/>
      <c r="F24" s="313"/>
      <c r="G24" s="313"/>
      <c r="H24" s="313"/>
      <c r="I24" s="313"/>
      <c r="J24" s="313"/>
      <c r="K24" s="313"/>
      <c r="L24" s="313"/>
      <c r="M24" s="313"/>
      <c r="N24" s="313"/>
    </row>
    <row r="25" spans="1:14" x14ac:dyDescent="0.2">
      <c r="A25" s="307"/>
      <c r="B25" s="307" t="s">
        <v>194</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28515625" customWidth="1"/>
    <col min="5" max="5" width="10" customWidth="1"/>
    <col min="6" max="6" width="6.85546875" customWidth="1"/>
    <col min="7" max="7" width="7.7109375" customWidth="1"/>
    <col min="8" max="8" width="14.28515625" customWidth="1"/>
    <col min="9" max="9" width="9" customWidth="1"/>
    <col min="10" max="10" width="10.7109375" customWidth="1"/>
    <col min="11" max="12" width="5.710937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116"/>
      <c r="L1" s="1116"/>
      <c r="M1" s="1116"/>
    </row>
    <row r="2" spans="2:24" ht="40.9" customHeight="1" x14ac:dyDescent="0.2">
      <c r="C2" s="255"/>
      <c r="D2" s="34"/>
      <c r="E2" s="1032" t="s">
        <v>509</v>
      </c>
      <c r="F2" s="12"/>
      <c r="G2" s="12"/>
      <c r="H2" s="12"/>
      <c r="I2" s="12"/>
      <c r="J2" s="1028"/>
      <c r="K2" s="1029"/>
      <c r="L2" s="1029"/>
      <c r="M2" s="1029"/>
    </row>
    <row r="3" spans="2:24" ht="6.6" customHeight="1" x14ac:dyDescent="0.2">
      <c r="C3" s="255"/>
      <c r="D3" s="34"/>
      <c r="J3" s="417"/>
      <c r="K3" s="433"/>
      <c r="L3" s="433"/>
      <c r="M3" s="433"/>
    </row>
    <row r="4" spans="2:24" ht="13.5" customHeight="1" x14ac:dyDescent="0.3">
      <c r="B4" s="1247" t="s">
        <v>302</v>
      </c>
      <c r="C4" s="277" t="s">
        <v>298</v>
      </c>
      <c r="D4" s="247"/>
      <c r="E4" s="248"/>
      <c r="H4" s="73" t="s">
        <v>300</v>
      </c>
      <c r="J4" s="1405" t="str">
        <f>Startsidan!E40</f>
        <v>Business Kristinestad | Dynamo Närpes</v>
      </c>
      <c r="K4" s="1405"/>
      <c r="L4" s="1405"/>
      <c r="M4" s="1405"/>
      <c r="R4" s="249"/>
    </row>
    <row r="5" spans="2:24" ht="13.35" customHeight="1" x14ac:dyDescent="0.2">
      <c r="B5" s="1247"/>
      <c r="C5" s="1120" t="s">
        <v>124</v>
      </c>
      <c r="D5" s="1120"/>
      <c r="E5" s="1120"/>
      <c r="F5" s="282"/>
      <c r="G5" s="282"/>
      <c r="H5" s="402">
        <v>0</v>
      </c>
      <c r="J5" s="1405"/>
      <c r="K5" s="1405"/>
      <c r="L5" s="1405"/>
      <c r="M5" s="1405"/>
      <c r="O5" s="266"/>
      <c r="P5" s="266"/>
    </row>
    <row r="6" spans="2:24" ht="14.25" x14ac:dyDescent="0.2">
      <c r="C6" s="1127" t="s">
        <v>299</v>
      </c>
      <c r="D6" s="1127"/>
      <c r="E6" s="249"/>
      <c r="F6" s="250"/>
      <c r="G6" s="250"/>
      <c r="H6" s="251" t="s">
        <v>301</v>
      </c>
      <c r="I6" s="251"/>
      <c r="J6" s="252" t="s">
        <v>0</v>
      </c>
      <c r="K6" s="210"/>
      <c r="L6" s="251"/>
      <c r="M6" s="11" t="s">
        <v>0</v>
      </c>
    </row>
    <row r="7" spans="2:24" ht="13.35" customHeight="1" x14ac:dyDescent="0.2">
      <c r="C7" s="1121"/>
      <c r="D7" s="1121"/>
      <c r="E7" s="1121"/>
      <c r="F7" s="24"/>
      <c r="G7" s="24"/>
      <c r="H7" s="1121">
        <v>0</v>
      </c>
      <c r="I7" s="1121"/>
      <c r="J7" s="1121"/>
      <c r="K7" s="1121"/>
      <c r="L7" s="1121"/>
      <c r="M7" s="1121"/>
      <c r="O7" s="266"/>
    </row>
    <row r="8" spans="2:24" ht="12.75" customHeight="1" x14ac:dyDescent="0.2">
      <c r="C8" s="16"/>
      <c r="D8" s="262"/>
      <c r="E8" s="262"/>
      <c r="F8" s="262"/>
      <c r="G8" s="262"/>
      <c r="H8" s="262"/>
      <c r="I8" s="262"/>
      <c r="J8" s="262"/>
      <c r="K8" s="262"/>
      <c r="L8" s="263"/>
      <c r="M8" s="263"/>
    </row>
    <row r="9" spans="2:24" ht="23.25" customHeight="1" x14ac:dyDescent="0.2">
      <c r="B9" s="266"/>
      <c r="C9" s="1117" t="s">
        <v>303</v>
      </c>
      <c r="D9" s="1118"/>
      <c r="E9" s="1119"/>
      <c r="F9" s="1122" t="s">
        <v>304</v>
      </c>
      <c r="G9" s="1123"/>
      <c r="H9" s="1124" t="s">
        <v>305</v>
      </c>
      <c r="I9" s="1125"/>
      <c r="J9" s="1125"/>
      <c r="K9" s="1125"/>
      <c r="L9" s="1126"/>
      <c r="M9" s="560" t="s">
        <v>304</v>
      </c>
      <c r="O9" s="939" t="s">
        <v>413</v>
      </c>
      <c r="P9" s="940"/>
      <c r="Q9" s="940"/>
      <c r="R9" s="940"/>
      <c r="S9" s="940"/>
      <c r="T9" s="940"/>
      <c r="U9" s="940"/>
      <c r="V9" s="940"/>
      <c r="W9" s="940"/>
      <c r="X9" s="941"/>
    </row>
    <row r="10" spans="2:24" ht="16.899999999999999" customHeight="1" x14ac:dyDescent="0.2">
      <c r="C10" s="1131" t="s">
        <v>306</v>
      </c>
      <c r="D10" s="1076"/>
      <c r="E10" s="479" t="s">
        <v>307</v>
      </c>
      <c r="F10" s="1038">
        <f>F11+F12+F13</f>
        <v>0</v>
      </c>
      <c r="G10" s="1038"/>
      <c r="H10" s="1131" t="s">
        <v>308</v>
      </c>
      <c r="I10" s="1053"/>
      <c r="J10" s="1053"/>
      <c r="K10" s="1156" t="s">
        <v>309</v>
      </c>
      <c r="L10" s="1157"/>
      <c r="M10" s="492">
        <f>M12+M13+M14</f>
        <v>0</v>
      </c>
      <c r="O10" s="699"/>
      <c r="P10" s="697"/>
      <c r="Q10" s="697"/>
      <c r="R10" s="697"/>
      <c r="S10" s="697"/>
      <c r="T10" s="697"/>
      <c r="U10" s="697"/>
      <c r="V10" s="697"/>
      <c r="W10" s="697"/>
      <c r="X10" s="698"/>
    </row>
    <row r="11" spans="2:24" ht="15" customHeight="1" x14ac:dyDescent="0.2">
      <c r="C11" s="1136" t="s">
        <v>557</v>
      </c>
      <c r="D11" s="1137"/>
      <c r="E11" s="474">
        <v>0</v>
      </c>
      <c r="F11" s="1078">
        <v>0</v>
      </c>
      <c r="G11" s="1078"/>
      <c r="H11" s="1129" t="s">
        <v>310</v>
      </c>
      <c r="I11" s="1130"/>
      <c r="J11" s="573" t="s">
        <v>311</v>
      </c>
      <c r="K11" s="1158" t="s">
        <v>312</v>
      </c>
      <c r="L11" s="1159"/>
      <c r="M11" s="493" t="s">
        <v>313</v>
      </c>
      <c r="O11" s="699"/>
      <c r="P11" s="697"/>
      <c r="Q11" s="697"/>
      <c r="R11" s="697"/>
      <c r="S11" s="697"/>
      <c r="T11" s="697"/>
      <c r="U11" s="697"/>
      <c r="V11" s="697"/>
      <c r="W11" s="697"/>
      <c r="X11" s="698"/>
    </row>
    <row r="12" spans="2:24" ht="15" customHeight="1" x14ac:dyDescent="0.2">
      <c r="C12" s="1144" t="s">
        <v>558</v>
      </c>
      <c r="D12" s="1145"/>
      <c r="E12" s="474">
        <v>0</v>
      </c>
      <c r="F12" s="1078">
        <v>0</v>
      </c>
      <c r="G12" s="1078"/>
      <c r="H12" s="1090" t="s">
        <v>314</v>
      </c>
      <c r="I12" s="1090"/>
      <c r="J12" s="475">
        <v>0</v>
      </c>
      <c r="K12" s="489">
        <v>0</v>
      </c>
      <c r="L12" s="490">
        <v>0</v>
      </c>
      <c r="M12" s="491">
        <v>0</v>
      </c>
      <c r="O12" s="699"/>
      <c r="P12" s="697"/>
      <c r="Q12" s="697"/>
      <c r="R12" s="697"/>
      <c r="S12" s="697"/>
      <c r="T12" s="697"/>
      <c r="U12" s="697"/>
      <c r="V12" s="697"/>
      <c r="W12" s="697"/>
      <c r="X12" s="698"/>
    </row>
    <row r="13" spans="2:24" ht="15" customHeight="1" x14ac:dyDescent="0.2">
      <c r="C13" s="1146" t="s">
        <v>559</v>
      </c>
      <c r="D13" s="1147"/>
      <c r="E13" s="474">
        <v>0</v>
      </c>
      <c r="F13" s="1078">
        <v>0</v>
      </c>
      <c r="G13" s="1078"/>
      <c r="H13" s="1092" t="s">
        <v>78</v>
      </c>
      <c r="I13" s="1128"/>
      <c r="J13" s="474">
        <v>0</v>
      </c>
      <c r="K13" s="483">
        <v>0</v>
      </c>
      <c r="L13" s="484">
        <v>0</v>
      </c>
      <c r="M13" s="485">
        <v>0</v>
      </c>
      <c r="O13" s="699"/>
      <c r="P13" s="697"/>
      <c r="Q13" s="697"/>
      <c r="R13" s="697"/>
      <c r="S13" s="697"/>
      <c r="T13" s="697"/>
      <c r="U13" s="697"/>
      <c r="V13" s="697"/>
      <c r="W13" s="697"/>
      <c r="X13" s="698"/>
    </row>
    <row r="14" spans="2:24" ht="15" customHeight="1" x14ac:dyDescent="0.2">
      <c r="C14" s="1142" t="s">
        <v>315</v>
      </c>
      <c r="D14" s="1143"/>
      <c r="E14" s="479" t="s">
        <v>307</v>
      </c>
      <c r="F14" s="1038">
        <f>F15+F16+F17+F18+F19+F20</f>
        <v>0</v>
      </c>
      <c r="G14" s="1038"/>
      <c r="H14" s="1090"/>
      <c r="I14" s="1090"/>
      <c r="J14" s="474">
        <v>0</v>
      </c>
      <c r="K14" s="483">
        <v>0</v>
      </c>
      <c r="L14" s="484">
        <v>0</v>
      </c>
      <c r="M14" s="485">
        <v>0</v>
      </c>
      <c r="O14" s="699"/>
      <c r="P14" s="697"/>
      <c r="Q14" s="697"/>
      <c r="R14" s="697"/>
      <c r="S14" s="697"/>
      <c r="T14" s="697"/>
      <c r="U14" s="697"/>
      <c r="V14" s="697"/>
      <c r="W14" s="697"/>
      <c r="X14" s="698"/>
    </row>
    <row r="15" spans="2:24" ht="15" customHeight="1" x14ac:dyDescent="0.2">
      <c r="C15" s="1084"/>
      <c r="D15" s="1085"/>
      <c r="E15" s="474">
        <v>0</v>
      </c>
      <c r="F15" s="1078">
        <v>0</v>
      </c>
      <c r="G15" s="1078"/>
      <c r="H15" s="1131" t="s">
        <v>316</v>
      </c>
      <c r="I15" s="1076"/>
      <c r="J15" s="474">
        <v>0</v>
      </c>
      <c r="K15" s="1082">
        <v>0</v>
      </c>
      <c r="L15" s="1082"/>
      <c r="M15" s="485">
        <v>0</v>
      </c>
      <c r="O15" s="699"/>
      <c r="P15" s="697"/>
      <c r="Q15" s="697"/>
      <c r="R15" s="697"/>
      <c r="S15" s="697"/>
      <c r="T15" s="697"/>
      <c r="U15" s="697"/>
      <c r="V15" s="697"/>
      <c r="W15" s="697"/>
      <c r="X15" s="698"/>
    </row>
    <row r="16" spans="2:24" ht="15" customHeight="1" x14ac:dyDescent="0.2">
      <c r="C16" s="1092"/>
      <c r="D16" s="1093"/>
      <c r="E16" s="474">
        <v>0</v>
      </c>
      <c r="F16" s="1078">
        <v>0</v>
      </c>
      <c r="G16" s="1078"/>
      <c r="H16" s="1131" t="s">
        <v>317</v>
      </c>
      <c r="I16" s="1076"/>
      <c r="J16" s="474">
        <v>0</v>
      </c>
      <c r="K16" s="1082">
        <v>0</v>
      </c>
      <c r="L16" s="1082"/>
      <c r="M16" s="485">
        <v>0</v>
      </c>
      <c r="O16" s="699"/>
      <c r="P16" s="697"/>
      <c r="Q16" s="697"/>
      <c r="R16" s="697"/>
      <c r="S16" s="697"/>
      <c r="T16" s="697"/>
      <c r="U16" s="697"/>
      <c r="V16" s="697"/>
      <c r="W16" s="697"/>
      <c r="X16" s="698"/>
    </row>
    <row r="17" spans="1:24" ht="15" customHeight="1" x14ac:dyDescent="0.2">
      <c r="C17" s="1102"/>
      <c r="D17" s="1103"/>
      <c r="E17" s="474">
        <v>0</v>
      </c>
      <c r="F17" s="1078">
        <v>0</v>
      </c>
      <c r="G17" s="1078"/>
      <c r="H17" s="1087" t="s">
        <v>318</v>
      </c>
      <c r="I17" s="1087"/>
      <c r="J17" s="1087"/>
      <c r="K17" s="1087"/>
      <c r="L17" s="1087"/>
      <c r="M17" s="486">
        <f>M18+M19+M20</f>
        <v>0</v>
      </c>
      <c r="O17" s="699"/>
      <c r="P17" s="697"/>
      <c r="Q17" s="697"/>
      <c r="R17" s="697"/>
      <c r="S17" s="697"/>
      <c r="T17" s="697"/>
      <c r="U17" s="697"/>
      <c r="V17" s="697"/>
      <c r="W17" s="697"/>
      <c r="X17" s="698"/>
    </row>
    <row r="18" spans="1:24" ht="15" customHeight="1" x14ac:dyDescent="0.2">
      <c r="C18" s="1024" t="s">
        <v>560</v>
      </c>
      <c r="D18" s="1025"/>
      <c r="E18" s="996"/>
      <c r="F18" s="1078">
        <v>0</v>
      </c>
      <c r="G18" s="1078"/>
      <c r="H18" s="1090" t="s">
        <v>563</v>
      </c>
      <c r="I18" s="1090"/>
      <c r="J18" s="1090"/>
      <c r="K18" s="1090"/>
      <c r="L18" s="1090"/>
      <c r="M18" s="487">
        <f>'4 AT Lainat ja avustukset alv'!E54</f>
        <v>0</v>
      </c>
      <c r="O18" s="699"/>
      <c r="P18" s="697"/>
      <c r="Q18" s="697"/>
      <c r="R18" s="697"/>
      <c r="S18" s="697"/>
      <c r="T18" s="697"/>
      <c r="U18" s="697"/>
      <c r="V18" s="697"/>
      <c r="W18" s="697"/>
      <c r="X18" s="698"/>
    </row>
    <row r="19" spans="1:24" ht="15" customHeight="1" x14ac:dyDescent="0.2">
      <c r="C19" s="1026" t="s">
        <v>561</v>
      </c>
      <c r="D19" s="1027"/>
      <c r="E19" s="996"/>
      <c r="F19" s="1078">
        <v>0</v>
      </c>
      <c r="G19" s="1078"/>
      <c r="H19" s="1132" t="s">
        <v>564</v>
      </c>
      <c r="I19" s="1105"/>
      <c r="J19" s="1105"/>
      <c r="K19" s="1105"/>
      <c r="L19" s="1106"/>
      <c r="M19" s="485">
        <v>0</v>
      </c>
      <c r="O19" s="699"/>
      <c r="P19" s="697"/>
      <c r="Q19" s="697"/>
      <c r="R19" s="697"/>
      <c r="S19" s="697"/>
      <c r="T19" s="697"/>
      <c r="U19" s="697"/>
      <c r="V19" s="697"/>
      <c r="W19" s="697"/>
      <c r="X19" s="698"/>
    </row>
    <row r="20" spans="1:24" ht="15" customHeight="1" x14ac:dyDescent="0.2">
      <c r="C20" s="1100" t="s">
        <v>562</v>
      </c>
      <c r="D20" s="1101"/>
      <c r="E20" s="481">
        <v>0</v>
      </c>
      <c r="F20" s="1096">
        <v>0</v>
      </c>
      <c r="G20" s="1096"/>
      <c r="H20" s="1091"/>
      <c r="I20" s="1091"/>
      <c r="J20" s="1091"/>
      <c r="K20" s="1091"/>
      <c r="L20" s="1091"/>
      <c r="M20" s="485">
        <v>0</v>
      </c>
      <c r="O20" s="699"/>
      <c r="P20" s="697"/>
      <c r="Q20" s="697"/>
      <c r="R20" s="697"/>
      <c r="S20" s="697"/>
      <c r="T20" s="697"/>
      <c r="U20" s="697"/>
      <c r="V20" s="697"/>
      <c r="W20" s="697"/>
      <c r="X20" s="698"/>
    </row>
    <row r="21" spans="1:24" ht="15" customHeight="1" x14ac:dyDescent="0.2">
      <c r="C21" s="1087" t="s">
        <v>319</v>
      </c>
      <c r="D21" s="1087"/>
      <c r="E21" s="1087"/>
      <c r="F21" s="1038">
        <f>F22+F23</f>
        <v>0</v>
      </c>
      <c r="G21" s="1038"/>
      <c r="H21" s="1098" t="s">
        <v>320</v>
      </c>
      <c r="I21" s="1098"/>
      <c r="J21" s="1098"/>
      <c r="K21" s="1098"/>
      <c r="L21" s="1099"/>
      <c r="M21" s="447">
        <f>IF((F13+F14+F21-F20-M15-F18)*0.20319&lt;0,0,(F13+F14+F21-F20-M15-F18)*0.20319)</f>
        <v>0</v>
      </c>
      <c r="O21" s="699"/>
      <c r="P21" s="697"/>
      <c r="Q21" s="697"/>
      <c r="R21" s="697"/>
      <c r="S21" s="697"/>
      <c r="T21" s="697"/>
      <c r="U21" s="697"/>
      <c r="V21" s="697"/>
      <c r="W21" s="697"/>
      <c r="X21" s="698"/>
    </row>
    <row r="22" spans="1:24" ht="15" customHeight="1" x14ac:dyDescent="0.2">
      <c r="C22" s="1084"/>
      <c r="D22" s="1085"/>
      <c r="E22" s="1086"/>
      <c r="F22" s="1059">
        <v>0</v>
      </c>
      <c r="G22" s="1060"/>
      <c r="H22" s="488" t="s">
        <v>321</v>
      </c>
      <c r="I22" s="488"/>
      <c r="J22" s="488"/>
      <c r="K22" s="1097"/>
      <c r="L22" s="1097"/>
      <c r="M22" s="447">
        <f>M23+M24+M25+M26</f>
        <v>0</v>
      </c>
      <c r="O22" s="699"/>
      <c r="P22" s="697"/>
      <c r="Q22" s="697"/>
      <c r="R22" s="697"/>
      <c r="S22" s="697"/>
      <c r="T22" s="697"/>
      <c r="U22" s="697"/>
      <c r="V22" s="697"/>
      <c r="W22" s="697"/>
      <c r="X22" s="698"/>
    </row>
    <row r="23" spans="1:24" ht="15" customHeight="1" x14ac:dyDescent="0.2">
      <c r="C23" s="1102"/>
      <c r="D23" s="1103"/>
      <c r="E23" s="1104"/>
      <c r="F23" s="1059">
        <v>0</v>
      </c>
      <c r="G23" s="1060"/>
      <c r="H23" s="1094" t="s">
        <v>565</v>
      </c>
      <c r="I23" s="1094"/>
      <c r="J23" s="1094"/>
      <c r="K23" s="1094"/>
      <c r="L23" s="1095"/>
      <c r="M23" s="485">
        <v>0</v>
      </c>
      <c r="O23" s="699"/>
      <c r="P23" s="697"/>
      <c r="Q23" s="697"/>
      <c r="R23" s="697"/>
      <c r="S23" s="697"/>
      <c r="T23" s="697"/>
      <c r="U23" s="697"/>
      <c r="V23" s="697"/>
      <c r="W23" s="697"/>
      <c r="X23" s="698"/>
    </row>
    <row r="24" spans="1:24" ht="15" customHeight="1" x14ac:dyDescent="0.2">
      <c r="C24" s="1087" t="s">
        <v>322</v>
      </c>
      <c r="D24" s="1087"/>
      <c r="E24" s="1087"/>
      <c r="F24" s="1083">
        <v>0</v>
      </c>
      <c r="G24" s="1083"/>
      <c r="H24" s="1105" t="s">
        <v>566</v>
      </c>
      <c r="I24" s="1105"/>
      <c r="J24" s="1105"/>
      <c r="K24" s="1105"/>
      <c r="L24" s="1106"/>
      <c r="M24" s="485">
        <v>0</v>
      </c>
      <c r="O24" s="699"/>
      <c r="P24" s="697"/>
      <c r="Q24" s="697"/>
      <c r="R24" s="697"/>
      <c r="S24" s="697"/>
      <c r="T24" s="697"/>
      <c r="U24" s="697"/>
      <c r="V24" s="697"/>
      <c r="W24" s="697"/>
      <c r="X24" s="698"/>
    </row>
    <row r="25" spans="1:24" ht="15" customHeight="1" x14ac:dyDescent="0.2">
      <c r="A25" s="1260"/>
      <c r="B25" s="1260"/>
      <c r="C25" s="1087" t="s">
        <v>323</v>
      </c>
      <c r="D25" s="1087"/>
      <c r="E25" s="1087"/>
      <c r="F25" s="1079">
        <v>0</v>
      </c>
      <c r="G25" s="1079"/>
      <c r="H25" s="1105" t="s">
        <v>0</v>
      </c>
      <c r="I25" s="1105"/>
      <c r="J25" s="1105"/>
      <c r="K25" s="1105"/>
      <c r="L25" s="1106"/>
      <c r="M25" s="485">
        <v>0</v>
      </c>
      <c r="O25" s="699"/>
      <c r="P25" s="697"/>
      <c r="Q25" s="697"/>
      <c r="R25" s="697"/>
      <c r="S25" s="697"/>
      <c r="T25" s="697"/>
      <c r="U25" s="697"/>
      <c r="V25" s="697"/>
      <c r="W25" s="697"/>
      <c r="X25" s="698"/>
    </row>
    <row r="26" spans="1:24" ht="15" customHeight="1" x14ac:dyDescent="0.2">
      <c r="A26" s="1260"/>
      <c r="B26" s="1260"/>
      <c r="C26" s="1087" t="s">
        <v>324</v>
      </c>
      <c r="D26" s="1087"/>
      <c r="E26" s="1087"/>
      <c r="F26" s="1079">
        <v>0</v>
      </c>
      <c r="G26" s="1079"/>
      <c r="H26" s="1133" t="s">
        <v>0</v>
      </c>
      <c r="I26" s="1134"/>
      <c r="J26" s="1134"/>
      <c r="K26" s="1134"/>
      <c r="L26" s="1135"/>
      <c r="M26" s="485">
        <v>0</v>
      </c>
      <c r="O26" s="699"/>
      <c r="P26" s="697"/>
      <c r="Q26" s="697"/>
      <c r="R26" s="697"/>
      <c r="S26" s="697"/>
      <c r="T26" s="697"/>
      <c r="U26" s="697"/>
      <c r="V26" s="697"/>
      <c r="W26" s="697"/>
      <c r="X26" s="698"/>
    </row>
    <row r="27" spans="1:24" ht="17.25" customHeight="1" x14ac:dyDescent="0.2">
      <c r="A27" s="1260"/>
      <c r="B27" s="1260"/>
      <c r="C27" s="256"/>
      <c r="D27" s="1188" t="s">
        <v>309</v>
      </c>
      <c r="E27" s="1188"/>
      <c r="F27" s="1080">
        <f>F10+F14+F21+F25+F26+F24</f>
        <v>0</v>
      </c>
      <c r="G27" s="1081"/>
      <c r="H27" s="259"/>
      <c r="I27" s="1088" t="s">
        <v>309</v>
      </c>
      <c r="J27" s="1088"/>
      <c r="K27" s="1088"/>
      <c r="L27" s="1089"/>
      <c r="M27" s="482">
        <f>M10+M15+M17+M21+M22+M16</f>
        <v>0</v>
      </c>
      <c r="O27" s="699"/>
      <c r="P27" s="697"/>
      <c r="Q27" s="697"/>
      <c r="R27" s="697"/>
      <c r="S27" s="697"/>
      <c r="T27" s="697"/>
      <c r="U27" s="697"/>
      <c r="V27" s="697"/>
      <c r="W27" s="697"/>
      <c r="X27" s="698"/>
    </row>
    <row r="28" spans="1:24" ht="3.75" customHeight="1" x14ac:dyDescent="0.2">
      <c r="A28" s="1260"/>
      <c r="B28" s="1260"/>
      <c r="C28" s="256"/>
      <c r="D28" s="258"/>
      <c r="E28" s="258"/>
      <c r="F28" s="274"/>
      <c r="G28" s="274"/>
      <c r="H28" s="258"/>
      <c r="I28" s="258"/>
      <c r="J28" s="258"/>
      <c r="K28" s="258"/>
      <c r="L28" s="259"/>
      <c r="M28" s="274"/>
      <c r="O28" s="936"/>
      <c r="P28" s="702"/>
      <c r="Q28" s="702"/>
      <c r="R28" s="702"/>
      <c r="S28" s="702"/>
      <c r="T28" s="702"/>
      <c r="U28" s="702"/>
      <c r="V28" s="702"/>
      <c r="W28" s="702"/>
      <c r="X28" s="703"/>
    </row>
    <row r="29" spans="1:24" ht="16.899999999999999" customHeight="1" x14ac:dyDescent="0.2">
      <c r="A29" s="1260"/>
      <c r="B29" s="1260"/>
      <c r="C29" s="1107" t="s">
        <v>325</v>
      </c>
      <c r="D29" s="1107"/>
      <c r="E29" s="1107"/>
      <c r="F29" s="1112">
        <f>ROUND(F27-M27,0)</f>
        <v>0</v>
      </c>
      <c r="G29" s="1113"/>
      <c r="H29" s="1107" t="s">
        <v>326</v>
      </c>
      <c r="I29" s="1107"/>
      <c r="J29" s="1107"/>
      <c r="K29" s="1107"/>
      <c r="L29" s="1107"/>
      <c r="M29" s="482">
        <f>M17+M21</f>
        <v>0</v>
      </c>
      <c r="N29" s="270"/>
      <c r="O29" s="699"/>
      <c r="P29" s="697"/>
      <c r="Q29" s="697"/>
      <c r="R29" s="697"/>
      <c r="S29" s="697"/>
      <c r="T29" s="697"/>
      <c r="U29" s="697"/>
      <c r="V29" s="697"/>
      <c r="W29" s="697"/>
      <c r="X29" s="698"/>
    </row>
    <row r="30" spans="1:24" ht="18" customHeight="1" x14ac:dyDescent="0.2">
      <c r="A30" s="1260"/>
      <c r="B30" s="1260"/>
      <c r="C30" s="419"/>
      <c r="D30" s="1175" t="str">
        <f>IF( F29&lt;&gt;0,"KONTROLLERA, ATT CELL F29=0 (FINANSIERINGSBEHOV - FINANSIERING, DIFFERENS = 0!)","")</f>
        <v/>
      </c>
      <c r="E30" s="1175"/>
      <c r="F30" s="1175"/>
      <c r="G30" s="1175"/>
      <c r="H30" s="1175"/>
      <c r="I30" s="1175"/>
      <c r="J30" s="1175"/>
      <c r="K30" s="1175"/>
      <c r="L30" s="1175"/>
      <c r="M30" s="1175"/>
      <c r="N30" s="270"/>
      <c r="O30" s="699"/>
      <c r="P30" s="697"/>
      <c r="Q30" s="697"/>
      <c r="R30" s="697"/>
      <c r="S30" s="697"/>
      <c r="T30" s="697"/>
      <c r="U30" s="697"/>
      <c r="V30" s="697"/>
      <c r="W30" s="697"/>
      <c r="X30" s="698"/>
    </row>
    <row r="31" spans="1:24" ht="18.600000000000001" customHeight="1" x14ac:dyDescent="0.2">
      <c r="C31" s="1148" t="s">
        <v>567</v>
      </c>
      <c r="D31" s="1149"/>
      <c r="E31" s="1149"/>
      <c r="F31" s="1149"/>
      <c r="G31" s="1149"/>
      <c r="H31" s="1150"/>
      <c r="I31" s="1248" t="s">
        <v>327</v>
      </c>
      <c r="J31" s="1249"/>
      <c r="K31" s="1194" t="s">
        <v>328</v>
      </c>
      <c r="L31" s="1195"/>
      <c r="M31" s="639" t="s">
        <v>329</v>
      </c>
      <c r="N31" s="271"/>
      <c r="O31" s="699"/>
      <c r="P31" s="697"/>
      <c r="Q31" s="697"/>
      <c r="R31" s="697"/>
      <c r="S31" s="697"/>
      <c r="T31" s="697"/>
      <c r="U31" s="697"/>
      <c r="V31" s="697"/>
      <c r="W31" s="697"/>
      <c r="X31" s="698"/>
    </row>
    <row r="32" spans="1:24" ht="15.6" customHeight="1" x14ac:dyDescent="0.2">
      <c r="B32" s="287"/>
      <c r="C32" s="1151"/>
      <c r="D32" s="1152"/>
      <c r="E32" s="1152"/>
      <c r="F32" s="1152"/>
      <c r="G32" s="1152"/>
      <c r="H32" s="1153"/>
      <c r="I32" s="1005" t="s">
        <v>330</v>
      </c>
      <c r="J32" s="494">
        <v>2026</v>
      </c>
      <c r="K32" s="1114">
        <v>2027</v>
      </c>
      <c r="L32" s="1115"/>
      <c r="M32" s="494">
        <v>2028</v>
      </c>
      <c r="O32" s="699"/>
      <c r="P32" s="697"/>
      <c r="Q32" s="697"/>
      <c r="R32" s="697"/>
      <c r="S32" s="697"/>
      <c r="T32" s="697"/>
      <c r="U32" s="697"/>
      <c r="V32" s="697"/>
      <c r="W32" s="697"/>
      <c r="X32" s="698"/>
    </row>
    <row r="33" spans="2:27" ht="13.5" customHeight="1" x14ac:dyDescent="0.2">
      <c r="B33" s="254"/>
      <c r="C33" s="1057"/>
      <c r="D33" s="1058" t="s">
        <v>331</v>
      </c>
      <c r="E33" s="1058"/>
      <c r="F33" s="292"/>
      <c r="G33" s="292"/>
      <c r="H33" s="288"/>
      <c r="I33" s="570"/>
      <c r="J33" s="922">
        <v>12</v>
      </c>
      <c r="K33" s="1189">
        <v>12</v>
      </c>
      <c r="L33" s="1190"/>
      <c r="M33" s="922">
        <v>12</v>
      </c>
      <c r="O33" s="699"/>
      <c r="P33" s="697"/>
      <c r="Q33" s="697"/>
      <c r="R33" s="697"/>
      <c r="S33" s="697"/>
      <c r="T33" s="697"/>
      <c r="U33" s="697"/>
      <c r="V33" s="697"/>
      <c r="W33" s="697"/>
      <c r="X33" s="698"/>
    </row>
    <row r="34" spans="2:27" s="2" customFormat="1" ht="12.75" customHeight="1" x14ac:dyDescent="0.2">
      <c r="B34" s="90"/>
      <c r="C34" s="513" t="s">
        <v>132</v>
      </c>
      <c r="D34" s="1140" t="s">
        <v>332</v>
      </c>
      <c r="E34" s="1140"/>
      <c r="F34" s="1140"/>
      <c r="G34" s="1140"/>
      <c r="H34" s="1141"/>
      <c r="I34" s="495">
        <v>0</v>
      </c>
      <c r="J34" s="498">
        <v>0</v>
      </c>
      <c r="K34" s="1154">
        <v>0</v>
      </c>
      <c r="L34" s="1155">
        <v>0</v>
      </c>
      <c r="M34" s="532">
        <v>0</v>
      </c>
      <c r="N34" s="264"/>
      <c r="O34" s="699"/>
      <c r="P34" s="697"/>
      <c r="Q34" s="697"/>
      <c r="R34" s="697"/>
      <c r="S34" s="697"/>
      <c r="T34" s="697"/>
      <c r="U34" s="697"/>
      <c r="V34" s="697"/>
      <c r="W34" s="697"/>
      <c r="X34" s="698"/>
    </row>
    <row r="35" spans="2:27" ht="12" customHeight="1" x14ac:dyDescent="0.2">
      <c r="B35" s="90"/>
      <c r="C35" s="514"/>
      <c r="D35" s="515" t="s">
        <v>333</v>
      </c>
      <c r="E35" s="515"/>
      <c r="F35" s="515"/>
      <c r="G35" s="515"/>
      <c r="H35" s="516"/>
      <c r="I35" s="496">
        <v>0</v>
      </c>
      <c r="J35" s="499">
        <v>0</v>
      </c>
      <c r="K35" s="1110">
        <v>0</v>
      </c>
      <c r="L35" s="1111">
        <v>0</v>
      </c>
      <c r="M35" s="923">
        <v>0</v>
      </c>
      <c r="O35" s="699"/>
      <c r="P35" s="697"/>
      <c r="Q35" s="697"/>
      <c r="R35" s="697"/>
      <c r="S35" s="697"/>
      <c r="T35" s="697"/>
      <c r="U35" s="697"/>
      <c r="V35" s="697"/>
      <c r="W35" s="697"/>
      <c r="X35" s="698"/>
    </row>
    <row r="36" spans="2:27" ht="12" customHeight="1" x14ac:dyDescent="0.2">
      <c r="B36" s="90"/>
      <c r="C36" s="517"/>
      <c r="D36" s="518" t="s">
        <v>334</v>
      </c>
      <c r="E36" s="518"/>
      <c r="F36" s="518"/>
      <c r="G36" s="518"/>
      <c r="H36" s="519"/>
      <c r="I36" s="496">
        <v>0</v>
      </c>
      <c r="J36" s="499">
        <v>0</v>
      </c>
      <c r="K36" s="1110">
        <v>0</v>
      </c>
      <c r="L36" s="1111">
        <v>0</v>
      </c>
      <c r="M36" s="923">
        <v>0</v>
      </c>
      <c r="N36" s="265"/>
      <c r="O36" s="699"/>
      <c r="P36" s="697"/>
      <c r="Q36" s="697"/>
      <c r="R36" s="697"/>
      <c r="S36" s="697"/>
      <c r="T36" s="697"/>
      <c r="U36" s="697"/>
      <c r="V36" s="697"/>
      <c r="W36" s="697"/>
      <c r="X36" s="698"/>
    </row>
    <row r="37" spans="2:27" s="2" customFormat="1" ht="12.75" customHeight="1" x14ac:dyDescent="0.2">
      <c r="B37" s="615" t="s">
        <v>69</v>
      </c>
      <c r="C37" s="462" t="s">
        <v>133</v>
      </c>
      <c r="D37" s="259" t="s">
        <v>335</v>
      </c>
      <c r="E37" s="259"/>
      <c r="F37" s="29"/>
      <c r="G37" s="29"/>
      <c r="H37" s="29"/>
      <c r="I37" s="495">
        <v>0</v>
      </c>
      <c r="J37" s="500">
        <f>IF($M16=0,0,-J33*PMT($J16/12,$K16*12,$M16)+J33*10)</f>
        <v>0</v>
      </c>
      <c r="K37" s="1067">
        <f>IF($M16=0,0,-K33*PMT($J16/12,$K16*12,$M16)+K33*10)</f>
        <v>0</v>
      </c>
      <c r="L37" s="1068">
        <v>0</v>
      </c>
      <c r="M37" s="447">
        <f>IF($M16=0,0,-M33*PMT($J16/12,$K16*12,$M16)+M33*10)</f>
        <v>0</v>
      </c>
      <c r="O37" s="1001" t="s">
        <v>414</v>
      </c>
      <c r="P37" s="259"/>
      <c r="Q37" s="697"/>
      <c r="R37" s="697"/>
      <c r="S37" s="697"/>
      <c r="T37" s="697"/>
      <c r="U37" s="697"/>
      <c r="V37" s="697"/>
      <c r="W37" s="697"/>
      <c r="X37" s="698"/>
    </row>
    <row r="38" spans="2:27" s="2" customFormat="1" ht="12.75" customHeight="1" x14ac:dyDescent="0.2">
      <c r="B38" s="253" t="s">
        <v>56</v>
      </c>
      <c r="C38" s="464" t="s">
        <v>134</v>
      </c>
      <c r="D38" s="1053" t="s">
        <v>336</v>
      </c>
      <c r="E38" s="1053"/>
      <c r="F38" s="1053"/>
      <c r="G38" s="1053"/>
      <c r="H38" s="1076"/>
      <c r="I38" s="495">
        <f>J38/12</f>
        <v>0</v>
      </c>
      <c r="J38" s="500">
        <f>J39*J41</f>
        <v>0</v>
      </c>
      <c r="K38" s="1067">
        <f>K39*K41</f>
        <v>0</v>
      </c>
      <c r="L38" s="1068"/>
      <c r="M38" s="447">
        <f>M39*M41</f>
        <v>0</v>
      </c>
      <c r="O38" s="476">
        <f>K$32</f>
        <v>2027</v>
      </c>
      <c r="P38" s="476">
        <f>M$32</f>
        <v>2028</v>
      </c>
      <c r="Q38" s="697"/>
      <c r="R38" s="697"/>
      <c r="S38" s="697"/>
      <c r="T38" s="697"/>
      <c r="U38" s="697"/>
      <c r="V38" s="697"/>
      <c r="W38" s="697"/>
      <c r="X38" s="698"/>
    </row>
    <row r="39" spans="2:27" s="2" customFormat="1" ht="12" customHeight="1" x14ac:dyDescent="0.2">
      <c r="B39" s="278"/>
      <c r="C39" s="524"/>
      <c r="D39" s="1054" t="s">
        <v>337</v>
      </c>
      <c r="E39" s="1054"/>
      <c r="F39" s="1054"/>
      <c r="G39" s="1054"/>
      <c r="H39" s="1108"/>
      <c r="I39" s="495">
        <v>0</v>
      </c>
      <c r="J39" s="501">
        <v>0</v>
      </c>
      <c r="K39" s="1062">
        <f>J39+O39*J39</f>
        <v>0</v>
      </c>
      <c r="L39" s="1063">
        <v>0</v>
      </c>
      <c r="M39" s="509">
        <f>K39+P39*K39</f>
        <v>0</v>
      </c>
      <c r="O39" s="474">
        <v>0.03</v>
      </c>
      <c r="P39" s="474">
        <f t="shared" ref="P39" si="0">O39</f>
        <v>0.03</v>
      </c>
      <c r="Q39" s="697"/>
      <c r="R39" s="697"/>
      <c r="S39" s="697"/>
      <c r="T39" s="697"/>
      <c r="U39" s="697"/>
      <c r="V39" s="697"/>
      <c r="W39" s="697"/>
      <c r="X39" s="698"/>
    </row>
    <row r="40" spans="2:27" s="2" customFormat="1" ht="12" customHeight="1" x14ac:dyDescent="0.2">
      <c r="B40" s="278"/>
      <c r="C40" s="514"/>
      <c r="D40" s="515" t="s">
        <v>338</v>
      </c>
      <c r="E40" s="515"/>
      <c r="F40" s="515"/>
      <c r="G40" s="515"/>
      <c r="H40" s="516"/>
      <c r="I40" s="495">
        <v>0</v>
      </c>
      <c r="J40" s="501">
        <v>0</v>
      </c>
      <c r="K40" s="1186">
        <f>J40</f>
        <v>0</v>
      </c>
      <c r="L40" s="1187"/>
      <c r="M40" s="509">
        <f>K40</f>
        <v>0</v>
      </c>
      <c r="O40" s="670"/>
      <c r="P40" s="671"/>
      <c r="Q40" s="697"/>
      <c r="R40" s="697"/>
      <c r="S40" s="697"/>
      <c r="T40" s="697"/>
      <c r="U40" s="697"/>
      <c r="V40" s="697"/>
      <c r="W40" s="697"/>
      <c r="X40" s="698"/>
    </row>
    <row r="41" spans="2:27" s="2" customFormat="1" ht="12" customHeight="1" x14ac:dyDescent="0.2">
      <c r="B41" s="278"/>
      <c r="C41" s="517"/>
      <c r="D41" s="518" t="s">
        <v>339</v>
      </c>
      <c r="E41" s="518"/>
      <c r="F41" s="518"/>
      <c r="G41" s="518"/>
      <c r="H41" s="519"/>
      <c r="I41" s="495">
        <v>0</v>
      </c>
      <c r="J41" s="502">
        <v>12</v>
      </c>
      <c r="K41" s="1069">
        <v>12.5</v>
      </c>
      <c r="L41" s="1070"/>
      <c r="M41" s="510">
        <v>12.5</v>
      </c>
      <c r="O41" s="672"/>
      <c r="P41" s="673"/>
      <c r="Q41" s="697"/>
      <c r="R41" s="697"/>
      <c r="S41" s="697"/>
      <c r="T41" s="697"/>
      <c r="U41" s="697"/>
      <c r="V41" s="697"/>
      <c r="W41" s="697"/>
      <c r="X41" s="698"/>
    </row>
    <row r="42" spans="2:27" s="2" customFormat="1" ht="12.75" customHeight="1" x14ac:dyDescent="0.2">
      <c r="B42" s="253" t="s">
        <v>56</v>
      </c>
      <c r="C42" s="464" t="s">
        <v>135</v>
      </c>
      <c r="D42" s="1053" t="s">
        <v>340</v>
      </c>
      <c r="E42" s="1053"/>
      <c r="F42" s="1053"/>
      <c r="G42" s="1053"/>
      <c r="H42" s="1076"/>
      <c r="I42" s="495">
        <f>J42/12</f>
        <v>0</v>
      </c>
      <c r="J42" s="500">
        <f>J43*J45</f>
        <v>0</v>
      </c>
      <c r="K42" s="1067">
        <f>K43*K45</f>
        <v>0</v>
      </c>
      <c r="L42" s="1068">
        <v>0</v>
      </c>
      <c r="M42" s="492">
        <f>M43*M45</f>
        <v>0</v>
      </c>
      <c r="O42" s="476">
        <f>K$32</f>
        <v>2027</v>
      </c>
      <c r="P42" s="476">
        <f>M$32</f>
        <v>2028</v>
      </c>
      <c r="Q42" s="697"/>
      <c r="R42" s="697"/>
      <c r="S42" s="697"/>
      <c r="T42" s="697"/>
      <c r="U42" s="697"/>
      <c r="V42" s="697"/>
      <c r="W42" s="697"/>
      <c r="X42" s="698"/>
    </row>
    <row r="43" spans="2:27" s="22" customFormat="1" ht="12" customHeight="1" x14ac:dyDescent="0.2">
      <c r="B43" s="90"/>
      <c r="C43" s="524"/>
      <c r="D43" s="515" t="s">
        <v>341</v>
      </c>
      <c r="E43" s="515" t="s">
        <v>0</v>
      </c>
      <c r="F43" s="515"/>
      <c r="G43" s="515"/>
      <c r="H43" s="515"/>
      <c r="I43" s="495">
        <v>0</v>
      </c>
      <c r="J43" s="501">
        <v>0</v>
      </c>
      <c r="K43" s="1062">
        <f>J43+O43*J43</f>
        <v>0</v>
      </c>
      <c r="L43" s="1063">
        <v>0</v>
      </c>
      <c r="M43" s="509">
        <f>K43+P43*K43</f>
        <v>0</v>
      </c>
      <c r="O43" s="474">
        <v>0.03</v>
      </c>
      <c r="P43" s="474">
        <v>0.03</v>
      </c>
      <c r="Q43" s="697"/>
      <c r="R43" s="697"/>
      <c r="S43" s="697"/>
      <c r="T43" s="697"/>
      <c r="U43" s="697"/>
      <c r="V43" s="697"/>
      <c r="W43" s="697"/>
      <c r="X43" s="698"/>
      <c r="Z43" s="80"/>
    </row>
    <row r="44" spans="2:27" s="2" customFormat="1" ht="12" customHeight="1" x14ac:dyDescent="0.2">
      <c r="B44" s="278"/>
      <c r="C44" s="514"/>
      <c r="D44" s="515" t="s">
        <v>342</v>
      </c>
      <c r="E44" s="515"/>
      <c r="F44" s="515"/>
      <c r="G44" s="515"/>
      <c r="H44" s="516"/>
      <c r="I44" s="495">
        <v>0</v>
      </c>
      <c r="J44" s="501">
        <v>0</v>
      </c>
      <c r="K44" s="1186">
        <f>J44</f>
        <v>0</v>
      </c>
      <c r="L44" s="1187"/>
      <c r="M44" s="509">
        <f>K44</f>
        <v>0</v>
      </c>
      <c r="O44" s="670"/>
      <c r="P44" s="671"/>
      <c r="Q44" s="697"/>
      <c r="R44" s="697"/>
      <c r="S44" s="697"/>
      <c r="T44" s="697"/>
      <c r="U44" s="697"/>
      <c r="V44" s="697"/>
      <c r="W44" s="697"/>
      <c r="X44" s="698"/>
      <c r="Z44" s="293"/>
      <c r="AA44" s="29"/>
    </row>
    <row r="45" spans="2:27" s="22" customFormat="1" ht="12" customHeight="1" x14ac:dyDescent="0.2">
      <c r="B45" s="90"/>
      <c r="C45" s="520"/>
      <c r="D45" s="521" t="s">
        <v>339</v>
      </c>
      <c r="E45" s="521"/>
      <c r="F45" s="521"/>
      <c r="G45" s="521"/>
      <c r="H45" s="522"/>
      <c r="I45" s="496">
        <v>0</v>
      </c>
      <c r="J45" s="502">
        <v>12</v>
      </c>
      <c r="K45" s="1069">
        <v>12.5</v>
      </c>
      <c r="L45" s="1070"/>
      <c r="M45" s="510">
        <v>12.5</v>
      </c>
      <c r="O45" s="670"/>
      <c r="P45" s="671"/>
      <c r="Q45" s="697"/>
      <c r="R45" s="697"/>
      <c r="S45" s="697"/>
      <c r="T45" s="697"/>
      <c r="U45" s="697"/>
      <c r="V45" s="697"/>
      <c r="W45" s="697"/>
      <c r="X45" s="698"/>
      <c r="Z45" s="80"/>
    </row>
    <row r="46" spans="2:27" s="2" customFormat="1" ht="12.75" customHeight="1" x14ac:dyDescent="0.2">
      <c r="B46" s="253" t="s">
        <v>56</v>
      </c>
      <c r="C46" s="464" t="s">
        <v>136</v>
      </c>
      <c r="D46" s="1076" t="s">
        <v>343</v>
      </c>
      <c r="E46" s="1087"/>
      <c r="F46" s="1184">
        <v>0.35</v>
      </c>
      <c r="G46" s="1184"/>
      <c r="H46" s="527" t="s">
        <v>344</v>
      </c>
      <c r="I46" s="495">
        <f>J46/12</f>
        <v>0</v>
      </c>
      <c r="J46" s="500">
        <f>F46*(J42+J44*J45)</f>
        <v>0</v>
      </c>
      <c r="K46" s="1250">
        <f>F46*(K42+K44*K45)</f>
        <v>0</v>
      </c>
      <c r="L46" s="1251"/>
      <c r="M46" s="492">
        <f>F46*(M42+M44*M45)</f>
        <v>0</v>
      </c>
      <c r="O46" s="1173"/>
      <c r="P46" s="1174"/>
      <c r="Q46" s="697"/>
      <c r="R46" s="697"/>
      <c r="S46" s="697"/>
      <c r="T46" s="697"/>
      <c r="U46" s="697"/>
      <c r="V46" s="697"/>
      <c r="W46" s="697"/>
      <c r="X46" s="698"/>
    </row>
    <row r="47" spans="2:27" s="2" customFormat="1" ht="12.75" customHeight="1" x14ac:dyDescent="0.2">
      <c r="B47" s="253" t="s">
        <v>57</v>
      </c>
      <c r="C47" s="462" t="s">
        <v>137</v>
      </c>
      <c r="D47" s="1077" t="s">
        <v>345</v>
      </c>
      <c r="E47" s="1077"/>
      <c r="F47" s="1077"/>
      <c r="G47" s="1077"/>
      <c r="H47" s="1109"/>
      <c r="I47" s="495">
        <f>J47/12</f>
        <v>0</v>
      </c>
      <c r="J47" s="500">
        <f>J48*J49+J50+J51</f>
        <v>0</v>
      </c>
      <c r="K47" s="1067">
        <f>K48*K49+K50+K51</f>
        <v>0</v>
      </c>
      <c r="L47" s="1068" t="e">
        <v>#VALUE!</v>
      </c>
      <c r="M47" s="492">
        <f>M48*M49+M50+M51</f>
        <v>0</v>
      </c>
      <c r="O47" s="1014"/>
      <c r="P47" s="1015"/>
      <c r="Q47" s="697"/>
      <c r="R47" s="697"/>
      <c r="S47" s="697"/>
      <c r="T47" s="697"/>
      <c r="U47" s="697"/>
      <c r="V47" s="697"/>
      <c r="W47" s="697"/>
      <c r="X47" s="698"/>
    </row>
    <row r="48" spans="2:27" ht="12" customHeight="1" x14ac:dyDescent="0.2">
      <c r="B48" s="90" t="s">
        <v>0</v>
      </c>
      <c r="C48" s="513"/>
      <c r="D48" s="515" t="s">
        <v>346</v>
      </c>
      <c r="E48" s="515"/>
      <c r="F48" s="515"/>
      <c r="G48" s="515"/>
      <c r="H48" s="515"/>
      <c r="I48" s="496">
        <v>0</v>
      </c>
      <c r="J48" s="503">
        <f>J38+J40*J41</f>
        <v>0</v>
      </c>
      <c r="K48" s="1262">
        <f>K38+K40*K41</f>
        <v>0</v>
      </c>
      <c r="L48" s="1263">
        <v>0</v>
      </c>
      <c r="M48" s="511">
        <f>M38+M40*M41</f>
        <v>0</v>
      </c>
      <c r="O48" s="1016"/>
      <c r="P48" s="1017"/>
      <c r="Q48" s="697"/>
      <c r="R48" s="697"/>
      <c r="S48" s="697"/>
      <c r="T48" s="697"/>
      <c r="U48" s="697"/>
      <c r="V48" s="697"/>
      <c r="W48" s="697"/>
      <c r="X48" s="698"/>
    </row>
    <row r="49" spans="2:24" ht="12" customHeight="1" x14ac:dyDescent="0.2">
      <c r="B49" s="90"/>
      <c r="C49" s="514"/>
      <c r="D49" s="515" t="s">
        <v>347</v>
      </c>
      <c r="E49" s="515"/>
      <c r="F49" s="515"/>
      <c r="G49" s="515"/>
      <c r="H49" s="516"/>
      <c r="I49" s="496">
        <v>0</v>
      </c>
      <c r="J49" s="504">
        <v>0.1903</v>
      </c>
      <c r="K49" s="1138">
        <f>J49</f>
        <v>0.1903</v>
      </c>
      <c r="L49" s="1139"/>
      <c r="M49" s="512">
        <f>K49</f>
        <v>0.1903</v>
      </c>
      <c r="O49" s="1013"/>
      <c r="P49" s="679"/>
      <c r="Q49" s="697"/>
      <c r="R49" s="697"/>
      <c r="S49" s="697"/>
      <c r="T49" s="697"/>
      <c r="U49" s="697"/>
      <c r="V49" s="697"/>
      <c r="W49" s="697"/>
      <c r="X49" s="698"/>
    </row>
    <row r="50" spans="2:24" ht="12" customHeight="1" x14ac:dyDescent="0.2">
      <c r="B50" s="90"/>
      <c r="C50" s="517"/>
      <c r="D50" s="518" t="s">
        <v>348</v>
      </c>
      <c r="E50" s="518"/>
      <c r="F50" s="518"/>
      <c r="G50" s="518"/>
      <c r="H50" s="519"/>
      <c r="I50" s="497">
        <v>0</v>
      </c>
      <c r="J50" s="501">
        <v>0</v>
      </c>
      <c r="K50" s="1062">
        <v>0</v>
      </c>
      <c r="L50" s="1063" t="e">
        <v>#VALUE!</v>
      </c>
      <c r="M50" s="509">
        <v>0</v>
      </c>
      <c r="O50" s="678"/>
      <c r="P50" s="679"/>
      <c r="Q50" s="697"/>
      <c r="R50" s="697"/>
      <c r="S50" s="697"/>
      <c r="T50" s="697"/>
      <c r="U50" s="697"/>
      <c r="V50" s="697"/>
      <c r="W50" s="697"/>
      <c r="X50" s="698"/>
    </row>
    <row r="51" spans="2:24" s="22" customFormat="1" ht="12" customHeight="1" x14ac:dyDescent="0.2">
      <c r="B51" s="90"/>
      <c r="C51" s="513"/>
      <c r="D51" s="515" t="s">
        <v>349</v>
      </c>
      <c r="E51" s="515"/>
      <c r="F51" s="997"/>
      <c r="G51" s="997"/>
      <c r="H51" s="515"/>
      <c r="I51" s="496">
        <v>0</v>
      </c>
      <c r="J51" s="505">
        <f>J33*((1.7%*J48+1.91%*(J38+J40*12))+0.008*$M10)/12</f>
        <v>0</v>
      </c>
      <c r="K51" s="1252">
        <f>K33*((1.7%*K48+1.91%*(K38+K40*12))+0.008*$M10)/12</f>
        <v>0</v>
      </c>
      <c r="L51" s="1253"/>
      <c r="M51" s="508">
        <f>M33*((1.7%*M48+1.91%*(M38+M40*12))+0.008*$M10)/12</f>
        <v>0</v>
      </c>
      <c r="O51" s="474">
        <v>0.03</v>
      </c>
      <c r="P51" s="474">
        <f t="shared" ref="P51" si="1">O51</f>
        <v>0.03</v>
      </c>
      <c r="Q51" s="697"/>
      <c r="R51" s="697"/>
      <c r="S51" s="697"/>
      <c r="T51" s="697"/>
      <c r="U51" s="697"/>
      <c r="V51" s="697"/>
      <c r="W51" s="697"/>
      <c r="X51" s="698"/>
    </row>
    <row r="52" spans="2:24" s="2" customFormat="1" ht="12.75" customHeight="1" x14ac:dyDescent="0.2">
      <c r="B52" s="253" t="s">
        <v>70</v>
      </c>
      <c r="C52" s="464" t="s">
        <v>138</v>
      </c>
      <c r="D52" s="1053" t="s">
        <v>350</v>
      </c>
      <c r="E52" s="1053"/>
      <c r="F52" s="1185"/>
      <c r="G52" s="1185"/>
      <c r="H52" s="1076"/>
      <c r="I52" s="486">
        <f>J52/12</f>
        <v>0</v>
      </c>
      <c r="J52" s="506">
        <f>J53+J54</f>
        <v>0</v>
      </c>
      <c r="K52" s="1191">
        <f>K53+K54</f>
        <v>0</v>
      </c>
      <c r="L52" s="1192" t="e">
        <v>#VALUE!</v>
      </c>
      <c r="M52" s="574">
        <f>M53+M54</f>
        <v>0</v>
      </c>
      <c r="O52" s="476">
        <f>K$32</f>
        <v>2027</v>
      </c>
      <c r="P52" s="476">
        <f>M$32</f>
        <v>2028</v>
      </c>
      <c r="Q52" s="697"/>
      <c r="R52" s="697"/>
      <c r="S52" s="697"/>
      <c r="T52" s="697"/>
      <c r="U52" s="697"/>
      <c r="V52" s="697"/>
      <c r="W52" s="697"/>
      <c r="X52" s="698"/>
    </row>
    <row r="53" spans="2:24" s="30" customFormat="1" ht="12" customHeight="1" x14ac:dyDescent="0.2">
      <c r="B53" s="90"/>
      <c r="C53" s="524"/>
      <c r="D53" s="566" t="s">
        <v>351</v>
      </c>
      <c r="E53" s="566"/>
      <c r="F53" s="998"/>
      <c r="G53" s="998"/>
      <c r="H53" s="566"/>
      <c r="I53" s="565">
        <v>0</v>
      </c>
      <c r="J53" s="567">
        <v>0</v>
      </c>
      <c r="K53" s="1254">
        <f>J53+O53*J53</f>
        <v>0</v>
      </c>
      <c r="L53" s="1255" t="e">
        <v>#VALUE!</v>
      </c>
      <c r="M53" s="509">
        <f>K53+P53*K53</f>
        <v>0</v>
      </c>
      <c r="O53" s="475">
        <v>0.03</v>
      </c>
      <c r="P53" s="475">
        <v>0.03</v>
      </c>
      <c r="Q53" s="697"/>
      <c r="R53" s="697"/>
      <c r="S53" s="697"/>
      <c r="T53" s="697"/>
      <c r="U53" s="697"/>
      <c r="V53" s="697"/>
      <c r="W53" s="697"/>
      <c r="X53" s="698"/>
    </row>
    <row r="54" spans="2:24" s="30" customFormat="1" ht="12" customHeight="1" x14ac:dyDescent="0.2">
      <c r="B54" s="90"/>
      <c r="C54" s="514"/>
      <c r="D54" s="515" t="s">
        <v>352</v>
      </c>
      <c r="E54" s="515"/>
      <c r="F54" s="997"/>
      <c r="G54" s="997"/>
      <c r="H54" s="516"/>
      <c r="I54" s="496">
        <v>0</v>
      </c>
      <c r="J54" s="501">
        <v>0</v>
      </c>
      <c r="K54" s="1062">
        <f>J54+O54*J54</f>
        <v>0</v>
      </c>
      <c r="L54" s="1063" t="e">
        <v>#VALUE!</v>
      </c>
      <c r="M54" s="509">
        <f>K54+P54*K54</f>
        <v>0</v>
      </c>
      <c r="O54" s="474">
        <v>0.03</v>
      </c>
      <c r="P54" s="474">
        <f>O54</f>
        <v>0.03</v>
      </c>
      <c r="Q54" s="697"/>
      <c r="R54" s="697"/>
      <c r="S54" s="697"/>
      <c r="T54" s="697"/>
      <c r="U54" s="697"/>
      <c r="V54" s="697"/>
      <c r="W54" s="697"/>
      <c r="X54" s="698"/>
    </row>
    <row r="55" spans="2:24" s="2" customFormat="1" ht="12.75" customHeight="1" x14ac:dyDescent="0.2">
      <c r="B55" s="253" t="s">
        <v>71</v>
      </c>
      <c r="C55" s="464" t="s">
        <v>139</v>
      </c>
      <c r="D55" s="1053" t="s">
        <v>353</v>
      </c>
      <c r="E55" s="1053"/>
      <c r="F55" s="1053"/>
      <c r="G55" s="1053"/>
      <c r="H55" s="1076"/>
      <c r="I55" s="495">
        <v>0</v>
      </c>
      <c r="J55" s="500">
        <f>J56+J57+J58</f>
        <v>0</v>
      </c>
      <c r="K55" s="1067">
        <f>K56+K57+K58</f>
        <v>0</v>
      </c>
      <c r="L55" s="1068"/>
      <c r="M55" s="492">
        <f>M56+M57+M58</f>
        <v>0</v>
      </c>
      <c r="O55" s="476">
        <f>K$32</f>
        <v>2027</v>
      </c>
      <c r="P55" s="476">
        <f>M$32</f>
        <v>2028</v>
      </c>
      <c r="Q55" s="697"/>
      <c r="R55" s="697"/>
      <c r="S55" s="697"/>
      <c r="T55" s="697"/>
      <c r="U55" s="697"/>
      <c r="V55" s="697"/>
      <c r="W55" s="697"/>
      <c r="X55" s="698"/>
    </row>
    <row r="56" spans="2:24" s="22" customFormat="1" ht="12" customHeight="1" x14ac:dyDescent="0.2">
      <c r="B56" s="90"/>
      <c r="C56" s="513"/>
      <c r="D56" s="515" t="s">
        <v>354</v>
      </c>
      <c r="E56" s="515"/>
      <c r="F56" s="515"/>
      <c r="G56" s="515"/>
      <c r="H56" s="515"/>
      <c r="I56" s="496">
        <v>0</v>
      </c>
      <c r="J56" s="501">
        <v>0</v>
      </c>
      <c r="K56" s="1062">
        <f>J56+O56*J56</f>
        <v>0</v>
      </c>
      <c r="L56" s="1063" t="e">
        <v>#VALUE!</v>
      </c>
      <c r="M56" s="509">
        <f>K56+P56*K56</f>
        <v>0</v>
      </c>
      <c r="O56" s="474">
        <v>0.03</v>
      </c>
      <c r="P56" s="474">
        <f>O56</f>
        <v>0.03</v>
      </c>
      <c r="Q56" s="697"/>
      <c r="R56" s="697"/>
      <c r="S56" s="697"/>
      <c r="T56" s="697"/>
      <c r="U56" s="697"/>
      <c r="V56" s="697"/>
      <c r="W56" s="697"/>
      <c r="X56" s="698"/>
    </row>
    <row r="57" spans="2:24" s="22" customFormat="1" ht="12" customHeight="1" x14ac:dyDescent="0.2">
      <c r="B57" s="90"/>
      <c r="C57" s="514"/>
      <c r="D57" s="515" t="s">
        <v>355</v>
      </c>
      <c r="E57" s="515"/>
      <c r="F57" s="515"/>
      <c r="G57" s="515"/>
      <c r="H57" s="516"/>
      <c r="I57" s="496">
        <v>0</v>
      </c>
      <c r="J57" s="501">
        <v>0</v>
      </c>
      <c r="K57" s="1062">
        <f t="shared" ref="K57:K58" si="2">J57+O57*J57</f>
        <v>0</v>
      </c>
      <c r="L57" s="1063" t="e">
        <v>#VALUE!</v>
      </c>
      <c r="M57" s="509">
        <f t="shared" ref="M57:M58" si="3">K57+P57*K57</f>
        <v>0</v>
      </c>
      <c r="O57" s="474">
        <v>0.03</v>
      </c>
      <c r="P57" s="474">
        <f>O57</f>
        <v>0.03</v>
      </c>
      <c r="Q57" s="697"/>
      <c r="R57" s="697"/>
      <c r="S57" s="697"/>
      <c r="T57" s="697" t="s">
        <v>0</v>
      </c>
      <c r="U57" s="697"/>
      <c r="V57" s="697"/>
      <c r="W57" s="697"/>
      <c r="X57" s="698"/>
    </row>
    <row r="58" spans="2:24" s="22" customFormat="1" ht="12" customHeight="1" x14ac:dyDescent="0.2">
      <c r="B58" s="90"/>
      <c r="C58" s="520"/>
      <c r="D58" s="521" t="s">
        <v>356</v>
      </c>
      <c r="E58" s="521"/>
      <c r="F58" s="521"/>
      <c r="G58" s="521"/>
      <c r="H58" s="522"/>
      <c r="I58" s="496">
        <v>0</v>
      </c>
      <c r="J58" s="501">
        <v>0</v>
      </c>
      <c r="K58" s="1062">
        <f t="shared" si="2"/>
        <v>0</v>
      </c>
      <c r="L58" s="1063" t="e">
        <v>#VALUE!</v>
      </c>
      <c r="M58" s="509">
        <f t="shared" si="3"/>
        <v>0</v>
      </c>
      <c r="O58" s="474">
        <v>0.03</v>
      </c>
      <c r="P58" s="474">
        <f>O58</f>
        <v>0.03</v>
      </c>
      <c r="Q58" s="697"/>
      <c r="R58" s="697"/>
      <c r="S58" s="697"/>
      <c r="T58" s="697"/>
      <c r="U58" s="697"/>
      <c r="V58" s="697"/>
      <c r="W58" s="697"/>
      <c r="X58" s="698"/>
    </row>
    <row r="59" spans="2:24" s="2" customFormat="1" ht="12.75" customHeight="1" x14ac:dyDescent="0.2">
      <c r="B59" s="253" t="s">
        <v>58</v>
      </c>
      <c r="C59" s="464" t="s">
        <v>140</v>
      </c>
      <c r="D59" s="1053" t="s">
        <v>357</v>
      </c>
      <c r="E59" s="1053"/>
      <c r="F59" s="1053"/>
      <c r="G59" s="1053"/>
      <c r="H59" s="1076"/>
      <c r="I59" s="495">
        <v>0</v>
      </c>
      <c r="J59" s="500">
        <f>J60+J63+J64+J65+J66+J67+J68+J33*J69*0.003/12+J70</f>
        <v>0</v>
      </c>
      <c r="K59" s="1067">
        <f>K60+K63+K64+K65+K66+K67+K68+K33*K69*0.003/12+K70</f>
        <v>0</v>
      </c>
      <c r="L59" s="1068" t="e">
        <v>#VALUE!</v>
      </c>
      <c r="M59" s="492">
        <f>M60+M63+M64+M65+M66+M67+M68+M33*M69*0.003/12+M70</f>
        <v>0</v>
      </c>
      <c r="O59" s="670"/>
      <c r="P59" s="671"/>
      <c r="Q59" s="697"/>
      <c r="R59" s="697"/>
      <c r="S59" s="697"/>
      <c r="T59" s="697"/>
      <c r="U59" s="697"/>
      <c r="V59" s="697"/>
      <c r="W59" s="697"/>
      <c r="X59" s="698"/>
    </row>
    <row r="60" spans="2:24" s="22" customFormat="1" ht="12" customHeight="1" x14ac:dyDescent="0.2">
      <c r="B60" s="90"/>
      <c r="C60" s="524"/>
      <c r="D60" s="515" t="s">
        <v>358</v>
      </c>
      <c r="E60" s="515"/>
      <c r="F60" s="515"/>
      <c r="G60" s="515"/>
      <c r="H60" s="515"/>
      <c r="I60" s="496">
        <v>0</v>
      </c>
      <c r="J60" s="505">
        <f>J61*J62</f>
        <v>0</v>
      </c>
      <c r="K60" s="1110">
        <f>K61*K62</f>
        <v>0</v>
      </c>
      <c r="L60" s="1111">
        <v>0</v>
      </c>
      <c r="M60" s="508">
        <f>M61*M62</f>
        <v>0</v>
      </c>
      <c r="O60" s="476">
        <f>K$32</f>
        <v>2027</v>
      </c>
      <c r="P60" s="476">
        <f>M$32</f>
        <v>2028</v>
      </c>
      <c r="Q60" s="697"/>
      <c r="R60" s="697"/>
      <c r="S60" s="697"/>
      <c r="T60" s="697"/>
      <c r="U60" s="697"/>
      <c r="V60" s="697"/>
      <c r="W60" s="697"/>
      <c r="X60" s="698"/>
    </row>
    <row r="61" spans="2:24" s="22" customFormat="1" ht="12" customHeight="1" x14ac:dyDescent="0.2">
      <c r="B61" s="90"/>
      <c r="C61" s="514"/>
      <c r="D61" s="515" t="s">
        <v>359</v>
      </c>
      <c r="E61" s="515"/>
      <c r="F61" s="515"/>
      <c r="G61" s="515"/>
      <c r="H61" s="516"/>
      <c r="I61" s="496">
        <v>0</v>
      </c>
      <c r="J61" s="501">
        <v>0</v>
      </c>
      <c r="K61" s="1062">
        <f>J61+O61*J61</f>
        <v>0</v>
      </c>
      <c r="L61" s="1063">
        <v>0</v>
      </c>
      <c r="M61" s="509">
        <f>K61+P61*K61</f>
        <v>0</v>
      </c>
      <c r="O61" s="475">
        <v>0.03</v>
      </c>
      <c r="P61" s="475">
        <f t="shared" ref="P61:P67" si="4">O61</f>
        <v>0.03</v>
      </c>
      <c r="Q61" s="697"/>
      <c r="R61" s="697"/>
      <c r="S61" s="697"/>
      <c r="T61" s="697"/>
      <c r="U61" s="697"/>
      <c r="V61" s="697"/>
      <c r="W61" s="697"/>
      <c r="X61" s="698"/>
    </row>
    <row r="62" spans="2:24" s="22" customFormat="1" ht="12" customHeight="1" x14ac:dyDescent="0.2">
      <c r="B62" s="90"/>
      <c r="C62" s="514"/>
      <c r="D62" s="515" t="s">
        <v>360</v>
      </c>
      <c r="E62" s="515"/>
      <c r="F62" s="515"/>
      <c r="G62" s="515"/>
      <c r="H62" s="516"/>
      <c r="I62" s="496">
        <v>0</v>
      </c>
      <c r="J62" s="501">
        <v>12</v>
      </c>
      <c r="K62" s="1062">
        <v>12</v>
      </c>
      <c r="L62" s="1063">
        <v>0</v>
      </c>
      <c r="M62" s="509">
        <v>12</v>
      </c>
      <c r="O62" s="682"/>
      <c r="P62" s="683"/>
      <c r="Q62" s="697"/>
      <c r="R62" s="697"/>
      <c r="S62" s="697"/>
      <c r="T62" s="697"/>
      <c r="U62" s="697"/>
      <c r="V62" s="697"/>
      <c r="W62" s="697"/>
      <c r="X62" s="698"/>
    </row>
    <row r="63" spans="2:24" s="22" customFormat="1" ht="12" customHeight="1" x14ac:dyDescent="0.2">
      <c r="B63" s="90"/>
      <c r="C63" s="561"/>
      <c r="D63" s="515" t="s">
        <v>361</v>
      </c>
      <c r="E63" s="515"/>
      <c r="F63" s="515"/>
      <c r="G63" s="515"/>
      <c r="H63" s="516"/>
      <c r="I63" s="496">
        <v>0</v>
      </c>
      <c r="J63" s="501">
        <v>0</v>
      </c>
      <c r="K63" s="1062">
        <f>J63+O63*J63</f>
        <v>0</v>
      </c>
      <c r="L63" s="1063" t="e">
        <v>#VALUE!</v>
      </c>
      <c r="M63" s="509">
        <f>K63+P63*K63</f>
        <v>0</v>
      </c>
      <c r="O63" s="474">
        <v>0.03</v>
      </c>
      <c r="P63" s="474">
        <f t="shared" si="4"/>
        <v>0.03</v>
      </c>
      <c r="Q63" s="697"/>
      <c r="R63" s="697"/>
      <c r="S63" s="697"/>
      <c r="T63" s="697"/>
      <c r="U63" s="697"/>
      <c r="V63" s="697"/>
      <c r="W63" s="697"/>
      <c r="X63" s="698"/>
    </row>
    <row r="64" spans="2:24" s="22" customFormat="1" ht="12" customHeight="1" x14ac:dyDescent="0.2">
      <c r="B64" s="90"/>
      <c r="C64" s="514"/>
      <c r="D64" s="515" t="s">
        <v>362</v>
      </c>
      <c r="E64" s="515"/>
      <c r="F64" s="515"/>
      <c r="G64" s="515"/>
      <c r="H64" s="516"/>
      <c r="I64" s="496">
        <v>0</v>
      </c>
      <c r="J64" s="501">
        <v>0</v>
      </c>
      <c r="K64" s="1062">
        <f t="shared" ref="K64:K68" si="5">J64+O64*J64</f>
        <v>0</v>
      </c>
      <c r="L64" s="1063" t="e">
        <v>#VALUE!</v>
      </c>
      <c r="M64" s="509">
        <f t="shared" ref="M64:M68" si="6">K64+P64*K64</f>
        <v>0</v>
      </c>
      <c r="O64" s="474">
        <v>0.03</v>
      </c>
      <c r="P64" s="474">
        <f t="shared" si="4"/>
        <v>0.03</v>
      </c>
      <c r="Q64" s="697"/>
      <c r="R64" s="697"/>
      <c r="S64" s="697"/>
      <c r="T64" s="697"/>
      <c r="U64" s="697"/>
      <c r="V64" s="697"/>
      <c r="W64" s="697"/>
      <c r="X64" s="698"/>
    </row>
    <row r="65" spans="1:24" s="22" customFormat="1" ht="12" customHeight="1" x14ac:dyDescent="0.2">
      <c r="B65" s="90"/>
      <c r="C65" s="514"/>
      <c r="D65" s="515" t="s">
        <v>363</v>
      </c>
      <c r="E65" s="515"/>
      <c r="F65" s="515"/>
      <c r="G65" s="515"/>
      <c r="H65" s="516"/>
      <c r="I65" s="496">
        <v>0</v>
      </c>
      <c r="J65" s="501">
        <v>0</v>
      </c>
      <c r="K65" s="1062">
        <f t="shared" si="5"/>
        <v>0</v>
      </c>
      <c r="L65" s="1063" t="e">
        <v>#VALUE!</v>
      </c>
      <c r="M65" s="509">
        <f t="shared" si="6"/>
        <v>0</v>
      </c>
      <c r="O65" s="474">
        <v>0.03</v>
      </c>
      <c r="P65" s="474">
        <f t="shared" si="4"/>
        <v>0.03</v>
      </c>
      <c r="Q65" s="697"/>
      <c r="R65" s="697"/>
      <c r="S65" s="697"/>
      <c r="T65" s="697"/>
      <c r="U65" s="697"/>
      <c r="V65" s="697"/>
      <c r="W65" s="697"/>
      <c r="X65" s="698"/>
    </row>
    <row r="66" spans="1:24" s="22" customFormat="1" ht="12" customHeight="1" x14ac:dyDescent="0.2">
      <c r="B66" s="90"/>
      <c r="C66" s="561"/>
      <c r="D66" s="515" t="s">
        <v>364</v>
      </c>
      <c r="E66" s="515"/>
      <c r="F66" s="515"/>
      <c r="G66" s="515"/>
      <c r="H66" s="516"/>
      <c r="I66" s="496">
        <v>0</v>
      </c>
      <c r="J66" s="501">
        <v>0</v>
      </c>
      <c r="K66" s="1062">
        <f t="shared" si="5"/>
        <v>0</v>
      </c>
      <c r="L66" s="1063" t="e">
        <v>#VALUE!</v>
      </c>
      <c r="M66" s="509">
        <f t="shared" si="6"/>
        <v>0</v>
      </c>
      <c r="O66" s="474">
        <v>0.03</v>
      </c>
      <c r="P66" s="474">
        <f t="shared" si="4"/>
        <v>0.03</v>
      </c>
      <c r="Q66" s="697"/>
      <c r="R66" s="697"/>
      <c r="S66" s="697"/>
      <c r="T66" s="697"/>
      <c r="U66" s="697"/>
      <c r="V66" s="697"/>
      <c r="W66" s="697"/>
      <c r="X66" s="698"/>
    </row>
    <row r="67" spans="1:24" s="22" customFormat="1" ht="12" customHeight="1" x14ac:dyDescent="0.2">
      <c r="B67" s="90"/>
      <c r="C67" s="514"/>
      <c r="D67" s="515" t="s">
        <v>365</v>
      </c>
      <c r="E67" s="515"/>
      <c r="F67" s="515"/>
      <c r="G67" s="515"/>
      <c r="H67" s="516"/>
      <c r="I67" s="496">
        <v>0</v>
      </c>
      <c r="J67" s="501">
        <v>0</v>
      </c>
      <c r="K67" s="1062">
        <f t="shared" si="5"/>
        <v>0</v>
      </c>
      <c r="L67" s="1063" t="e">
        <v>#VALUE!</v>
      </c>
      <c r="M67" s="509">
        <f t="shared" si="6"/>
        <v>0</v>
      </c>
      <c r="O67" s="474">
        <v>0.03</v>
      </c>
      <c r="P67" s="474">
        <f t="shared" si="4"/>
        <v>0.03</v>
      </c>
      <c r="Q67" s="697"/>
      <c r="R67" s="697"/>
      <c r="S67" s="697"/>
      <c r="T67" s="697"/>
      <c r="U67" s="697"/>
      <c r="V67" s="697"/>
      <c r="W67" s="697"/>
      <c r="X67" s="698"/>
    </row>
    <row r="68" spans="1:24" ht="12" customHeight="1" x14ac:dyDescent="0.2">
      <c r="A68" s="22"/>
      <c r="B68" s="90"/>
      <c r="C68" s="514"/>
      <c r="D68" s="515" t="s">
        <v>366</v>
      </c>
      <c r="E68" s="515"/>
      <c r="F68" s="515"/>
      <c r="G68" s="515"/>
      <c r="H68" s="516"/>
      <c r="I68" s="496">
        <v>0</v>
      </c>
      <c r="J68" s="501">
        <v>0</v>
      </c>
      <c r="K68" s="1062">
        <f t="shared" si="5"/>
        <v>0</v>
      </c>
      <c r="L68" s="1063" t="e">
        <v>#VALUE!</v>
      </c>
      <c r="M68" s="509">
        <f t="shared" si="6"/>
        <v>0</v>
      </c>
      <c r="O68" s="474">
        <v>0.03</v>
      </c>
      <c r="P68" s="474">
        <f>O68</f>
        <v>0.03</v>
      </c>
      <c r="Q68" s="697"/>
      <c r="R68" s="697"/>
      <c r="S68" s="697"/>
      <c r="T68" s="697"/>
      <c r="U68" s="697"/>
      <c r="V68" s="697"/>
      <c r="W68" s="697"/>
      <c r="X68" s="698"/>
    </row>
    <row r="69" spans="1:24" ht="12" customHeight="1" x14ac:dyDescent="0.2">
      <c r="B69" s="90"/>
      <c r="C69" s="561"/>
      <c r="D69" s="515" t="s">
        <v>367</v>
      </c>
      <c r="E69" s="515"/>
      <c r="F69" s="515"/>
      <c r="G69" s="515"/>
      <c r="H69" s="516"/>
      <c r="I69" s="496"/>
      <c r="J69" s="501">
        <v>0</v>
      </c>
      <c r="K69" s="1062">
        <f>J69+O69*J69</f>
        <v>0</v>
      </c>
      <c r="L69" s="1063">
        <v>0</v>
      </c>
      <c r="M69" s="509">
        <f>K69+P69*K69</f>
        <v>0</v>
      </c>
      <c r="O69" s="474">
        <v>0</v>
      </c>
      <c r="P69" s="474">
        <f>O69</f>
        <v>0</v>
      </c>
      <c r="Q69" s="699"/>
      <c r="R69" s="697"/>
      <c r="S69" s="697"/>
      <c r="T69" s="697"/>
      <c r="U69" s="697"/>
      <c r="V69" s="697"/>
      <c r="W69" s="697"/>
      <c r="X69" s="698"/>
    </row>
    <row r="70" spans="1:24" ht="12" customHeight="1" x14ac:dyDescent="0.2">
      <c r="B70" s="90"/>
      <c r="C70" s="517"/>
      <c r="D70" s="518" t="s">
        <v>368</v>
      </c>
      <c r="E70" s="518"/>
      <c r="F70" s="518"/>
      <c r="G70" s="518"/>
      <c r="H70" s="519"/>
      <c r="I70" s="496">
        <v>0</v>
      </c>
      <c r="J70" s="501">
        <v>0</v>
      </c>
      <c r="K70" s="1062">
        <f>J70+O70*J70</f>
        <v>0</v>
      </c>
      <c r="L70" s="1063" t="e">
        <v>#VALUE!</v>
      </c>
      <c r="M70" s="509">
        <f>K70+P70*K70</f>
        <v>0</v>
      </c>
      <c r="O70" s="474">
        <v>0.03</v>
      </c>
      <c r="P70" s="474">
        <f>O70</f>
        <v>0.03</v>
      </c>
      <c r="Q70" s="700"/>
      <c r="R70" s="700"/>
      <c r="S70" s="700"/>
      <c r="T70" s="700"/>
      <c r="U70" s="700"/>
      <c r="V70" s="700"/>
      <c r="W70" s="700"/>
      <c r="X70" s="701"/>
    </row>
    <row r="71" spans="1:24" ht="12.75" customHeight="1" x14ac:dyDescent="0.2">
      <c r="B71" s="1261" t="s">
        <v>302</v>
      </c>
      <c r="C71" s="558" t="s">
        <v>0</v>
      </c>
      <c r="D71" s="1177">
        <f>D31</f>
        <v>0</v>
      </c>
      <c r="E71" s="1177"/>
      <c r="F71" s="1177"/>
      <c r="G71" s="1177"/>
      <c r="H71" s="1178"/>
      <c r="I71" s="1181" t="s">
        <v>127</v>
      </c>
      <c r="J71" s="1052"/>
      <c r="K71" s="1166" t="s">
        <v>128</v>
      </c>
      <c r="L71" s="1167"/>
      <c r="M71" s="554" t="s">
        <v>130</v>
      </c>
      <c r="N71" s="271"/>
      <c r="O71" s="675"/>
      <c r="P71" s="674"/>
      <c r="Q71" s="716" t="s">
        <v>413</v>
      </c>
      <c r="R71" s="614"/>
      <c r="S71" s="614"/>
      <c r="T71" s="614"/>
      <c r="U71" s="614"/>
      <c r="V71" s="614"/>
      <c r="W71" s="614"/>
      <c r="X71" s="666"/>
    </row>
    <row r="72" spans="1:24" ht="12.75" customHeight="1" x14ac:dyDescent="0.2">
      <c r="B72" s="1261"/>
      <c r="C72" s="559" t="s">
        <v>0</v>
      </c>
      <c r="D72" s="1179"/>
      <c r="E72" s="1179"/>
      <c r="F72" s="1179"/>
      <c r="G72" s="1179"/>
      <c r="H72" s="1180"/>
      <c r="I72" s="717" t="s">
        <v>74</v>
      </c>
      <c r="J72" s="555">
        <f>J32</f>
        <v>2026</v>
      </c>
      <c r="K72" s="1182">
        <f>K32</f>
        <v>2027</v>
      </c>
      <c r="L72" s="1183"/>
      <c r="M72" s="555">
        <f>M32</f>
        <v>2028</v>
      </c>
      <c r="O72" s="670"/>
      <c r="P72" s="671"/>
      <c r="Q72" s="697"/>
      <c r="R72" s="697"/>
      <c r="S72" s="697"/>
      <c r="T72" s="697"/>
      <c r="U72" s="697"/>
      <c r="V72" s="697"/>
      <c r="W72" s="697"/>
      <c r="X72" s="698"/>
    </row>
    <row r="73" spans="1:24" ht="12.75" customHeight="1" x14ac:dyDescent="0.2">
      <c r="B73" s="254"/>
      <c r="C73" s="1057" t="s">
        <v>369</v>
      </c>
      <c r="D73" s="1058"/>
      <c r="E73" s="1058"/>
      <c r="F73" s="549"/>
      <c r="G73" s="549"/>
      <c r="H73" s="550"/>
      <c r="I73" s="530"/>
      <c r="J73" s="476">
        <f>J33</f>
        <v>12</v>
      </c>
      <c r="K73" s="1169">
        <f>K33</f>
        <v>12</v>
      </c>
      <c r="L73" s="1169"/>
      <c r="M73" s="476">
        <f>M33</f>
        <v>12</v>
      </c>
      <c r="O73" s="670"/>
      <c r="P73" s="671"/>
      <c r="Q73" s="697"/>
      <c r="R73" s="697"/>
      <c r="S73" s="697"/>
      <c r="T73" s="697"/>
      <c r="U73" s="697"/>
      <c r="V73" s="697"/>
      <c r="W73" s="697"/>
      <c r="X73" s="698"/>
    </row>
    <row r="74" spans="1:24" s="2" customFormat="1" ht="12.75" customHeight="1" x14ac:dyDescent="0.2">
      <c r="A74"/>
      <c r="B74" s="253" t="s">
        <v>59</v>
      </c>
      <c r="C74" s="464" t="s">
        <v>141</v>
      </c>
      <c r="D74" s="1053" t="s">
        <v>370</v>
      </c>
      <c r="E74" s="1053"/>
      <c r="F74" s="1053"/>
      <c r="G74" s="1076"/>
      <c r="H74" s="529">
        <v>0.3</v>
      </c>
      <c r="I74" s="531">
        <f>J74/12</f>
        <v>0</v>
      </c>
      <c r="J74" s="447">
        <f>IF($M$15=0,0,J33*'4 AT Lainat ja avustukset alv'!$G$61/12)</f>
        <v>0</v>
      </c>
      <c r="K74" s="1038">
        <f>IF($M15=0,0,IF($K15&gt;1,'4 AT Lainat ja avustukset alv'!$G61,0))</f>
        <v>0</v>
      </c>
      <c r="L74" s="1038"/>
      <c r="M74" s="447">
        <f>IF($M$15=0,0,IF($K$15&gt;2,'4 AT Lainat ja avustukset alv'!$G$61,0))</f>
        <v>0</v>
      </c>
      <c r="O74" s="676"/>
      <c r="P74" s="677"/>
      <c r="Q74" s="697"/>
      <c r="R74" s="697"/>
      <c r="S74" s="697"/>
      <c r="T74" s="697"/>
      <c r="U74" s="697"/>
      <c r="V74" s="697"/>
      <c r="W74" s="697"/>
      <c r="X74" s="698"/>
    </row>
    <row r="75" spans="1:24" s="2" customFormat="1" ht="12.75" customHeight="1" x14ac:dyDescent="0.2">
      <c r="B75" s="253" t="s">
        <v>60</v>
      </c>
      <c r="C75" s="464" t="s">
        <v>142</v>
      </c>
      <c r="D75" s="1053" t="s">
        <v>371</v>
      </c>
      <c r="E75" s="1053"/>
      <c r="F75" s="1053"/>
      <c r="G75" s="1053"/>
      <c r="H75" s="1053"/>
      <c r="I75" s="531">
        <f>J75/12</f>
        <v>0</v>
      </c>
      <c r="J75" s="447">
        <f>J76*J77*J78+J79+J80+J82+J81</f>
        <v>0</v>
      </c>
      <c r="K75" s="1038">
        <f>K76*K77*K78+K79+K80+K82+K81</f>
        <v>0</v>
      </c>
      <c r="L75" s="1038" t="e">
        <v>#VALUE!</v>
      </c>
      <c r="M75" s="447">
        <f>M76*M77*M78+M79+M80+M82+M81</f>
        <v>0</v>
      </c>
      <c r="O75" s="457">
        <f>K$32</f>
        <v>2027</v>
      </c>
      <c r="P75" s="457">
        <f>M$32</f>
        <v>2028</v>
      </c>
      <c r="Q75" s="697"/>
      <c r="R75" s="697"/>
      <c r="S75" s="697"/>
      <c r="T75" s="697"/>
      <c r="U75" s="697"/>
      <c r="V75" s="697"/>
      <c r="W75" s="697"/>
      <c r="X75" s="698"/>
    </row>
    <row r="76" spans="1:24" s="2" customFormat="1" ht="12" customHeight="1" x14ac:dyDescent="0.2">
      <c r="B76" s="25"/>
      <c r="C76" s="552"/>
      <c r="D76" s="291" t="s">
        <v>372</v>
      </c>
      <c r="E76" s="537"/>
      <c r="F76" s="537"/>
      <c r="G76" s="537"/>
      <c r="H76" s="537"/>
      <c r="I76" s="531">
        <f>J76/12</f>
        <v>0</v>
      </c>
      <c r="J76" s="452">
        <v>0</v>
      </c>
      <c r="K76" s="1037">
        <f>J76+O76*J76</f>
        <v>0</v>
      </c>
      <c r="L76" s="1037" t="e">
        <v>#VALUE!</v>
      </c>
      <c r="M76" s="452">
        <f>K76+P76*K76</f>
        <v>0</v>
      </c>
      <c r="O76" s="474">
        <v>0</v>
      </c>
      <c r="P76" s="474">
        <f>O76</f>
        <v>0</v>
      </c>
      <c r="Q76" s="697"/>
      <c r="R76" s="697"/>
      <c r="S76" s="697"/>
      <c r="T76" s="697"/>
      <c r="U76" s="697"/>
      <c r="V76" s="697"/>
      <c r="W76" s="697"/>
      <c r="X76" s="698"/>
    </row>
    <row r="77" spans="1:24" s="2" customFormat="1" ht="12" customHeight="1" x14ac:dyDescent="0.2">
      <c r="B77" s="25"/>
      <c r="C77" s="542"/>
      <c r="D77" s="543" t="s">
        <v>373</v>
      </c>
      <c r="E77" s="544"/>
      <c r="F77" s="544"/>
      <c r="G77" s="544"/>
      <c r="H77" s="545"/>
      <c r="I77" s="531">
        <v>0</v>
      </c>
      <c r="J77" s="999">
        <v>0</v>
      </c>
      <c r="K77" s="1193">
        <v>10</v>
      </c>
      <c r="L77" s="1193"/>
      <c r="M77" s="999">
        <v>10</v>
      </c>
      <c r="O77" s="1018"/>
      <c r="P77" s="1019"/>
      <c r="Q77" s="697"/>
      <c r="R77" s="697"/>
      <c r="S77" s="697"/>
      <c r="T77" s="697"/>
      <c r="U77" s="697"/>
      <c r="V77" s="697"/>
      <c r="W77" s="697"/>
      <c r="X77" s="698"/>
    </row>
    <row r="78" spans="1:24" s="2" customFormat="1" ht="12" customHeight="1" x14ac:dyDescent="0.2">
      <c r="B78" s="25"/>
      <c r="C78" s="542"/>
      <c r="D78" s="543" t="s">
        <v>374</v>
      </c>
      <c r="E78" s="544"/>
      <c r="F78" s="544"/>
      <c r="G78" s="544"/>
      <c r="H78" s="545"/>
      <c r="I78" s="531">
        <v>0</v>
      </c>
      <c r="J78" s="449">
        <v>0</v>
      </c>
      <c r="K78" s="1168">
        <f>J78+O78*J78</f>
        <v>0</v>
      </c>
      <c r="L78" s="1168">
        <v>0</v>
      </c>
      <c r="M78" s="449">
        <f>K78+P78*K78</f>
        <v>0</v>
      </c>
      <c r="O78" s="474">
        <v>0</v>
      </c>
      <c r="P78" s="474">
        <v>0</v>
      </c>
      <c r="Q78" s="697"/>
      <c r="R78" s="697"/>
      <c r="S78" s="697"/>
      <c r="T78" s="697"/>
      <c r="U78" s="697"/>
      <c r="V78" s="697"/>
      <c r="W78" s="697"/>
      <c r="X78" s="698"/>
    </row>
    <row r="79" spans="1:24" s="22" customFormat="1" ht="12" customHeight="1" x14ac:dyDescent="0.2">
      <c r="A79" s="2"/>
      <c r="B79" s="90"/>
      <c r="C79" s="546"/>
      <c r="D79" s="515" t="s">
        <v>375</v>
      </c>
      <c r="E79" s="547"/>
      <c r="F79" s="515"/>
      <c r="G79" s="515"/>
      <c r="H79" s="548"/>
      <c r="I79" s="486">
        <f t="shared" ref="I79:I86" si="7">J79/12</f>
        <v>0</v>
      </c>
      <c r="J79" s="452">
        <v>0</v>
      </c>
      <c r="K79" s="1037">
        <f t="shared" ref="K79:K82" si="8">J79+O79*J79</f>
        <v>0</v>
      </c>
      <c r="L79" s="1037">
        <v>1</v>
      </c>
      <c r="M79" s="452">
        <f t="shared" ref="M79:M82" si="9">K79+P79*K79</f>
        <v>0</v>
      </c>
      <c r="O79" s="474">
        <v>0.03</v>
      </c>
      <c r="P79" s="474">
        <f>O79</f>
        <v>0.03</v>
      </c>
      <c r="Q79" s="697"/>
      <c r="R79" s="697"/>
      <c r="S79" s="697"/>
      <c r="T79" s="697"/>
      <c r="U79" s="697"/>
      <c r="V79" s="697"/>
      <c r="W79" s="697"/>
      <c r="X79" s="698"/>
    </row>
    <row r="80" spans="1:24" s="22" customFormat="1" ht="12" customHeight="1" x14ac:dyDescent="0.2">
      <c r="B80" s="90"/>
      <c r="C80" s="546"/>
      <c r="D80" s="515" t="s">
        <v>376</v>
      </c>
      <c r="E80" s="547"/>
      <c r="F80" s="515"/>
      <c r="G80" s="515"/>
      <c r="H80" s="548"/>
      <c r="I80" s="486">
        <f t="shared" si="7"/>
        <v>0</v>
      </c>
      <c r="J80" s="452">
        <v>0</v>
      </c>
      <c r="K80" s="1037">
        <f t="shared" si="8"/>
        <v>0</v>
      </c>
      <c r="L80" s="1037">
        <v>2</v>
      </c>
      <c r="M80" s="452">
        <f t="shared" si="9"/>
        <v>0</v>
      </c>
      <c r="O80" s="474">
        <v>0.03</v>
      </c>
      <c r="P80" s="474">
        <f>O80</f>
        <v>0.03</v>
      </c>
      <c r="Q80" s="697"/>
      <c r="R80" s="697"/>
      <c r="S80" s="697"/>
      <c r="T80" s="697"/>
      <c r="U80" s="697"/>
      <c r="V80" s="697"/>
      <c r="W80" s="697"/>
      <c r="X80" s="698"/>
    </row>
    <row r="81" spans="1:24" s="22" customFormat="1" ht="12" customHeight="1" x14ac:dyDescent="0.2">
      <c r="B81" s="90"/>
      <c r="C81" s="546"/>
      <c r="D81" s="515" t="s">
        <v>377</v>
      </c>
      <c r="E81" s="547"/>
      <c r="F81" s="515"/>
      <c r="G81" s="515"/>
      <c r="H81" s="548"/>
      <c r="I81" s="486">
        <f t="shared" si="7"/>
        <v>0</v>
      </c>
      <c r="J81" s="452">
        <v>0</v>
      </c>
      <c r="K81" s="1037">
        <f t="shared" si="8"/>
        <v>0</v>
      </c>
      <c r="L81" s="1037">
        <v>3</v>
      </c>
      <c r="M81" s="452">
        <f t="shared" si="9"/>
        <v>0</v>
      </c>
      <c r="O81" s="474">
        <v>0.03</v>
      </c>
      <c r="P81" s="474">
        <f>O81</f>
        <v>0.03</v>
      </c>
      <c r="Q81" s="697"/>
      <c r="R81" s="697"/>
      <c r="S81" s="697"/>
      <c r="T81" s="697"/>
      <c r="U81" s="697"/>
      <c r="V81" s="697"/>
      <c r="W81" s="697"/>
      <c r="X81" s="698"/>
    </row>
    <row r="82" spans="1:24" s="22" customFormat="1" ht="12" customHeight="1" x14ac:dyDescent="0.2">
      <c r="B82" s="90"/>
      <c r="C82" s="538"/>
      <c r="D82" s="539" t="s">
        <v>378</v>
      </c>
      <c r="E82" s="540"/>
      <c r="F82" s="539"/>
      <c r="G82" s="539"/>
      <c r="H82" s="541"/>
      <c r="I82" s="486">
        <f t="shared" si="7"/>
        <v>0</v>
      </c>
      <c r="J82" s="452">
        <v>0</v>
      </c>
      <c r="K82" s="1037">
        <f t="shared" si="8"/>
        <v>0</v>
      </c>
      <c r="L82" s="1037">
        <v>4</v>
      </c>
      <c r="M82" s="452">
        <f t="shared" si="9"/>
        <v>0</v>
      </c>
      <c r="O82" s="474">
        <v>0.03</v>
      </c>
      <c r="P82" s="474">
        <f>O82</f>
        <v>0.03</v>
      </c>
      <c r="Q82" s="697"/>
      <c r="R82" s="697"/>
      <c r="S82" s="697"/>
      <c r="T82" s="697"/>
      <c r="U82" s="697"/>
      <c r="V82" s="697"/>
      <c r="W82" s="697"/>
      <c r="X82" s="698"/>
    </row>
    <row r="83" spans="1:24" s="2" customFormat="1" ht="12.75" customHeight="1" x14ac:dyDescent="0.2">
      <c r="A83" s="22"/>
      <c r="B83" s="253" t="s">
        <v>61</v>
      </c>
      <c r="C83" s="462" t="s">
        <v>143</v>
      </c>
      <c r="D83" s="1077" t="s">
        <v>379</v>
      </c>
      <c r="E83" s="1077"/>
      <c r="F83" s="1077"/>
      <c r="G83" s="1077"/>
      <c r="H83" s="1077"/>
      <c r="I83" s="486">
        <f t="shared" si="7"/>
        <v>0</v>
      </c>
      <c r="J83" s="532">
        <f>J84+J85+J86</f>
        <v>0</v>
      </c>
      <c r="K83" s="1176">
        <f>K84+K85+K86</f>
        <v>0</v>
      </c>
      <c r="L83" s="1176" t="e">
        <v>#VALUE!</v>
      </c>
      <c r="M83" s="532">
        <f>M84+M85+M86</f>
        <v>0</v>
      </c>
      <c r="O83" s="678"/>
      <c r="P83" s="679"/>
      <c r="Q83" s="697"/>
      <c r="R83" s="697"/>
      <c r="S83" s="697"/>
      <c r="T83" s="697"/>
      <c r="U83" s="697"/>
      <c r="V83" s="697"/>
      <c r="W83" s="697"/>
      <c r="X83" s="698"/>
    </row>
    <row r="84" spans="1:24" s="22" customFormat="1" ht="12" customHeight="1" x14ac:dyDescent="0.2">
      <c r="A84" s="2"/>
      <c r="B84" s="90"/>
      <c r="C84" s="513"/>
      <c r="D84" s="1054" t="s">
        <v>380</v>
      </c>
      <c r="E84" s="1054"/>
      <c r="F84" s="1054"/>
      <c r="G84" s="1054"/>
      <c r="H84" s="1055"/>
      <c r="I84" s="486">
        <f t="shared" si="7"/>
        <v>0</v>
      </c>
      <c r="J84" s="452">
        <v>0</v>
      </c>
      <c r="K84" s="1037">
        <f>J84+O84*J84</f>
        <v>0</v>
      </c>
      <c r="L84" s="1037" t="e">
        <v>#VALUE!</v>
      </c>
      <c r="M84" s="452">
        <f>K84+P84*K84</f>
        <v>0</v>
      </c>
      <c r="O84" s="474">
        <v>0.03</v>
      </c>
      <c r="P84" s="474">
        <f>O84</f>
        <v>0.03</v>
      </c>
      <c r="Q84" s="697"/>
      <c r="R84" s="697"/>
      <c r="S84" s="697"/>
      <c r="T84" s="697"/>
      <c r="U84" s="697"/>
      <c r="V84" s="697"/>
      <c r="W84" s="697"/>
      <c r="X84" s="698"/>
    </row>
    <row r="85" spans="1:24" s="22" customFormat="1" ht="12" customHeight="1" x14ac:dyDescent="0.2">
      <c r="B85" s="90"/>
      <c r="C85" s="520"/>
      <c r="D85" s="521" t="s">
        <v>381</v>
      </c>
      <c r="E85" s="521"/>
      <c r="F85" s="521"/>
      <c r="G85" s="521"/>
      <c r="H85" s="1000"/>
      <c r="I85" s="486">
        <f t="shared" si="7"/>
        <v>0</v>
      </c>
      <c r="J85" s="452">
        <v>0</v>
      </c>
      <c r="K85" s="1037">
        <f t="shared" ref="K85:K86" si="10">J85+O85*J85</f>
        <v>0</v>
      </c>
      <c r="L85" s="1037" t="e">
        <v>#VALUE!</v>
      </c>
      <c r="M85" s="452">
        <f t="shared" ref="M85:M86" si="11">K85+P85*K85</f>
        <v>0</v>
      </c>
      <c r="O85" s="474">
        <v>0.03</v>
      </c>
      <c r="P85" s="474">
        <f>O85</f>
        <v>0.03</v>
      </c>
      <c r="Q85" s="697"/>
      <c r="R85" s="697"/>
      <c r="S85" s="697"/>
      <c r="T85" s="697"/>
      <c r="U85" s="697"/>
      <c r="V85" s="697"/>
      <c r="W85" s="697"/>
      <c r="X85" s="698"/>
    </row>
    <row r="86" spans="1:24" s="22" customFormat="1" ht="12" customHeight="1" x14ac:dyDescent="0.2">
      <c r="B86" s="90"/>
      <c r="C86" s="520"/>
      <c r="D86" s="521" t="s">
        <v>382</v>
      </c>
      <c r="E86" s="521"/>
      <c r="F86" s="521"/>
      <c r="G86" s="521"/>
      <c r="H86" s="1000"/>
      <c r="I86" s="486">
        <f t="shared" si="7"/>
        <v>0</v>
      </c>
      <c r="J86" s="452">
        <v>0</v>
      </c>
      <c r="K86" s="1037">
        <f t="shared" si="10"/>
        <v>0</v>
      </c>
      <c r="L86" s="1037" t="e">
        <v>#VALUE!</v>
      </c>
      <c r="M86" s="452">
        <f t="shared" si="11"/>
        <v>0</v>
      </c>
      <c r="O86" s="474">
        <v>0.03</v>
      </c>
      <c r="P86" s="474">
        <f>O86</f>
        <v>0.03</v>
      </c>
      <c r="Q86" s="697"/>
      <c r="R86" s="697"/>
      <c r="S86" s="697"/>
      <c r="T86" s="697"/>
      <c r="U86" s="697"/>
      <c r="V86" s="697"/>
      <c r="W86" s="697"/>
      <c r="X86" s="698"/>
    </row>
    <row r="87" spans="1:24" s="2" customFormat="1" ht="12.75" customHeight="1" x14ac:dyDescent="0.2">
      <c r="A87" s="22"/>
      <c r="B87" s="253" t="s">
        <v>62</v>
      </c>
      <c r="C87" s="464" t="s">
        <v>144</v>
      </c>
      <c r="D87" s="1053" t="s">
        <v>383</v>
      </c>
      <c r="E87" s="1053"/>
      <c r="F87" s="1053"/>
      <c r="G87" s="1053"/>
      <c r="H87" s="1053"/>
      <c r="I87" s="486">
        <f t="shared" ref="I87:I91" si="12">J87/12</f>
        <v>0</v>
      </c>
      <c r="J87" s="447">
        <f>J88+J89+J90+J91</f>
        <v>0</v>
      </c>
      <c r="K87" s="1038">
        <f>K88+K89+K90+K91</f>
        <v>0</v>
      </c>
      <c r="L87" s="1038" t="e">
        <v>#VALUE!</v>
      </c>
      <c r="M87" s="447">
        <f>M88+M89+M90+M91</f>
        <v>0</v>
      </c>
      <c r="O87" s="678"/>
      <c r="P87" s="679"/>
      <c r="Q87" s="697"/>
      <c r="R87" s="697"/>
      <c r="S87" s="697"/>
      <c r="T87" s="697"/>
      <c r="U87" s="697"/>
      <c r="V87" s="697"/>
      <c r="W87" s="697"/>
      <c r="X87" s="698"/>
    </row>
    <row r="88" spans="1:24" s="2" customFormat="1" ht="12" customHeight="1" x14ac:dyDescent="0.2">
      <c r="A88" s="22"/>
      <c r="B88" s="25"/>
      <c r="C88" s="524"/>
      <c r="D88" s="1047" t="s">
        <v>384</v>
      </c>
      <c r="E88" s="1047"/>
      <c r="F88" s="1047"/>
      <c r="G88" s="1047"/>
      <c r="H88" s="1047"/>
      <c r="I88" s="486">
        <f t="shared" si="12"/>
        <v>0</v>
      </c>
      <c r="J88" s="452">
        <v>0</v>
      </c>
      <c r="K88" s="1037">
        <f>J88+O88*J88</f>
        <v>0</v>
      </c>
      <c r="L88" s="1037" t="e">
        <v>#VALUE!</v>
      </c>
      <c r="M88" s="452">
        <f>K88+P88*K88</f>
        <v>0</v>
      </c>
      <c r="N88" s="22"/>
      <c r="O88" s="474">
        <v>0.03</v>
      </c>
      <c r="P88" s="474">
        <f t="shared" ref="P88:P92" si="13">O88</f>
        <v>0.03</v>
      </c>
      <c r="Q88" s="697"/>
      <c r="R88" s="697"/>
      <c r="S88" s="697"/>
      <c r="T88" s="697"/>
      <c r="U88" s="697"/>
      <c r="V88" s="697"/>
      <c r="W88" s="697"/>
      <c r="X88" s="698"/>
    </row>
    <row r="89" spans="1:24" s="22" customFormat="1" ht="12" customHeight="1" x14ac:dyDescent="0.2">
      <c r="A89" s="2"/>
      <c r="B89" s="90"/>
      <c r="C89" s="514"/>
      <c r="D89" s="515" t="s">
        <v>385</v>
      </c>
      <c r="E89" s="515"/>
      <c r="F89" s="515"/>
      <c r="G89" s="515"/>
      <c r="H89" s="997"/>
      <c r="I89" s="486">
        <f t="shared" si="12"/>
        <v>0</v>
      </c>
      <c r="J89" s="452">
        <v>0</v>
      </c>
      <c r="K89" s="1037">
        <f t="shared" ref="K89:K91" si="14">J89+O89*J89</f>
        <v>0</v>
      </c>
      <c r="L89" s="1037" t="e">
        <v>#VALUE!</v>
      </c>
      <c r="M89" s="452">
        <f t="shared" ref="M89:M91" si="15">K89+P89*K89</f>
        <v>0</v>
      </c>
      <c r="O89" s="474">
        <v>0.03</v>
      </c>
      <c r="P89" s="474">
        <v>0.03</v>
      </c>
      <c r="Q89" s="697"/>
      <c r="R89" s="697"/>
      <c r="S89" s="697"/>
      <c r="T89" s="697"/>
      <c r="U89" s="697"/>
      <c r="V89" s="697"/>
      <c r="W89" s="697"/>
      <c r="X89" s="698"/>
    </row>
    <row r="90" spans="1:24" s="22" customFormat="1" ht="12" customHeight="1" x14ac:dyDescent="0.2">
      <c r="B90" s="90"/>
      <c r="C90" s="520"/>
      <c r="D90" s="521" t="s">
        <v>386</v>
      </c>
      <c r="E90" s="521"/>
      <c r="F90" s="521"/>
      <c r="G90" s="521"/>
      <c r="H90" s="1000"/>
      <c r="I90" s="486">
        <f t="shared" si="12"/>
        <v>0</v>
      </c>
      <c r="J90" s="452">
        <v>0</v>
      </c>
      <c r="K90" s="1037">
        <f t="shared" si="14"/>
        <v>0</v>
      </c>
      <c r="L90" s="1037" t="e">
        <v>#VALUE!</v>
      </c>
      <c r="M90" s="452">
        <f t="shared" si="15"/>
        <v>0</v>
      </c>
      <c r="O90" s="474">
        <v>0.03</v>
      </c>
      <c r="P90" s="474">
        <f t="shared" si="13"/>
        <v>0.03</v>
      </c>
      <c r="Q90" s="697"/>
      <c r="R90" s="697"/>
      <c r="S90" s="697"/>
      <c r="T90" s="697"/>
      <c r="U90" s="697"/>
      <c r="V90" s="697"/>
      <c r="W90" s="697"/>
      <c r="X90" s="698"/>
    </row>
    <row r="91" spans="1:24" s="22" customFormat="1" ht="12" customHeight="1" x14ac:dyDescent="0.2">
      <c r="B91" s="90"/>
      <c r="C91" s="528"/>
      <c r="D91" s="1050" t="s">
        <v>387</v>
      </c>
      <c r="E91" s="1050"/>
      <c r="F91" s="1050"/>
      <c r="G91" s="1050"/>
      <c r="H91" s="1221"/>
      <c r="I91" s="486">
        <f t="shared" si="12"/>
        <v>0</v>
      </c>
      <c r="J91" s="452">
        <v>0</v>
      </c>
      <c r="K91" s="1037">
        <f t="shared" si="14"/>
        <v>0</v>
      </c>
      <c r="L91" s="1037" t="e">
        <v>#VALUE!</v>
      </c>
      <c r="M91" s="452">
        <f t="shared" si="15"/>
        <v>0</v>
      </c>
      <c r="O91" s="474">
        <v>0.03</v>
      </c>
      <c r="P91" s="474">
        <f t="shared" si="13"/>
        <v>0.03</v>
      </c>
      <c r="Q91" s="697"/>
      <c r="R91" s="697"/>
      <c r="S91" s="697"/>
      <c r="T91" s="697"/>
      <c r="U91" s="697"/>
      <c r="V91" s="697"/>
      <c r="W91" s="697"/>
      <c r="X91" s="698"/>
    </row>
    <row r="92" spans="1:24" s="2" customFormat="1" ht="12.75" customHeight="1" x14ac:dyDescent="0.2">
      <c r="A92" s="22"/>
      <c r="B92" s="25"/>
      <c r="C92" s="464" t="s">
        <v>145</v>
      </c>
      <c r="D92" s="465" t="s">
        <v>388</v>
      </c>
      <c r="E92" s="465"/>
      <c r="F92" s="465"/>
      <c r="G92" s="465"/>
      <c r="H92" s="536"/>
      <c r="I92" s="486">
        <f>J92/12</f>
        <v>0</v>
      </c>
      <c r="J92" s="533">
        <v>0</v>
      </c>
      <c r="K92" s="1079">
        <f>J92+O92*J92</f>
        <v>0</v>
      </c>
      <c r="L92" s="1079" t="e">
        <v>#VALUE!</v>
      </c>
      <c r="M92" s="533">
        <f>K92+P92*K92</f>
        <v>0</v>
      </c>
      <c r="O92" s="474">
        <v>0.03</v>
      </c>
      <c r="P92" s="474">
        <f t="shared" si="13"/>
        <v>0.03</v>
      </c>
      <c r="Q92" s="697"/>
      <c r="R92" s="697"/>
      <c r="S92" s="697"/>
      <c r="T92" s="697"/>
      <c r="U92" s="697"/>
      <c r="V92" s="697"/>
      <c r="W92" s="697"/>
      <c r="X92" s="698"/>
    </row>
    <row r="93" spans="1:24" s="2" customFormat="1" ht="12.75" customHeight="1" x14ac:dyDescent="0.2">
      <c r="B93" s="253" t="s">
        <v>75</v>
      </c>
      <c r="C93" s="464" t="s">
        <v>146</v>
      </c>
      <c r="D93" s="525" t="s">
        <v>389</v>
      </c>
      <c r="E93" s="525"/>
      <c r="F93" s="525"/>
      <c r="G93" s="525"/>
      <c r="H93" s="526"/>
      <c r="I93" s="486">
        <v>0</v>
      </c>
      <c r="J93" s="447">
        <f>J94*J95+J97*J96</f>
        <v>0</v>
      </c>
      <c r="K93" s="1038">
        <f>K94*K95+K97*K96</f>
        <v>0</v>
      </c>
      <c r="L93" s="1038" t="e">
        <v>#VALUE!</v>
      </c>
      <c r="M93" s="447">
        <f>M94*M95+M97*M96</f>
        <v>0</v>
      </c>
      <c r="O93" s="670"/>
      <c r="P93" s="671"/>
      <c r="Q93" s="697"/>
      <c r="R93" s="697"/>
      <c r="S93" s="697"/>
      <c r="T93" s="697"/>
      <c r="U93" s="697"/>
      <c r="V93" s="697"/>
      <c r="W93" s="697"/>
      <c r="X93" s="698"/>
    </row>
    <row r="94" spans="1:24" s="2" customFormat="1" ht="12" customHeight="1" x14ac:dyDescent="0.2">
      <c r="B94" s="25"/>
      <c r="C94" s="513"/>
      <c r="D94" s="1054" t="s">
        <v>390</v>
      </c>
      <c r="E94" s="1054"/>
      <c r="F94" s="1054"/>
      <c r="G94" s="1054"/>
      <c r="H94" s="1054"/>
      <c r="I94" s="534">
        <f>J94/12</f>
        <v>0</v>
      </c>
      <c r="J94" s="452">
        <v>0</v>
      </c>
      <c r="K94" s="1037">
        <f>J94</f>
        <v>0</v>
      </c>
      <c r="L94" s="1037"/>
      <c r="M94" s="452">
        <f>J94</f>
        <v>0</v>
      </c>
      <c r="O94" s="680"/>
      <c r="P94" s="681"/>
      <c r="Q94" s="697"/>
      <c r="R94" s="697"/>
      <c r="S94" s="697"/>
      <c r="T94" s="697"/>
      <c r="U94" s="697"/>
      <c r="V94" s="697"/>
      <c r="W94" s="697"/>
      <c r="X94" s="698"/>
    </row>
    <row r="95" spans="1:24" s="2" customFormat="1" ht="12" customHeight="1" x14ac:dyDescent="0.2">
      <c r="B95" s="25"/>
      <c r="C95" s="514"/>
      <c r="D95" s="515" t="s">
        <v>391</v>
      </c>
      <c r="E95" s="515"/>
      <c r="F95" s="515"/>
      <c r="G95" s="515"/>
      <c r="H95" s="515"/>
      <c r="I95" s="531">
        <v>0</v>
      </c>
      <c r="J95" s="535">
        <v>0.55000000000000004</v>
      </c>
      <c r="K95" s="1196">
        <f>J95</f>
        <v>0.55000000000000004</v>
      </c>
      <c r="L95" s="1196"/>
      <c r="M95" s="535">
        <f>K95</f>
        <v>0.55000000000000004</v>
      </c>
      <c r="O95" s="680"/>
      <c r="P95" s="681"/>
      <c r="Q95" s="697"/>
      <c r="R95" s="697"/>
      <c r="S95" s="697"/>
      <c r="T95" s="697"/>
      <c r="U95" s="697"/>
      <c r="V95" s="697"/>
      <c r="W95" s="697"/>
      <c r="X95" s="698"/>
    </row>
    <row r="96" spans="1:24" s="2" customFormat="1" ht="12" customHeight="1" x14ac:dyDescent="0.2">
      <c r="B96" s="25"/>
      <c r="C96" s="520"/>
      <c r="D96" s="521" t="s">
        <v>392</v>
      </c>
      <c r="E96" s="521"/>
      <c r="F96" s="521"/>
      <c r="G96" s="521"/>
      <c r="H96" s="521"/>
      <c r="I96" s="531">
        <v>0</v>
      </c>
      <c r="J96" s="452">
        <v>0</v>
      </c>
      <c r="K96" s="1037">
        <f>J96</f>
        <v>0</v>
      </c>
      <c r="L96" s="1037" t="e">
        <v>#VALUE!</v>
      </c>
      <c r="M96" s="452">
        <f>K96</f>
        <v>0</v>
      </c>
      <c r="O96" s="680"/>
      <c r="P96" s="681"/>
      <c r="Q96" s="697"/>
      <c r="R96" s="697"/>
      <c r="S96" s="697"/>
      <c r="T96" s="697"/>
      <c r="U96" s="697"/>
      <c r="V96" s="697"/>
      <c r="W96" s="697"/>
      <c r="X96" s="698"/>
    </row>
    <row r="97" spans="1:26" s="2" customFormat="1" ht="12" customHeight="1" x14ac:dyDescent="0.2">
      <c r="B97" s="25"/>
      <c r="C97" s="528"/>
      <c r="D97" s="1050" t="s">
        <v>393</v>
      </c>
      <c r="E97" s="1050"/>
      <c r="F97" s="1050"/>
      <c r="G97" s="1050"/>
      <c r="H97" s="1051"/>
      <c r="I97" s="531">
        <v>0</v>
      </c>
      <c r="J97" s="449">
        <v>0</v>
      </c>
      <c r="K97" s="1168">
        <v>0</v>
      </c>
      <c r="L97" s="1168"/>
      <c r="M97" s="449">
        <v>0</v>
      </c>
      <c r="O97" s="680"/>
      <c r="P97" s="681"/>
      <c r="Q97" s="697"/>
      <c r="R97" s="697"/>
      <c r="S97" s="697"/>
      <c r="T97" s="697"/>
      <c r="U97" s="697"/>
      <c r="V97" s="697"/>
      <c r="W97" s="697"/>
      <c r="X97" s="698"/>
    </row>
    <row r="98" spans="1:26" s="2" customFormat="1" ht="12.75" customHeight="1" x14ac:dyDescent="0.2">
      <c r="B98" s="253" t="s">
        <v>76</v>
      </c>
      <c r="C98" s="464" t="s">
        <v>147</v>
      </c>
      <c r="D98" s="465" t="s">
        <v>394</v>
      </c>
      <c r="E98" s="465"/>
      <c r="F98" s="465"/>
      <c r="G98" s="465"/>
      <c r="H98" s="465"/>
      <c r="I98" s="486">
        <f t="shared" ref="I98:I100" si="16">J98/12</f>
        <v>0</v>
      </c>
      <c r="J98" s="447">
        <f>J99+J100</f>
        <v>0</v>
      </c>
      <c r="K98" s="1038">
        <f>K99+K100</f>
        <v>0</v>
      </c>
      <c r="L98" s="1038"/>
      <c r="M98" s="447">
        <f>M99+M100</f>
        <v>0</v>
      </c>
      <c r="O98" s="670"/>
      <c r="P98" s="671"/>
      <c r="Q98" s="697"/>
      <c r="R98" s="697"/>
      <c r="S98" s="697"/>
      <c r="T98" s="697"/>
      <c r="U98" s="697"/>
      <c r="V98" s="697"/>
      <c r="W98" s="697"/>
      <c r="X98" s="698"/>
      <c r="Z98" s="2" t="s">
        <v>0</v>
      </c>
    </row>
    <row r="99" spans="1:26" ht="12" customHeight="1" x14ac:dyDescent="0.2">
      <c r="A99" s="2"/>
      <c r="B99" s="90" t="s">
        <v>0</v>
      </c>
      <c r="C99" s="513"/>
      <c r="D99" s="1054" t="s">
        <v>395</v>
      </c>
      <c r="E99" s="1054"/>
      <c r="F99" s="1054"/>
      <c r="G99" s="1054"/>
      <c r="H99" s="1054"/>
      <c r="I99" s="486">
        <f t="shared" si="16"/>
        <v>0</v>
      </c>
      <c r="J99" s="452">
        <v>0</v>
      </c>
      <c r="K99" s="1037">
        <f>J99+O99*J99</f>
        <v>0</v>
      </c>
      <c r="L99" s="1037" t="e">
        <v>#VALUE!</v>
      </c>
      <c r="M99" s="452">
        <f>K99+P99*K99</f>
        <v>0</v>
      </c>
      <c r="O99" s="474">
        <v>0.03</v>
      </c>
      <c r="P99" s="474">
        <f>O99</f>
        <v>0.03</v>
      </c>
      <c r="Q99" s="697"/>
      <c r="R99" s="697"/>
      <c r="S99" s="697"/>
      <c r="T99" s="697"/>
      <c r="U99" s="697"/>
      <c r="V99" s="697"/>
      <c r="W99" s="697"/>
      <c r="X99" s="698"/>
    </row>
    <row r="100" spans="1:26" ht="12" customHeight="1" x14ac:dyDescent="0.2">
      <c r="B100" s="90" t="s">
        <v>0</v>
      </c>
      <c r="C100" s="520"/>
      <c r="D100" s="521" t="s">
        <v>396</v>
      </c>
      <c r="E100" s="521"/>
      <c r="F100" s="521"/>
      <c r="G100" s="521"/>
      <c r="H100" s="521"/>
      <c r="I100" s="486">
        <f t="shared" si="16"/>
        <v>0</v>
      </c>
      <c r="J100" s="452">
        <v>0</v>
      </c>
      <c r="K100" s="1037">
        <f>J100+O100*J100</f>
        <v>0</v>
      </c>
      <c r="L100" s="1037" t="e">
        <v>#VALUE!</v>
      </c>
      <c r="M100" s="452">
        <f>K100+P100*K100</f>
        <v>0</v>
      </c>
      <c r="O100" s="474">
        <v>0.03</v>
      </c>
      <c r="P100" s="474">
        <f>O100</f>
        <v>0.03</v>
      </c>
      <c r="Q100" s="697"/>
      <c r="R100" s="697"/>
      <c r="S100" s="697"/>
      <c r="T100" s="697"/>
      <c r="U100" s="697"/>
      <c r="V100" s="697"/>
      <c r="W100" s="697"/>
      <c r="X100" s="698"/>
    </row>
    <row r="101" spans="1:26" s="2" customFormat="1" ht="12.75" customHeight="1" x14ac:dyDescent="0.2">
      <c r="A101"/>
      <c r="B101" s="253" t="s">
        <v>63</v>
      </c>
      <c r="C101" s="464" t="s">
        <v>148</v>
      </c>
      <c r="D101" s="1053" t="s">
        <v>397</v>
      </c>
      <c r="E101" s="1053"/>
      <c r="F101" s="1053"/>
      <c r="G101" s="1053"/>
      <c r="H101" s="1076"/>
      <c r="I101" s="486">
        <f>J101/12</f>
        <v>0</v>
      </c>
      <c r="J101" s="447">
        <f>J102+J103</f>
        <v>0</v>
      </c>
      <c r="K101" s="1038">
        <f>K102+K103</f>
        <v>0</v>
      </c>
      <c r="L101" s="1038"/>
      <c r="M101" s="447">
        <f>M102+M103</f>
        <v>0</v>
      </c>
      <c r="O101" s="678"/>
      <c r="P101" s="679"/>
      <c r="Q101" s="697"/>
      <c r="R101" s="697"/>
      <c r="S101" s="697"/>
      <c r="T101" s="697"/>
      <c r="U101" s="697"/>
      <c r="V101" s="697"/>
      <c r="W101" s="697"/>
      <c r="X101" s="698"/>
    </row>
    <row r="102" spans="1:26" s="22" customFormat="1" ht="12" customHeight="1" x14ac:dyDescent="0.2">
      <c r="A102" s="2"/>
      <c r="B102" s="90"/>
      <c r="C102" s="524"/>
      <c r="D102" s="1074" t="s">
        <v>407</v>
      </c>
      <c r="E102" s="1074"/>
      <c r="F102" s="1074"/>
      <c r="G102" s="1074"/>
      <c r="H102" s="1074"/>
      <c r="I102" s="486">
        <f t="shared" ref="I102:I103" si="17">J102/12</f>
        <v>0</v>
      </c>
      <c r="J102" s="452">
        <v>0</v>
      </c>
      <c r="K102" s="1037">
        <f>J102+O102*J102</f>
        <v>0</v>
      </c>
      <c r="L102" s="1037" t="e">
        <v>#VALUE!</v>
      </c>
      <c r="M102" s="452">
        <f>K102+P102*K102</f>
        <v>0</v>
      </c>
      <c r="O102" s="474">
        <v>0.03</v>
      </c>
      <c r="P102" s="474">
        <f>O102</f>
        <v>0.03</v>
      </c>
      <c r="Q102" s="697"/>
      <c r="R102" s="697"/>
      <c r="S102" s="697"/>
      <c r="T102" s="697"/>
      <c r="U102" s="697"/>
      <c r="V102" s="697"/>
      <c r="W102" s="697"/>
      <c r="X102" s="698"/>
    </row>
    <row r="103" spans="1:26" s="22" customFormat="1" ht="12" customHeight="1" x14ac:dyDescent="0.2">
      <c r="B103" s="90"/>
      <c r="C103" s="520"/>
      <c r="D103" s="521" t="s">
        <v>408</v>
      </c>
      <c r="E103" s="521"/>
      <c r="F103" s="521"/>
      <c r="G103" s="521"/>
      <c r="H103" s="521"/>
      <c r="I103" s="486">
        <f t="shared" si="17"/>
        <v>0</v>
      </c>
      <c r="J103" s="452">
        <v>0</v>
      </c>
      <c r="K103" s="1037">
        <f>J103+O103*J103</f>
        <v>0</v>
      </c>
      <c r="L103" s="1037" t="e">
        <v>#VALUE!</v>
      </c>
      <c r="M103" s="452">
        <f>K103+P103*K103</f>
        <v>0</v>
      </c>
      <c r="O103" s="474">
        <v>0</v>
      </c>
      <c r="P103" s="474">
        <f>O103</f>
        <v>0</v>
      </c>
      <c r="Q103" s="697"/>
      <c r="R103" s="697"/>
      <c r="S103" s="697"/>
      <c r="T103" s="697"/>
      <c r="U103" s="697"/>
      <c r="V103" s="697"/>
      <c r="W103" s="697"/>
      <c r="X103" s="698"/>
    </row>
    <row r="104" spans="1:26" s="29" customFormat="1" ht="12.75" customHeight="1" x14ac:dyDescent="0.2">
      <c r="A104" s="22"/>
      <c r="B104" s="253" t="s">
        <v>64</v>
      </c>
      <c r="C104" s="464" t="s">
        <v>149</v>
      </c>
      <c r="D104" s="465" t="s">
        <v>409</v>
      </c>
      <c r="E104" s="465"/>
      <c r="F104" s="465"/>
      <c r="G104" s="465"/>
      <c r="H104" s="536"/>
      <c r="I104" s="486">
        <f t="shared" ref="I104" si="18">J104/J$33</f>
        <v>0</v>
      </c>
      <c r="J104" s="447">
        <f>SUM(J105:J107)</f>
        <v>0</v>
      </c>
      <c r="K104" s="1038">
        <f t="shared" ref="K104:L104" si="19">SUM(K105:K107)</f>
        <v>0</v>
      </c>
      <c r="L104" s="1038" t="e">
        <f t="shared" si="19"/>
        <v>#VALUE!</v>
      </c>
      <c r="M104" s="447">
        <f>SUM(M105:M106)</f>
        <v>0</v>
      </c>
      <c r="O104" s="678"/>
      <c r="P104" s="679"/>
      <c r="Q104" s="697"/>
      <c r="R104" s="697"/>
      <c r="S104" s="697"/>
      <c r="T104" s="697"/>
      <c r="U104" s="697"/>
      <c r="V104" s="697"/>
      <c r="W104" s="697"/>
      <c r="X104" s="698"/>
    </row>
    <row r="105" spans="1:26" s="29" customFormat="1" ht="12.75" customHeight="1" x14ac:dyDescent="0.2">
      <c r="A105" s="22"/>
      <c r="B105" s="253"/>
      <c r="C105" s="737"/>
      <c r="D105" s="30" t="s">
        <v>410</v>
      </c>
      <c r="E105" s="417"/>
      <c r="F105" s="417"/>
      <c r="G105" s="417"/>
      <c r="H105" s="417"/>
      <c r="I105" s="486">
        <v>0</v>
      </c>
      <c r="J105" s="452">
        <v>0</v>
      </c>
      <c r="K105" s="1037">
        <f>(J105+J105*O105)*12/J$33</f>
        <v>0</v>
      </c>
      <c r="L105" s="1037" t="e">
        <f>K105*12/K$11</f>
        <v>#VALUE!</v>
      </c>
      <c r="M105" s="452">
        <f>K105+K105*P105</f>
        <v>0</v>
      </c>
      <c r="O105" s="474">
        <v>0.03</v>
      </c>
      <c r="P105" s="474">
        <f>O105</f>
        <v>0.03</v>
      </c>
      <c r="Q105" s="697"/>
      <c r="R105" s="697"/>
      <c r="S105" s="697"/>
      <c r="T105" s="697"/>
      <c r="U105" s="697"/>
      <c r="V105" s="697"/>
      <c r="W105" s="697"/>
      <c r="X105" s="698"/>
    </row>
    <row r="106" spans="1:26" s="29" customFormat="1" ht="12.75" customHeight="1" x14ac:dyDescent="0.2">
      <c r="A106" s="22"/>
      <c r="B106" s="253"/>
      <c r="C106" s="734"/>
      <c r="D106" s="735" t="s">
        <v>411</v>
      </c>
      <c r="E106" s="735"/>
      <c r="F106" s="735"/>
      <c r="G106" s="735"/>
      <c r="H106" s="736"/>
      <c r="I106" s="486"/>
      <c r="J106" s="452">
        <v>0</v>
      </c>
      <c r="K106" s="1037">
        <f>(J106+J106*O106)*12/J$33</f>
        <v>0</v>
      </c>
      <c r="L106" s="1037" t="e">
        <f>K106*12/K$11</f>
        <v>#VALUE!</v>
      </c>
      <c r="M106" s="452">
        <f>K106+K106*P106</f>
        <v>0</v>
      </c>
      <c r="O106" s="474">
        <v>0</v>
      </c>
      <c r="P106" s="474">
        <f t="shared" ref="P106:P107" si="20">O106</f>
        <v>0</v>
      </c>
      <c r="Q106" s="697"/>
      <c r="R106" s="697"/>
      <c r="S106" s="697"/>
      <c r="T106" s="697"/>
      <c r="U106" s="697"/>
      <c r="V106" s="697"/>
      <c r="W106" s="697"/>
      <c r="X106" s="698"/>
    </row>
    <row r="107" spans="1:26" s="29" customFormat="1" ht="12.75" customHeight="1" x14ac:dyDescent="0.2">
      <c r="A107" s="22"/>
      <c r="B107" s="253"/>
      <c r="C107" s="737"/>
      <c r="D107" s="30" t="s">
        <v>412</v>
      </c>
      <c r="E107" s="417"/>
      <c r="F107" s="417"/>
      <c r="G107" s="417"/>
      <c r="H107" s="417"/>
      <c r="I107" s="486"/>
      <c r="J107" s="452">
        <v>0</v>
      </c>
      <c r="K107" s="1037">
        <f>(J107+J107*O107)*12/J$33</f>
        <v>0</v>
      </c>
      <c r="L107" s="1037" t="e">
        <f>K107*12/K$11</f>
        <v>#VALUE!</v>
      </c>
      <c r="M107" s="452">
        <f>K107+K107*P107</f>
        <v>0</v>
      </c>
      <c r="O107" s="474">
        <v>0.03</v>
      </c>
      <c r="P107" s="474">
        <f t="shared" si="20"/>
        <v>0.03</v>
      </c>
      <c r="Q107" s="697"/>
      <c r="R107" s="697"/>
      <c r="S107" s="697"/>
      <c r="T107" s="697"/>
      <c r="U107" s="697"/>
      <c r="V107" s="697"/>
      <c r="W107" s="697"/>
      <c r="X107" s="698"/>
    </row>
    <row r="108" spans="1:26" s="2" customFormat="1" ht="12.75" customHeight="1" x14ac:dyDescent="0.2">
      <c r="A108" s="29"/>
      <c r="B108" s="253" t="s">
        <v>72</v>
      </c>
      <c r="C108" s="464" t="s">
        <v>150</v>
      </c>
      <c r="D108" s="465" t="s">
        <v>398</v>
      </c>
      <c r="E108" s="465"/>
      <c r="F108" s="465"/>
      <c r="G108" s="465"/>
      <c r="H108" s="536"/>
      <c r="I108" s="486">
        <f t="shared" ref="I108:I115" si="21">J108/J$33</f>
        <v>0</v>
      </c>
      <c r="J108" s="447">
        <f>SUM(J109:J111)</f>
        <v>0</v>
      </c>
      <c r="K108" s="1038">
        <f>SUM(K109:K111)</f>
        <v>0</v>
      </c>
      <c r="L108" s="1038"/>
      <c r="M108" s="447">
        <f>SUM(M109:M111)</f>
        <v>0</v>
      </c>
      <c r="O108" s="678" t="s">
        <v>0</v>
      </c>
      <c r="P108" s="679" t="s">
        <v>0</v>
      </c>
      <c r="Q108" s="697"/>
      <c r="R108" s="697"/>
      <c r="S108" s="697"/>
      <c r="T108" s="697"/>
      <c r="U108" s="697"/>
      <c r="V108" s="697"/>
      <c r="W108" s="697"/>
      <c r="X108" s="698"/>
    </row>
    <row r="109" spans="1:26" ht="12" customHeight="1" x14ac:dyDescent="0.2">
      <c r="A109" s="2"/>
      <c r="B109" s="90"/>
      <c r="C109" s="513"/>
      <c r="D109" s="1054" t="s">
        <v>399</v>
      </c>
      <c r="E109" s="1054"/>
      <c r="F109" s="1054"/>
      <c r="G109" s="1054"/>
      <c r="H109" s="1054"/>
      <c r="I109" s="534">
        <f t="shared" si="21"/>
        <v>0</v>
      </c>
      <c r="J109" s="452">
        <v>0</v>
      </c>
      <c r="K109" s="1037">
        <f t="shared" ref="K109:K110" si="22">(J109+J109*O109)*12/J$33</f>
        <v>0</v>
      </c>
      <c r="L109" s="1037" t="e">
        <f t="shared" ref="L109:L110" si="23">K109*12/K$11</f>
        <v>#VALUE!</v>
      </c>
      <c r="M109" s="452">
        <f t="shared" ref="M109:M115" si="24">K109+K109*P109</f>
        <v>0</v>
      </c>
      <c r="O109" s="474">
        <v>0.03</v>
      </c>
      <c r="P109" s="474">
        <f t="shared" ref="P109:P115" si="25">O109</f>
        <v>0.03</v>
      </c>
      <c r="Q109" s="697"/>
      <c r="R109" s="697"/>
      <c r="S109" s="697"/>
      <c r="T109" s="697"/>
      <c r="U109" s="697"/>
      <c r="V109" s="697"/>
      <c r="W109" s="697"/>
      <c r="X109" s="698"/>
    </row>
    <row r="110" spans="1:26" ht="12" customHeight="1" x14ac:dyDescent="0.2">
      <c r="B110" s="90"/>
      <c r="C110" s="514"/>
      <c r="D110" s="515" t="s">
        <v>400</v>
      </c>
      <c r="E110" s="515"/>
      <c r="F110" s="515"/>
      <c r="G110" s="515"/>
      <c r="H110" s="515"/>
      <c r="I110" s="534">
        <f t="shared" si="21"/>
        <v>0</v>
      </c>
      <c r="J110" s="452">
        <v>0</v>
      </c>
      <c r="K110" s="1037">
        <f t="shared" si="22"/>
        <v>0</v>
      </c>
      <c r="L110" s="1037" t="e">
        <f t="shared" si="23"/>
        <v>#VALUE!</v>
      </c>
      <c r="M110" s="452">
        <f t="shared" si="24"/>
        <v>0</v>
      </c>
      <c r="O110" s="474">
        <v>0.03</v>
      </c>
      <c r="P110" s="474">
        <f t="shared" si="25"/>
        <v>0.03</v>
      </c>
      <c r="Q110" s="697"/>
      <c r="R110" s="697"/>
      <c r="S110" s="697"/>
      <c r="T110" s="697"/>
      <c r="U110" s="697"/>
      <c r="V110" s="697"/>
      <c r="W110" s="697"/>
      <c r="X110" s="698"/>
    </row>
    <row r="111" spans="1:26" ht="12" customHeight="1" x14ac:dyDescent="0.2">
      <c r="B111" s="90"/>
      <c r="C111" s="520"/>
      <c r="D111" s="1050" t="s">
        <v>401</v>
      </c>
      <c r="E111" s="1050"/>
      <c r="F111" s="1050"/>
      <c r="G111" s="1050"/>
      <c r="H111" s="1051">
        <v>0</v>
      </c>
      <c r="I111" s="534">
        <f t="shared" si="21"/>
        <v>0</v>
      </c>
      <c r="J111" s="452">
        <v>0</v>
      </c>
      <c r="K111" s="1037">
        <f>(J111+J111*O111)*12/J$33</f>
        <v>0</v>
      </c>
      <c r="L111" s="1037" t="e">
        <f>K111*12/K$11</f>
        <v>#VALUE!</v>
      </c>
      <c r="M111" s="452">
        <f t="shared" si="24"/>
        <v>0</v>
      </c>
      <c r="O111" s="474">
        <v>0.03</v>
      </c>
      <c r="P111" s="474">
        <f t="shared" si="25"/>
        <v>0.03</v>
      </c>
      <c r="Q111" s="697"/>
      <c r="R111" s="697"/>
      <c r="S111" s="697"/>
      <c r="T111" s="697"/>
      <c r="U111" s="697"/>
      <c r="V111" s="697"/>
      <c r="W111" s="697"/>
      <c r="X111" s="698"/>
    </row>
    <row r="112" spans="1:26" s="2" customFormat="1" ht="12.75" customHeight="1" x14ac:dyDescent="0.2">
      <c r="A112"/>
      <c r="B112" s="253" t="s">
        <v>73</v>
      </c>
      <c r="C112" s="464" t="s">
        <v>151</v>
      </c>
      <c r="D112" s="1053" t="s">
        <v>402</v>
      </c>
      <c r="E112" s="1053"/>
      <c r="F112" s="1053"/>
      <c r="G112" s="1053"/>
      <c r="H112" s="1053"/>
      <c r="I112" s="534">
        <f t="shared" si="21"/>
        <v>0</v>
      </c>
      <c r="J112" s="533">
        <v>0</v>
      </c>
      <c r="K112" s="1079">
        <f>(J112+J112*O112)*12/J$33</f>
        <v>0</v>
      </c>
      <c r="L112" s="1079" t="e">
        <f>K112*12/K$11</f>
        <v>#VALUE!</v>
      </c>
      <c r="M112" s="533">
        <f>K112+K112*P112</f>
        <v>0</v>
      </c>
      <c r="O112" s="474">
        <v>0.03</v>
      </c>
      <c r="P112" s="474">
        <f t="shared" si="25"/>
        <v>0.03</v>
      </c>
      <c r="Q112" s="697"/>
      <c r="R112" s="697"/>
      <c r="S112" s="697"/>
      <c r="T112" s="697"/>
      <c r="U112" s="697"/>
      <c r="V112" s="697"/>
      <c r="W112" s="697"/>
      <c r="X112" s="698"/>
    </row>
    <row r="113" spans="1:24" s="2" customFormat="1" ht="12.75" customHeight="1" x14ac:dyDescent="0.2">
      <c r="B113" s="253" t="s">
        <v>77</v>
      </c>
      <c r="C113" s="464" t="s">
        <v>155</v>
      </c>
      <c r="D113" s="1053" t="s">
        <v>403</v>
      </c>
      <c r="E113" s="1053"/>
      <c r="F113" s="1053"/>
      <c r="G113" s="1053"/>
      <c r="H113" s="1053"/>
      <c r="I113" s="486">
        <f t="shared" si="21"/>
        <v>0</v>
      </c>
      <c r="J113" s="533">
        <v>0</v>
      </c>
      <c r="K113" s="1079">
        <f>(J113+J113*O113)*12/J$33</f>
        <v>0</v>
      </c>
      <c r="L113" s="1079" t="e">
        <f>K113*12/K$11</f>
        <v>#VALUE!</v>
      </c>
      <c r="M113" s="533">
        <f t="shared" si="24"/>
        <v>0</v>
      </c>
      <c r="O113" s="474">
        <v>0.03</v>
      </c>
      <c r="P113" s="474">
        <f t="shared" si="25"/>
        <v>0.03</v>
      </c>
      <c r="Q113" s="697"/>
      <c r="R113" s="697"/>
      <c r="S113" s="697"/>
      <c r="T113" s="697"/>
      <c r="U113" s="697"/>
      <c r="V113" s="697"/>
      <c r="W113" s="697"/>
      <c r="X113" s="698"/>
    </row>
    <row r="114" spans="1:24" s="2" customFormat="1" ht="12.75" customHeight="1" x14ac:dyDescent="0.2">
      <c r="B114" s="253" t="s">
        <v>214</v>
      </c>
      <c r="C114" s="464" t="s">
        <v>156</v>
      </c>
      <c r="D114" s="465" t="s">
        <v>404</v>
      </c>
      <c r="E114" s="523"/>
      <c r="F114" s="523"/>
      <c r="G114" s="523"/>
      <c r="H114" s="523"/>
      <c r="I114" s="486">
        <f t="shared" si="21"/>
        <v>0</v>
      </c>
      <c r="J114" s="533">
        <v>0</v>
      </c>
      <c r="K114" s="1079">
        <f>(J114+J114*O114)*12/J$33</f>
        <v>0</v>
      </c>
      <c r="L114" s="1079" t="e">
        <f>K114*12/K$11</f>
        <v>#VALUE!</v>
      </c>
      <c r="M114" s="533">
        <f t="shared" si="24"/>
        <v>0</v>
      </c>
      <c r="O114" s="474">
        <v>0.03</v>
      </c>
      <c r="P114" s="474">
        <f t="shared" ref="P114" si="26">O114</f>
        <v>0.03</v>
      </c>
      <c r="Q114" s="697"/>
      <c r="R114" s="697"/>
      <c r="S114" s="697"/>
      <c r="T114" s="697"/>
      <c r="U114" s="697"/>
      <c r="V114" s="697"/>
      <c r="W114" s="697"/>
      <c r="X114" s="698"/>
    </row>
    <row r="115" spans="1:24" s="2" customFormat="1" ht="12.75" customHeight="1" x14ac:dyDescent="0.2">
      <c r="B115" s="253" t="s">
        <v>215</v>
      </c>
      <c r="C115" s="609" t="s">
        <v>157</v>
      </c>
      <c r="D115" s="610" t="s">
        <v>405</v>
      </c>
      <c r="E115" s="477"/>
      <c r="F115" s="477"/>
      <c r="G115" s="477"/>
      <c r="H115" s="477"/>
      <c r="I115" s="611">
        <f t="shared" si="21"/>
        <v>0</v>
      </c>
      <c r="J115" s="612">
        <v>0</v>
      </c>
      <c r="K115" s="1079">
        <f>(J115+J115*O115)*12/J$33</f>
        <v>0</v>
      </c>
      <c r="L115" s="1079" t="e">
        <f>K115*12/K$11</f>
        <v>#VALUE!</v>
      </c>
      <c r="M115" s="533">
        <f t="shared" si="24"/>
        <v>0</v>
      </c>
      <c r="O115" s="474">
        <v>0.03</v>
      </c>
      <c r="P115" s="474">
        <f t="shared" si="25"/>
        <v>0.03</v>
      </c>
      <c r="Q115" s="697"/>
      <c r="R115" s="697"/>
      <c r="S115" s="697"/>
      <c r="T115" s="697"/>
      <c r="U115" s="697"/>
      <c r="V115" s="697"/>
      <c r="W115" s="697"/>
      <c r="X115" s="698"/>
    </row>
    <row r="116" spans="1:24" ht="12.75" customHeight="1" x14ac:dyDescent="0.2">
      <c r="A116" s="2"/>
      <c r="B116" s="667" t="s">
        <v>244</v>
      </c>
      <c r="C116" s="464" t="s">
        <v>158</v>
      </c>
      <c r="D116" s="1053" t="s">
        <v>406</v>
      </c>
      <c r="E116" s="1053"/>
      <c r="F116" s="1053"/>
      <c r="G116" s="1053"/>
      <c r="H116" s="1076"/>
      <c r="I116" s="613"/>
      <c r="J116" s="990">
        <v>0</v>
      </c>
      <c r="K116" s="1172">
        <v>0</v>
      </c>
      <c r="L116" s="1172"/>
      <c r="M116" s="608">
        <v>0</v>
      </c>
      <c r="N116" s="272"/>
      <c r="O116" s="765"/>
      <c r="P116" s="766"/>
      <c r="Q116" s="697"/>
      <c r="R116" s="697"/>
      <c r="S116" s="697"/>
      <c r="T116" s="697"/>
      <c r="U116" s="697"/>
      <c r="V116" s="697"/>
      <c r="W116" s="697"/>
      <c r="X116" s="698"/>
    </row>
    <row r="117" spans="1:24" ht="14.25" customHeight="1" x14ac:dyDescent="0.2">
      <c r="A117" s="2"/>
      <c r="B117" s="90"/>
      <c r="C117" s="256"/>
      <c r="D117" s="429"/>
      <c r="E117" s="430"/>
      <c r="F117" s="430"/>
      <c r="G117" s="430"/>
      <c r="H117" s="430"/>
      <c r="I117" s="430"/>
      <c r="N117" s="272"/>
      <c r="O117" s="942"/>
      <c r="P117" s="664"/>
      <c r="Q117" s="697"/>
      <c r="R117" s="697"/>
      <c r="S117" s="697"/>
      <c r="T117" s="697"/>
      <c r="U117" s="697"/>
      <c r="V117" s="697"/>
      <c r="W117" s="697"/>
      <c r="X117" s="698"/>
    </row>
    <row r="118" spans="1:24" ht="4.5" customHeight="1" x14ac:dyDescent="0.2">
      <c r="A118" s="2"/>
      <c r="B118" s="90"/>
      <c r="C118" s="256"/>
      <c r="D118" s="26"/>
      <c r="E118" s="26"/>
      <c r="F118" s="26"/>
      <c r="G118" s="26"/>
      <c r="H118" s="26"/>
      <c r="I118" s="26"/>
      <c r="J118" s="27"/>
      <c r="K118" s="28"/>
      <c r="L118" s="28"/>
      <c r="M118" s="29"/>
      <c r="N118" s="272"/>
      <c r="O118" s="942"/>
      <c r="P118" s="664"/>
      <c r="Q118" s="697"/>
      <c r="R118" s="697"/>
      <c r="S118" s="697"/>
      <c r="T118" s="697"/>
      <c r="U118" s="697"/>
      <c r="V118" s="697"/>
      <c r="W118" s="697"/>
      <c r="X118" s="698"/>
    </row>
    <row r="119" spans="1:24" ht="12" customHeight="1" x14ac:dyDescent="0.2">
      <c r="C119" s="1201" t="s">
        <v>416</v>
      </c>
      <c r="D119" s="1202"/>
      <c r="E119" s="1202"/>
      <c r="F119" s="1202"/>
      <c r="G119" s="1202"/>
      <c r="H119" s="1202"/>
      <c r="I119" s="1052" t="s">
        <v>327</v>
      </c>
      <c r="J119" s="1052"/>
      <c r="K119" s="1166" t="s">
        <v>328</v>
      </c>
      <c r="L119" s="1167"/>
      <c r="M119" s="554" t="s">
        <v>329</v>
      </c>
      <c r="O119" s="943"/>
      <c r="P119" s="664"/>
      <c r="Q119" s="697"/>
      <c r="R119" s="697"/>
      <c r="S119" s="697"/>
      <c r="T119" s="697"/>
      <c r="U119" s="697"/>
      <c r="V119" s="697"/>
      <c r="W119" s="697"/>
      <c r="X119" s="698"/>
    </row>
    <row r="120" spans="1:24" ht="15" customHeight="1" x14ac:dyDescent="0.2">
      <c r="C120" s="1203"/>
      <c r="D120" s="1204"/>
      <c r="E120" s="1204"/>
      <c r="F120" s="1204"/>
      <c r="G120" s="1204"/>
      <c r="H120" s="1204"/>
      <c r="I120" s="1002" t="s">
        <v>330</v>
      </c>
      <c r="J120" s="555">
        <f>J32</f>
        <v>2026</v>
      </c>
      <c r="K120" s="1182">
        <f>J120+1</f>
        <v>2027</v>
      </c>
      <c r="L120" s="1183"/>
      <c r="M120" s="555">
        <f>K120+1</f>
        <v>2028</v>
      </c>
      <c r="O120" s="944"/>
      <c r="P120" s="945"/>
      <c r="Q120" s="697"/>
      <c r="R120" s="697"/>
      <c r="S120" s="697"/>
      <c r="T120" s="697"/>
      <c r="U120" s="697"/>
      <c r="V120" s="697"/>
      <c r="W120" s="697"/>
      <c r="X120" s="698"/>
    </row>
    <row r="121" spans="1:24" s="32" customFormat="1" ht="14.25" customHeight="1" x14ac:dyDescent="0.2">
      <c r="B121" s="624"/>
      <c r="C121" s="1057" t="s">
        <v>331</v>
      </c>
      <c r="D121" s="1058"/>
      <c r="E121" s="1058"/>
      <c r="F121" s="549"/>
      <c r="G121" s="549"/>
      <c r="H121" s="625"/>
      <c r="I121" s="583"/>
      <c r="J121" s="476">
        <f>J73</f>
        <v>12</v>
      </c>
      <c r="K121" s="1169">
        <f>K73</f>
        <v>12</v>
      </c>
      <c r="L121" s="1169"/>
      <c r="M121" s="589">
        <f>M73</f>
        <v>12</v>
      </c>
      <c r="O121" s="1164"/>
      <c r="P121" s="1165"/>
      <c r="Q121" s="697"/>
      <c r="R121" s="697"/>
      <c r="S121" s="697"/>
      <c r="T121" s="697"/>
      <c r="U121" s="697"/>
      <c r="V121" s="697"/>
      <c r="W121" s="697"/>
      <c r="X121" s="698"/>
    </row>
    <row r="122" spans="1:24" s="32" customFormat="1" ht="14.25" customHeight="1" x14ac:dyDescent="0.2">
      <c r="B122" s="624"/>
      <c r="C122" s="626"/>
      <c r="D122" s="551"/>
      <c r="E122" s="551"/>
      <c r="F122" s="1241" t="s">
        <v>417</v>
      </c>
      <c r="G122" s="1242"/>
      <c r="H122" s="627"/>
      <c r="I122" s="584"/>
      <c r="J122" s="458"/>
      <c r="K122" s="1170"/>
      <c r="L122" s="1170"/>
      <c r="M122" s="463"/>
      <c r="O122" s="1160" t="s">
        <v>415</v>
      </c>
      <c r="P122" s="1161"/>
      <c r="Q122" s="697"/>
      <c r="R122" s="697"/>
      <c r="S122" s="697"/>
      <c r="T122" s="697"/>
      <c r="U122" s="697"/>
      <c r="V122" s="697"/>
      <c r="W122" s="697"/>
      <c r="X122" s="698"/>
    </row>
    <row r="123" spans="1:24" s="32" customFormat="1" ht="12" customHeight="1" x14ac:dyDescent="0.2">
      <c r="B123" s="253" t="s">
        <v>243</v>
      </c>
      <c r="C123" s="1219" t="s">
        <v>418</v>
      </c>
      <c r="D123" s="1220"/>
      <c r="E123" s="1220"/>
      <c r="F123" s="1048">
        <v>0.255</v>
      </c>
      <c r="G123" s="1049"/>
      <c r="H123" s="628" t="s">
        <v>419</v>
      </c>
      <c r="I123" s="454">
        <f>J123/J$33</f>
        <v>0</v>
      </c>
      <c r="J123" s="447">
        <f>J125*J126</f>
        <v>0</v>
      </c>
      <c r="K123" s="1038">
        <f>K125*K126</f>
        <v>0</v>
      </c>
      <c r="L123" s="1038"/>
      <c r="M123" s="447">
        <f>M125*M126</f>
        <v>0</v>
      </c>
      <c r="O123" s="458">
        <f>K$32</f>
        <v>2027</v>
      </c>
      <c r="P123" s="458">
        <f>M$32</f>
        <v>2028</v>
      </c>
      <c r="Q123" s="697"/>
      <c r="R123" s="697"/>
      <c r="S123" s="697"/>
      <c r="T123" s="697"/>
      <c r="U123" s="697"/>
      <c r="V123" s="697"/>
      <c r="W123" s="697"/>
      <c r="X123" s="698"/>
    </row>
    <row r="124" spans="1:24" s="32" customFormat="1" ht="12" customHeight="1" x14ac:dyDescent="0.2">
      <c r="C124" s="1039" t="s">
        <v>424</v>
      </c>
      <c r="D124" s="1040"/>
      <c r="E124" s="1040"/>
      <c r="F124" s="1040"/>
      <c r="G124" s="1041"/>
      <c r="H124" s="1042"/>
      <c r="I124" s="448"/>
      <c r="J124" s="449">
        <v>0</v>
      </c>
      <c r="K124" s="1168">
        <f>J124+J124*O124</f>
        <v>0</v>
      </c>
      <c r="L124" s="1168">
        <f>K124 +K124*O124</f>
        <v>0</v>
      </c>
      <c r="M124" s="449">
        <f>K124+K124*P124</f>
        <v>0</v>
      </c>
      <c r="O124" s="475">
        <v>0.03</v>
      </c>
      <c r="P124" s="475">
        <f>O124</f>
        <v>0.03</v>
      </c>
      <c r="Q124" s="697"/>
      <c r="R124" s="697"/>
      <c r="S124" s="697"/>
      <c r="T124" s="697"/>
      <c r="U124" s="697"/>
      <c r="V124" s="697"/>
      <c r="W124" s="697"/>
      <c r="X124" s="698"/>
    </row>
    <row r="125" spans="1:24" s="32" customFormat="1" ht="12" customHeight="1" x14ac:dyDescent="0.2">
      <c r="C125" s="1043" t="s">
        <v>425</v>
      </c>
      <c r="D125" s="1044"/>
      <c r="E125" s="1044"/>
      <c r="F125" s="1044"/>
      <c r="G125" s="1045"/>
      <c r="H125" s="1046"/>
      <c r="I125" s="531">
        <v>0</v>
      </c>
      <c r="J125" s="450">
        <f>J124/(1+$F123)</f>
        <v>0</v>
      </c>
      <c r="K125" s="1171">
        <f>K124/(1+F123)</f>
        <v>0</v>
      </c>
      <c r="L125" s="1171"/>
      <c r="M125" s="451">
        <f>M124/(1+F123)</f>
        <v>0</v>
      </c>
      <c r="O125" s="670"/>
      <c r="P125" s="671"/>
      <c r="Q125" s="697"/>
      <c r="R125" s="697"/>
      <c r="S125" s="697"/>
      <c r="T125" s="697"/>
      <c r="U125" s="697"/>
      <c r="V125" s="697"/>
      <c r="W125" s="697"/>
      <c r="X125" s="698"/>
    </row>
    <row r="126" spans="1:24" s="32" customFormat="1" ht="12" customHeight="1" x14ac:dyDescent="0.2">
      <c r="C126" s="1197" t="s">
        <v>426</v>
      </c>
      <c r="D126" s="1198"/>
      <c r="E126" s="1198"/>
      <c r="F126" s="1198"/>
      <c r="G126" s="1199"/>
      <c r="H126" s="1200"/>
      <c r="I126" s="446">
        <f>J126/J$33</f>
        <v>0</v>
      </c>
      <c r="J126" s="452">
        <v>0</v>
      </c>
      <c r="K126" s="1037">
        <f>(J126+J126*O126)*12/J$33</f>
        <v>0</v>
      </c>
      <c r="L126" s="1037" t="e">
        <f>K126*12/K$11</f>
        <v>#VALUE!</v>
      </c>
      <c r="M126" s="452">
        <f>K126+K126*P126</f>
        <v>0</v>
      </c>
      <c r="O126" s="474">
        <v>0</v>
      </c>
      <c r="P126" s="474">
        <f>O126</f>
        <v>0</v>
      </c>
      <c r="Q126" s="697"/>
      <c r="R126" s="697"/>
      <c r="S126" s="697"/>
      <c r="T126" s="697"/>
      <c r="U126" s="697"/>
      <c r="V126" s="697"/>
      <c r="W126" s="697"/>
      <c r="X126" s="698"/>
    </row>
    <row r="127" spans="1:24" s="32" customFormat="1" ht="6" customHeight="1" x14ac:dyDescent="0.2">
      <c r="C127" s="59"/>
      <c r="D127" s="30"/>
      <c r="E127" s="30"/>
      <c r="F127" s="30"/>
      <c r="G127" s="30"/>
      <c r="H127" s="30"/>
      <c r="I127" s="661"/>
      <c r="J127" s="660"/>
      <c r="K127" s="285"/>
      <c r="L127" s="662"/>
      <c r="M127" s="285"/>
      <c r="O127" s="686"/>
      <c r="P127" s="687"/>
      <c r="Q127" s="697"/>
      <c r="R127" s="697"/>
      <c r="S127" s="697"/>
      <c r="T127" s="697"/>
      <c r="U127" s="697"/>
      <c r="V127" s="697"/>
      <c r="W127" s="697"/>
      <c r="X127" s="698"/>
    </row>
    <row r="128" spans="1:24" s="32" customFormat="1" ht="12" customHeight="1" x14ac:dyDescent="0.2">
      <c r="C128" s="1219"/>
      <c r="D128" s="1220"/>
      <c r="E128" s="1220"/>
      <c r="F128" s="1048">
        <v>0.255</v>
      </c>
      <c r="G128" s="1049"/>
      <c r="H128" s="628" t="s">
        <v>419</v>
      </c>
      <c r="I128" s="454">
        <f>J128/J$33</f>
        <v>0</v>
      </c>
      <c r="J128" s="447">
        <f>J130*J131</f>
        <v>0</v>
      </c>
      <c r="K128" s="1038">
        <f>K130*K131</f>
        <v>0</v>
      </c>
      <c r="L128" s="1038"/>
      <c r="M128" s="447">
        <f>M130*M131</f>
        <v>0</v>
      </c>
      <c r="O128" s="668"/>
      <c r="P128" s="669"/>
      <c r="Q128" s="697"/>
      <c r="R128" s="697"/>
      <c r="S128" s="697"/>
      <c r="T128" s="697"/>
      <c r="U128" s="697"/>
      <c r="V128" s="697"/>
      <c r="W128" s="697"/>
      <c r="X128" s="698"/>
    </row>
    <row r="129" spans="3:24" s="32" customFormat="1" ht="12" customHeight="1" x14ac:dyDescent="0.2">
      <c r="C129" s="1039" t="s">
        <v>424</v>
      </c>
      <c r="D129" s="1040"/>
      <c r="E129" s="1040"/>
      <c r="F129" s="1040"/>
      <c r="G129" s="1041"/>
      <c r="H129" s="1042"/>
      <c r="I129" s="448"/>
      <c r="J129" s="449">
        <v>0</v>
      </c>
      <c r="K129" s="1168">
        <f>J129+J129*O129</f>
        <v>0</v>
      </c>
      <c r="L129" s="1168">
        <f>K129 +K129*O129</f>
        <v>0</v>
      </c>
      <c r="M129" s="449">
        <f>K129+K129*P129</f>
        <v>0</v>
      </c>
      <c r="O129" s="474">
        <v>0.03</v>
      </c>
      <c r="P129" s="474">
        <f>O129</f>
        <v>0.03</v>
      </c>
      <c r="Q129" s="697"/>
      <c r="R129" s="697"/>
      <c r="S129" s="697"/>
      <c r="T129" s="697"/>
      <c r="U129" s="697"/>
      <c r="V129" s="697"/>
      <c r="W129" s="697"/>
      <c r="X129" s="698"/>
    </row>
    <row r="130" spans="3:24" s="32" customFormat="1" ht="12" customHeight="1" x14ac:dyDescent="0.2">
      <c r="C130" s="1043" t="s">
        <v>425</v>
      </c>
      <c r="D130" s="1044"/>
      <c r="E130" s="1044"/>
      <c r="F130" s="1044"/>
      <c r="G130" s="1045"/>
      <c r="H130" s="1046"/>
      <c r="I130" s="531">
        <v>0</v>
      </c>
      <c r="J130" s="450">
        <f>J129/(1+$F128)</f>
        <v>0</v>
      </c>
      <c r="K130" s="1171">
        <f>K129/(1+F128)</f>
        <v>0</v>
      </c>
      <c r="L130" s="1171"/>
      <c r="M130" s="451">
        <f>M129/(1+F128)</f>
        <v>0</v>
      </c>
      <c r="O130" s="670"/>
      <c r="P130" s="671"/>
      <c r="Q130" s="697"/>
      <c r="R130" s="697"/>
      <c r="S130" s="697"/>
      <c r="T130" s="697"/>
      <c r="U130" s="697"/>
      <c r="V130" s="697"/>
      <c r="W130" s="697"/>
      <c r="X130" s="698"/>
    </row>
    <row r="131" spans="3:24" s="32" customFormat="1" ht="12" customHeight="1" x14ac:dyDescent="0.2">
      <c r="C131" s="1197" t="s">
        <v>426</v>
      </c>
      <c r="D131" s="1198"/>
      <c r="E131" s="1198"/>
      <c r="F131" s="1198"/>
      <c r="G131" s="1199"/>
      <c r="H131" s="1200"/>
      <c r="I131" s="446">
        <f>J131/J$33</f>
        <v>0</v>
      </c>
      <c r="J131" s="452">
        <v>0</v>
      </c>
      <c r="K131" s="1037">
        <f>(J131+J131*O131)*12/J$33</f>
        <v>0</v>
      </c>
      <c r="L131" s="1037" t="e">
        <f>K131*12/K$11</f>
        <v>#VALUE!</v>
      </c>
      <c r="M131" s="452">
        <f>K131+K131*P131</f>
        <v>0</v>
      </c>
      <c r="O131" s="474">
        <v>0</v>
      </c>
      <c r="P131" s="474">
        <f>O131</f>
        <v>0</v>
      </c>
      <c r="Q131" s="697"/>
      <c r="R131" s="697"/>
      <c r="S131" s="697"/>
      <c r="T131" s="697"/>
      <c r="U131" s="697"/>
      <c r="V131" s="697"/>
      <c r="W131" s="697"/>
      <c r="X131" s="698"/>
    </row>
    <row r="132" spans="3:24" s="32" customFormat="1" ht="6" customHeight="1" x14ac:dyDescent="0.2">
      <c r="C132" s="59"/>
      <c r="D132" s="444"/>
      <c r="E132" s="444"/>
      <c r="F132" s="444"/>
      <c r="G132" s="444"/>
      <c r="H132" s="444"/>
      <c r="I132" s="663"/>
      <c r="J132" s="660"/>
      <c r="K132" s="660"/>
      <c r="L132" s="660"/>
      <c r="M132" s="284"/>
      <c r="O132" s="686"/>
      <c r="P132" s="687"/>
      <c r="Q132" s="697"/>
      <c r="R132" s="697"/>
      <c r="S132" s="697"/>
      <c r="T132" s="697"/>
      <c r="U132" s="697"/>
      <c r="V132" s="697"/>
      <c r="W132" s="697"/>
      <c r="X132" s="698"/>
    </row>
    <row r="133" spans="3:24" s="32" customFormat="1" ht="12" customHeight="1" x14ac:dyDescent="0.2">
      <c r="C133" s="1219"/>
      <c r="D133" s="1220"/>
      <c r="E133" s="1220"/>
      <c r="F133" s="1048">
        <v>0.255</v>
      </c>
      <c r="G133" s="1049"/>
      <c r="H133" s="628" t="s">
        <v>419</v>
      </c>
      <c r="I133" s="454">
        <f>J133/J$33</f>
        <v>0</v>
      </c>
      <c r="J133" s="447">
        <f>J135*J136</f>
        <v>0</v>
      </c>
      <c r="K133" s="1038">
        <f>K135*K136</f>
        <v>0</v>
      </c>
      <c r="L133" s="1038"/>
      <c r="M133" s="447">
        <f>M135*M136</f>
        <v>0</v>
      </c>
      <c r="O133" s="668"/>
      <c r="P133" s="669"/>
      <c r="Q133" s="697"/>
      <c r="R133" s="697"/>
      <c r="S133" s="697"/>
      <c r="T133" s="697"/>
      <c r="U133" s="697"/>
      <c r="V133" s="697"/>
      <c r="W133" s="697"/>
      <c r="X133" s="698"/>
    </row>
    <row r="134" spans="3:24" s="32" customFormat="1" ht="12" customHeight="1" x14ac:dyDescent="0.2">
      <c r="C134" s="1039" t="s">
        <v>424</v>
      </c>
      <c r="D134" s="1040"/>
      <c r="E134" s="1040"/>
      <c r="F134" s="1040"/>
      <c r="G134" s="1041"/>
      <c r="H134" s="1042"/>
      <c r="I134" s="448"/>
      <c r="J134" s="449">
        <v>0</v>
      </c>
      <c r="K134" s="1168">
        <f>J134+J134*O134</f>
        <v>0</v>
      </c>
      <c r="L134" s="1168">
        <f>K134 +K134*O134</f>
        <v>0</v>
      </c>
      <c r="M134" s="449">
        <f>K134+K134*P134</f>
        <v>0</v>
      </c>
      <c r="O134" s="474">
        <v>0.03</v>
      </c>
      <c r="P134" s="474">
        <f>O134</f>
        <v>0.03</v>
      </c>
      <c r="Q134" s="697"/>
      <c r="R134" s="697"/>
      <c r="S134" s="697"/>
      <c r="T134" s="697"/>
      <c r="U134" s="697"/>
      <c r="V134" s="697"/>
      <c r="W134" s="697"/>
      <c r="X134" s="698"/>
    </row>
    <row r="135" spans="3:24" s="32" customFormat="1" ht="12" customHeight="1" x14ac:dyDescent="0.2">
      <c r="C135" s="1043" t="s">
        <v>425</v>
      </c>
      <c r="D135" s="1044"/>
      <c r="E135" s="1044"/>
      <c r="F135" s="1044"/>
      <c r="G135" s="1045"/>
      <c r="H135" s="1046"/>
      <c r="I135" s="531">
        <v>0</v>
      </c>
      <c r="J135" s="450">
        <f>J134/(1+$F133)</f>
        <v>0</v>
      </c>
      <c r="K135" s="1171">
        <f>K134/(1+F133)</f>
        <v>0</v>
      </c>
      <c r="L135" s="1171"/>
      <c r="M135" s="451">
        <f>M134/(1+F133)</f>
        <v>0</v>
      </c>
      <c r="O135" s="684"/>
      <c r="P135" s="685"/>
      <c r="Q135" s="697"/>
      <c r="R135" s="697"/>
      <c r="S135" s="697"/>
      <c r="T135" s="697"/>
      <c r="U135" s="697"/>
      <c r="V135" s="697"/>
      <c r="W135" s="697"/>
      <c r="X135" s="698"/>
    </row>
    <row r="136" spans="3:24" s="32" customFormat="1" ht="12" customHeight="1" x14ac:dyDescent="0.2">
      <c r="C136" s="1197" t="s">
        <v>426</v>
      </c>
      <c r="D136" s="1198"/>
      <c r="E136" s="1198"/>
      <c r="F136" s="1198"/>
      <c r="G136" s="1199"/>
      <c r="H136" s="1200"/>
      <c r="I136" s="446">
        <f>J136/J$33</f>
        <v>0</v>
      </c>
      <c r="J136" s="452">
        <v>0</v>
      </c>
      <c r="K136" s="1037">
        <f>(J136+J136*O136)*12/J$33</f>
        <v>0</v>
      </c>
      <c r="L136" s="1037" t="e">
        <f>K136*12/K$11</f>
        <v>#VALUE!</v>
      </c>
      <c r="M136" s="452">
        <f>K136+K136*P136</f>
        <v>0</v>
      </c>
      <c r="O136" s="474">
        <v>0</v>
      </c>
      <c r="P136" s="474">
        <f>O136</f>
        <v>0</v>
      </c>
      <c r="Q136" s="697"/>
      <c r="R136" s="697"/>
      <c r="S136" s="697"/>
      <c r="T136" s="697"/>
      <c r="U136" s="697"/>
      <c r="V136" s="697"/>
      <c r="W136" s="697"/>
      <c r="X136" s="698"/>
    </row>
    <row r="137" spans="3:24" s="32" customFormat="1" ht="6" customHeight="1" x14ac:dyDescent="0.2">
      <c r="C137" s="59"/>
      <c r="D137" s="444"/>
      <c r="E137" s="444"/>
      <c r="F137" s="444"/>
      <c r="G137" s="444"/>
      <c r="H137" s="444"/>
      <c r="I137" s="663"/>
      <c r="J137" s="660"/>
      <c r="K137" s="660"/>
      <c r="L137" s="660"/>
      <c r="M137" s="284"/>
      <c r="O137" s="686"/>
      <c r="P137" s="687"/>
      <c r="Q137" s="697"/>
      <c r="R137" s="697"/>
      <c r="S137" s="697"/>
      <c r="T137" s="697"/>
      <c r="U137" s="697"/>
      <c r="V137" s="697"/>
      <c r="W137" s="697"/>
      <c r="X137" s="698"/>
    </row>
    <row r="138" spans="3:24" s="32" customFormat="1" ht="12" customHeight="1" x14ac:dyDescent="0.2">
      <c r="C138" s="1219"/>
      <c r="D138" s="1220"/>
      <c r="E138" s="1220"/>
      <c r="F138" s="1048">
        <v>0.255</v>
      </c>
      <c r="G138" s="1049"/>
      <c r="H138" s="628" t="s">
        <v>419</v>
      </c>
      <c r="I138" s="454">
        <f>J138/J$33</f>
        <v>0</v>
      </c>
      <c r="J138" s="447">
        <f>J140*J141</f>
        <v>0</v>
      </c>
      <c r="K138" s="1038">
        <f>K140*K141</f>
        <v>0</v>
      </c>
      <c r="L138" s="1038"/>
      <c r="M138" s="447">
        <f>M140*M141</f>
        <v>0</v>
      </c>
      <c r="O138" s="672"/>
      <c r="P138" s="673"/>
      <c r="Q138" s="697"/>
      <c r="R138" s="697"/>
      <c r="S138" s="697"/>
      <c r="T138" s="697"/>
      <c r="U138" s="697"/>
      <c r="V138" s="697"/>
      <c r="W138" s="697"/>
      <c r="X138" s="698"/>
    </row>
    <row r="139" spans="3:24" s="32" customFormat="1" ht="12" customHeight="1" x14ac:dyDescent="0.2">
      <c r="C139" s="1039" t="s">
        <v>424</v>
      </c>
      <c r="D139" s="1040"/>
      <c r="E139" s="1040"/>
      <c r="F139" s="1040"/>
      <c r="G139" s="1041"/>
      <c r="H139" s="1042"/>
      <c r="I139" s="448"/>
      <c r="J139" s="449">
        <v>0</v>
      </c>
      <c r="K139" s="1168">
        <f>J139+J139*O139</f>
        <v>0</v>
      </c>
      <c r="L139" s="1168">
        <f>K139 +K139*O139</f>
        <v>0</v>
      </c>
      <c r="M139" s="449">
        <f>K139+K139*P139</f>
        <v>0</v>
      </c>
      <c r="O139" s="474">
        <v>0.03</v>
      </c>
      <c r="P139" s="474">
        <f>O139</f>
        <v>0.03</v>
      </c>
      <c r="Q139" s="697"/>
      <c r="R139" s="697"/>
      <c r="S139" s="697"/>
      <c r="T139" s="697"/>
      <c r="U139" s="697"/>
      <c r="V139" s="697"/>
      <c r="W139" s="697"/>
      <c r="X139" s="698"/>
    </row>
    <row r="140" spans="3:24" s="32" customFormat="1" ht="12" customHeight="1" x14ac:dyDescent="0.2">
      <c r="C140" s="1043" t="s">
        <v>425</v>
      </c>
      <c r="D140" s="1044"/>
      <c r="E140" s="1044"/>
      <c r="F140" s="1044"/>
      <c r="G140" s="1045"/>
      <c r="H140" s="1046"/>
      <c r="I140" s="531">
        <v>0</v>
      </c>
      <c r="J140" s="450">
        <f>J139/(1+$F138)</f>
        <v>0</v>
      </c>
      <c r="K140" s="1171">
        <f>K139/(1+F138)</f>
        <v>0</v>
      </c>
      <c r="L140" s="1171"/>
      <c r="M140" s="451">
        <f>M139/(1+F138)</f>
        <v>0</v>
      </c>
      <c r="O140" s="670"/>
      <c r="P140" s="671"/>
      <c r="Q140" s="697"/>
      <c r="R140" s="697"/>
      <c r="S140" s="697"/>
      <c r="T140" s="697"/>
      <c r="U140" s="697"/>
      <c r="V140" s="697"/>
      <c r="W140" s="697"/>
      <c r="X140" s="698"/>
    </row>
    <row r="141" spans="3:24" s="32" customFormat="1" ht="12" customHeight="1" x14ac:dyDescent="0.2">
      <c r="C141" s="1197" t="s">
        <v>426</v>
      </c>
      <c r="D141" s="1198"/>
      <c r="E141" s="1198"/>
      <c r="F141" s="1198"/>
      <c r="G141" s="1199"/>
      <c r="H141" s="1200"/>
      <c r="I141" s="446">
        <f>J141/J$33</f>
        <v>0</v>
      </c>
      <c r="J141" s="452">
        <v>0</v>
      </c>
      <c r="K141" s="1037">
        <f>(J141+J141*O141)*12/J$33</f>
        <v>0</v>
      </c>
      <c r="L141" s="1037" t="e">
        <f>K141*12/K$11</f>
        <v>#VALUE!</v>
      </c>
      <c r="M141" s="452">
        <f>K141+K141*P141</f>
        <v>0</v>
      </c>
      <c r="O141" s="474">
        <v>0</v>
      </c>
      <c r="P141" s="474">
        <f>O141</f>
        <v>0</v>
      </c>
      <c r="Q141" s="697"/>
      <c r="R141" s="697"/>
      <c r="S141" s="697"/>
      <c r="T141" s="697"/>
      <c r="U141" s="697"/>
      <c r="V141" s="697"/>
      <c r="W141" s="697"/>
      <c r="X141" s="698"/>
    </row>
    <row r="142" spans="3:24" s="32" customFormat="1" ht="6" customHeight="1" x14ac:dyDescent="0.2">
      <c r="C142" s="59"/>
      <c r="D142" s="30"/>
      <c r="E142" s="30"/>
      <c r="F142" s="30"/>
      <c r="G142" s="30"/>
      <c r="H142" s="30"/>
      <c r="I142" s="661"/>
      <c r="J142" s="660"/>
      <c r="K142" s="285"/>
      <c r="L142" s="662"/>
      <c r="M142" s="285"/>
      <c r="O142" s="686"/>
      <c r="P142" s="687"/>
      <c r="Q142" s="697"/>
      <c r="R142" s="697"/>
      <c r="S142" s="697"/>
      <c r="T142" s="697"/>
      <c r="U142" s="697"/>
      <c r="V142" s="697"/>
      <c r="W142" s="697"/>
      <c r="X142" s="698"/>
    </row>
    <row r="143" spans="3:24" s="32" customFormat="1" ht="12" customHeight="1" x14ac:dyDescent="0.2">
      <c r="C143" s="1219"/>
      <c r="D143" s="1220"/>
      <c r="E143" s="1220"/>
      <c r="F143" s="1048">
        <v>0.255</v>
      </c>
      <c r="G143" s="1049"/>
      <c r="H143" s="628" t="s">
        <v>419</v>
      </c>
      <c r="I143" s="454">
        <f>J143/J$33</f>
        <v>0</v>
      </c>
      <c r="J143" s="447">
        <f>J145*J146</f>
        <v>0</v>
      </c>
      <c r="K143" s="1038">
        <f>K145*K146</f>
        <v>0</v>
      </c>
      <c r="L143" s="1038"/>
      <c r="M143" s="447">
        <f>M145*M146</f>
        <v>0</v>
      </c>
      <c r="O143" s="670"/>
      <c r="P143" s="671"/>
      <c r="Q143" s="697"/>
      <c r="R143" s="697"/>
      <c r="S143" s="697"/>
      <c r="T143" s="697"/>
      <c r="U143" s="697"/>
      <c r="V143" s="697"/>
      <c r="W143" s="697"/>
      <c r="X143" s="698"/>
    </row>
    <row r="144" spans="3:24" s="32" customFormat="1" ht="12" customHeight="1" x14ac:dyDescent="0.2">
      <c r="C144" s="1039" t="s">
        <v>424</v>
      </c>
      <c r="D144" s="1040"/>
      <c r="E144" s="1040"/>
      <c r="F144" s="1040"/>
      <c r="G144" s="1041"/>
      <c r="H144" s="1042"/>
      <c r="I144" s="448"/>
      <c r="J144" s="449">
        <v>0</v>
      </c>
      <c r="K144" s="1168">
        <f>J144+J144*O144</f>
        <v>0</v>
      </c>
      <c r="L144" s="1168">
        <f>K144 +K144*O144</f>
        <v>0</v>
      </c>
      <c r="M144" s="449">
        <f>K144+K144*P144</f>
        <v>0</v>
      </c>
      <c r="O144" s="474">
        <v>0.03</v>
      </c>
      <c r="P144" s="474">
        <f>O144</f>
        <v>0.03</v>
      </c>
      <c r="Q144" s="697"/>
      <c r="R144" s="697"/>
      <c r="S144" s="697"/>
      <c r="T144" s="697"/>
      <c r="U144" s="697"/>
      <c r="V144" s="697"/>
      <c r="W144" s="697"/>
      <c r="X144" s="698"/>
    </row>
    <row r="145" spans="2:24" s="32" customFormat="1" ht="12" customHeight="1" x14ac:dyDescent="0.2">
      <c r="C145" s="1043" t="s">
        <v>425</v>
      </c>
      <c r="D145" s="1044"/>
      <c r="E145" s="1044"/>
      <c r="F145" s="1044"/>
      <c r="G145" s="1045"/>
      <c r="H145" s="1046"/>
      <c r="I145" s="531">
        <v>0</v>
      </c>
      <c r="J145" s="450">
        <f>J144/(1+$F143)</f>
        <v>0</v>
      </c>
      <c r="K145" s="1171">
        <f>K144/(1+F143)</f>
        <v>0</v>
      </c>
      <c r="L145" s="1171"/>
      <c r="M145" s="451">
        <f>M144/(1+F143)</f>
        <v>0</v>
      </c>
      <c r="O145" s="670"/>
      <c r="P145" s="671"/>
      <c r="Q145" s="697"/>
      <c r="R145" s="697"/>
      <c r="S145" s="697"/>
      <c r="T145" s="697"/>
      <c r="U145" s="697"/>
      <c r="V145" s="697"/>
      <c r="W145" s="697"/>
      <c r="X145" s="698"/>
    </row>
    <row r="146" spans="2:24" s="32" customFormat="1" ht="12" customHeight="1" x14ac:dyDescent="0.2">
      <c r="C146" s="1197" t="s">
        <v>426</v>
      </c>
      <c r="D146" s="1198"/>
      <c r="E146" s="1198"/>
      <c r="F146" s="1198"/>
      <c r="G146" s="1199"/>
      <c r="H146" s="1200"/>
      <c r="I146" s="446">
        <f>J146/J$33</f>
        <v>0</v>
      </c>
      <c r="J146" s="452">
        <v>0</v>
      </c>
      <c r="K146" s="1037">
        <f>(J146+J146*O146)*12/J$33</f>
        <v>0</v>
      </c>
      <c r="L146" s="1037" t="e">
        <f>K146*12/K$11</f>
        <v>#VALUE!</v>
      </c>
      <c r="M146" s="452">
        <f>K146+K146*P146</f>
        <v>0</v>
      </c>
      <c r="O146" s="474">
        <v>0</v>
      </c>
      <c r="P146" s="474">
        <f>O146</f>
        <v>0</v>
      </c>
      <c r="Q146" s="697"/>
      <c r="R146" s="697"/>
      <c r="S146" s="697"/>
      <c r="T146" s="697"/>
      <c r="U146" s="697"/>
      <c r="V146" s="697"/>
      <c r="W146" s="697"/>
      <c r="X146" s="698"/>
    </row>
    <row r="147" spans="2:24" s="32" customFormat="1" ht="6" customHeight="1" x14ac:dyDescent="0.2">
      <c r="C147" s="59"/>
      <c r="D147" s="444"/>
      <c r="E147" s="444"/>
      <c r="F147" s="444"/>
      <c r="G147" s="444"/>
      <c r="H147" s="444"/>
      <c r="I147" s="663"/>
      <c r="J147" s="660"/>
      <c r="K147" s="660"/>
      <c r="L147" s="660"/>
      <c r="M147" s="284"/>
      <c r="O147" s="686"/>
      <c r="P147" s="687"/>
      <c r="Q147" s="697"/>
      <c r="R147" s="697"/>
      <c r="S147" s="697"/>
      <c r="T147" s="697"/>
      <c r="U147" s="697"/>
      <c r="V147" s="697"/>
      <c r="W147" s="697"/>
      <c r="X147" s="698"/>
    </row>
    <row r="148" spans="2:24" s="32" customFormat="1" ht="12" customHeight="1" x14ac:dyDescent="0.2">
      <c r="C148" s="1064"/>
      <c r="D148" s="1065"/>
      <c r="E148" s="1066"/>
      <c r="F148" s="1236">
        <v>0.255</v>
      </c>
      <c r="G148" s="1049"/>
      <c r="H148" s="628" t="s">
        <v>419</v>
      </c>
      <c r="I148" s="454">
        <f>J148/J$33</f>
        <v>0</v>
      </c>
      <c r="J148" s="447">
        <f>J150*J151</f>
        <v>0</v>
      </c>
      <c r="K148" s="1038">
        <f>K150*K151</f>
        <v>0</v>
      </c>
      <c r="L148" s="1038"/>
      <c r="M148" s="447">
        <f>M150*M151</f>
        <v>0</v>
      </c>
      <c r="O148" s="670"/>
      <c r="P148" s="671"/>
      <c r="Q148" s="697"/>
      <c r="R148" s="697"/>
      <c r="S148" s="697"/>
      <c r="T148" s="697"/>
      <c r="U148" s="697"/>
      <c r="V148" s="697"/>
      <c r="W148" s="697"/>
      <c r="X148" s="698"/>
    </row>
    <row r="149" spans="2:24" s="32" customFormat="1" ht="12" customHeight="1" x14ac:dyDescent="0.2">
      <c r="C149" s="1039" t="s">
        <v>424</v>
      </c>
      <c r="D149" s="1040"/>
      <c r="E149" s="1040"/>
      <c r="F149" s="1040"/>
      <c r="G149" s="1041"/>
      <c r="H149" s="1042"/>
      <c r="I149" s="448"/>
      <c r="J149" s="449">
        <v>0</v>
      </c>
      <c r="K149" s="1168">
        <f>J149+J149*O149</f>
        <v>0</v>
      </c>
      <c r="L149" s="1168">
        <f>K149 +K149*O149</f>
        <v>0</v>
      </c>
      <c r="M149" s="449">
        <f>K149+K149*P149</f>
        <v>0</v>
      </c>
      <c r="O149" s="474">
        <v>0.03</v>
      </c>
      <c r="P149" s="474">
        <f>O149</f>
        <v>0.03</v>
      </c>
      <c r="Q149" s="697"/>
      <c r="R149" s="697"/>
      <c r="S149" s="697"/>
      <c r="T149" s="697"/>
      <c r="U149" s="697"/>
      <c r="V149" s="697"/>
      <c r="W149" s="697"/>
      <c r="X149" s="698"/>
    </row>
    <row r="150" spans="2:24" s="32" customFormat="1" ht="12" customHeight="1" x14ac:dyDescent="0.2">
      <c r="C150" s="1043" t="s">
        <v>425</v>
      </c>
      <c r="D150" s="1044"/>
      <c r="E150" s="1044"/>
      <c r="F150" s="1044"/>
      <c r="G150" s="1045"/>
      <c r="H150" s="1046"/>
      <c r="I150" s="531">
        <v>0</v>
      </c>
      <c r="J150" s="450">
        <f>J149/(1+$F148)</f>
        <v>0</v>
      </c>
      <c r="K150" s="1171">
        <f>K149/(1+F148)</f>
        <v>0</v>
      </c>
      <c r="L150" s="1171"/>
      <c r="M150" s="451">
        <f>M149/(1+F148)</f>
        <v>0</v>
      </c>
      <c r="O150" s="670"/>
      <c r="P150" s="671"/>
      <c r="Q150" s="697"/>
      <c r="R150" s="697"/>
      <c r="S150" s="697"/>
      <c r="T150" s="697"/>
      <c r="U150" s="697"/>
      <c r="V150" s="697"/>
      <c r="W150" s="697"/>
      <c r="X150" s="698"/>
    </row>
    <row r="151" spans="2:24" s="32" customFormat="1" ht="12" customHeight="1" x14ac:dyDescent="0.2">
      <c r="C151" s="1197" t="s">
        <v>426</v>
      </c>
      <c r="D151" s="1198"/>
      <c r="E151" s="1198"/>
      <c r="F151" s="1198"/>
      <c r="G151" s="1199"/>
      <c r="H151" s="1200"/>
      <c r="I151" s="446">
        <f>J151/J$33</f>
        <v>0</v>
      </c>
      <c r="J151" s="452">
        <v>0</v>
      </c>
      <c r="K151" s="1037">
        <f>(J151+J151*O151)*12/J$33</f>
        <v>0</v>
      </c>
      <c r="L151" s="1037" t="e">
        <f>K151*12/K$11</f>
        <v>#VALUE!</v>
      </c>
      <c r="M151" s="452">
        <f>K151+K151*P151</f>
        <v>0</v>
      </c>
      <c r="O151" s="474">
        <v>0</v>
      </c>
      <c r="P151" s="474">
        <f>O151</f>
        <v>0</v>
      </c>
      <c r="Q151" s="700"/>
      <c r="R151" s="700"/>
      <c r="S151" s="700"/>
      <c r="T151" s="700"/>
      <c r="U151" s="700"/>
      <c r="V151" s="700"/>
      <c r="W151" s="700"/>
      <c r="X151" s="701"/>
    </row>
    <row r="152" spans="2:24" ht="6" customHeight="1" x14ac:dyDescent="0.2">
      <c r="C152" s="74"/>
      <c r="D152" s="26"/>
      <c r="E152" s="26"/>
      <c r="F152" s="26"/>
      <c r="G152" s="26"/>
      <c r="H152" s="26"/>
      <c r="I152" s="273"/>
      <c r="J152" s="28"/>
      <c r="K152" s="28"/>
      <c r="L152" s="28"/>
      <c r="M152" s="27"/>
      <c r="O152" s="693"/>
      <c r="P152" s="694"/>
      <c r="Q152" s="704"/>
      <c r="R152" s="704"/>
      <c r="S152" s="704"/>
      <c r="T152" s="704"/>
      <c r="U152" s="704"/>
      <c r="V152" s="704"/>
      <c r="W152" s="704"/>
      <c r="X152" s="705"/>
    </row>
    <row r="153" spans="2:24" ht="12" customHeight="1" x14ac:dyDescent="0.2">
      <c r="C153" s="1222" t="str">
        <f>C119</f>
        <v>FÖRSÄLJNINGSPROGNOS (inklusive moms)</v>
      </c>
      <c r="D153" s="1222"/>
      <c r="E153" s="1222"/>
      <c r="F153" s="1222"/>
      <c r="G153" s="1222"/>
      <c r="H153" s="1222"/>
      <c r="I153" s="1052" t="str">
        <f>I119</f>
        <v>1. PERIODEN</v>
      </c>
      <c r="J153" s="1052"/>
      <c r="K153" s="1052" t="str">
        <f>K119</f>
        <v>2. PERIODEN</v>
      </c>
      <c r="L153" s="1052"/>
      <c r="M153" s="554" t="str">
        <f>M119</f>
        <v>3. PERIODEN</v>
      </c>
      <c r="O153" s="665"/>
      <c r="P153" s="664"/>
      <c r="Q153" s="697"/>
      <c r="R153" s="697"/>
      <c r="S153" s="697"/>
      <c r="T153" s="697"/>
      <c r="U153" s="706"/>
      <c r="V153" s="697"/>
      <c r="W153" s="697"/>
      <c r="X153" s="698"/>
    </row>
    <row r="154" spans="2:24" ht="15" customHeight="1" x14ac:dyDescent="0.2">
      <c r="C154" s="1223"/>
      <c r="D154" s="1223"/>
      <c r="E154" s="1223"/>
      <c r="F154" s="1223"/>
      <c r="G154" s="1223"/>
      <c r="H154" s="1223"/>
      <c r="I154" s="1002" t="str">
        <f>I120</f>
        <v>Per månad</v>
      </c>
      <c r="J154" s="555">
        <f>J120</f>
        <v>2026</v>
      </c>
      <c r="K154" s="1224">
        <f>K120</f>
        <v>2027</v>
      </c>
      <c r="L154" s="1224"/>
      <c r="M154" s="555">
        <f>M120</f>
        <v>2028</v>
      </c>
      <c r="O154" s="665"/>
      <c r="P154" s="664"/>
      <c r="Q154" s="697"/>
      <c r="R154" s="697"/>
      <c r="S154" s="697"/>
      <c r="T154" s="697"/>
      <c r="U154" s="697"/>
      <c r="V154" s="697"/>
      <c r="W154" s="697"/>
      <c r="X154" s="698"/>
    </row>
    <row r="155" spans="2:24" ht="12.75" customHeight="1" x14ac:dyDescent="0.2">
      <c r="B155" s="254"/>
      <c r="C155" s="1211" t="str">
        <f>C121</f>
        <v xml:space="preserve"> Längd av  räkenskapsperioden (månader)</v>
      </c>
      <c r="D155" s="1212"/>
      <c r="E155" s="590"/>
      <c r="F155" s="590"/>
      <c r="G155" s="590"/>
      <c r="H155" s="591"/>
      <c r="I155" s="460"/>
      <c r="J155" s="592">
        <f>J121</f>
        <v>12</v>
      </c>
      <c r="K155" s="1162">
        <f>K121</f>
        <v>12</v>
      </c>
      <c r="L155" s="1163"/>
      <c r="M155" s="593">
        <f>M121</f>
        <v>12</v>
      </c>
      <c r="O155" s="665"/>
      <c r="P155" s="664"/>
      <c r="Q155" s="697"/>
      <c r="R155" s="697"/>
      <c r="S155" s="697"/>
      <c r="T155" s="697"/>
      <c r="U155" s="697"/>
      <c r="V155" s="697"/>
      <c r="W155" s="697"/>
      <c r="X155" s="698"/>
    </row>
    <row r="156" spans="2:24" s="32" customFormat="1" ht="12" customHeight="1" x14ac:dyDescent="0.2">
      <c r="B156" s="624"/>
      <c r="C156" s="629"/>
      <c r="D156" s="292"/>
      <c r="E156" s="292"/>
      <c r="F156" s="1237" t="s">
        <v>417</v>
      </c>
      <c r="G156" s="1238"/>
      <c r="H156" s="630"/>
      <c r="I156" s="461"/>
      <c r="J156" s="456"/>
      <c r="K156" s="1239"/>
      <c r="L156" s="1240"/>
      <c r="M156" s="553"/>
      <c r="O156" s="665"/>
      <c r="P156" s="664"/>
      <c r="Q156" s="697"/>
      <c r="R156" s="697"/>
      <c r="S156" s="697"/>
      <c r="T156" s="697"/>
      <c r="U156" s="697"/>
      <c r="V156" s="697"/>
      <c r="W156" s="697"/>
      <c r="X156" s="698"/>
    </row>
    <row r="157" spans="2:24" s="32" customFormat="1" ht="12.75" customHeight="1" x14ac:dyDescent="0.2">
      <c r="B157" s="624"/>
      <c r="C157" s="629"/>
      <c r="D157" s="292"/>
      <c r="E157" s="292"/>
      <c r="F157" s="594" t="s">
        <v>420</v>
      </c>
      <c r="G157" s="595" t="s">
        <v>421</v>
      </c>
      <c r="H157" s="630"/>
      <c r="I157" s="459"/>
      <c r="J157" s="456"/>
      <c r="K157" s="1245"/>
      <c r="L157" s="1246"/>
      <c r="M157" s="458"/>
      <c r="O157" s="665"/>
      <c r="P157" s="664"/>
      <c r="Q157" s="697"/>
      <c r="R157" s="697"/>
      <c r="S157" s="697"/>
      <c r="T157" s="697"/>
      <c r="U157" s="697"/>
      <c r="V157" s="697"/>
      <c r="W157" s="697"/>
      <c r="X157" s="698"/>
    </row>
    <row r="158" spans="2:24" s="32" customFormat="1" ht="12" customHeight="1" x14ac:dyDescent="0.2">
      <c r="C158" s="1256" t="s">
        <v>422</v>
      </c>
      <c r="D158" s="1225"/>
      <c r="E158" s="1225"/>
      <c r="F158" s="631">
        <v>0.255</v>
      </c>
      <c r="G158" s="631">
        <v>0.255</v>
      </c>
      <c r="H158" s="455" t="s">
        <v>419</v>
      </c>
      <c r="I158" s="454">
        <f>J158/J$33</f>
        <v>0</v>
      </c>
      <c r="J158" s="447">
        <f>J159/(1+$F158)*J160</f>
        <v>0</v>
      </c>
      <c r="K158" s="1038">
        <f>K159/(1+F158)*K160</f>
        <v>0</v>
      </c>
      <c r="L158" s="1038"/>
      <c r="M158" s="447">
        <f>M160*M159/(1+F158)</f>
        <v>0</v>
      </c>
      <c r="O158" s="1160" t="s">
        <v>415</v>
      </c>
      <c r="P158" s="1161"/>
      <c r="Q158" s="697"/>
      <c r="R158" s="697"/>
      <c r="S158" s="697"/>
      <c r="T158" s="697"/>
      <c r="U158" s="697"/>
      <c r="V158" s="697"/>
      <c r="W158" s="697"/>
      <c r="X158" s="698"/>
    </row>
    <row r="159" spans="2:24" s="32" customFormat="1" ht="12.75" customHeight="1" x14ac:dyDescent="0.2">
      <c r="C159" s="1040" t="s">
        <v>427</v>
      </c>
      <c r="D159" s="1040"/>
      <c r="E159" s="1040"/>
      <c r="F159" s="1040"/>
      <c r="G159" s="1041"/>
      <c r="H159" s="1042"/>
      <c r="I159" s="531">
        <v>0</v>
      </c>
      <c r="J159" s="449">
        <v>0</v>
      </c>
      <c r="K159" s="1168">
        <f>J159+J159*O159</f>
        <v>0</v>
      </c>
      <c r="L159" s="1168">
        <f>K159 +K159*O159</f>
        <v>0</v>
      </c>
      <c r="M159" s="449">
        <f>K159+K159*P159</f>
        <v>0</v>
      </c>
      <c r="O159" s="474">
        <v>0.03</v>
      </c>
      <c r="P159" s="474">
        <f>O159</f>
        <v>0.03</v>
      </c>
      <c r="Q159" s="697"/>
      <c r="R159" s="697"/>
      <c r="S159" s="697"/>
      <c r="T159" s="697"/>
      <c r="U159" s="697"/>
      <c r="V159" s="697"/>
      <c r="W159" s="697"/>
      <c r="X159" s="698"/>
    </row>
    <row r="160" spans="2:24" s="32" customFormat="1" ht="12.75" customHeight="1" x14ac:dyDescent="0.2">
      <c r="C160" s="1071" t="s">
        <v>428</v>
      </c>
      <c r="D160" s="1071"/>
      <c r="E160" s="1071"/>
      <c r="F160" s="1071"/>
      <c r="G160" s="1072"/>
      <c r="H160" s="1073"/>
      <c r="I160" s="446">
        <f>J160/J$33</f>
        <v>0</v>
      </c>
      <c r="J160" s="452">
        <v>0</v>
      </c>
      <c r="K160" s="1037">
        <f>(J160+J160*O160)*12/J$33</f>
        <v>0</v>
      </c>
      <c r="L160" s="1037" t="e">
        <f>K160*12/K$11</f>
        <v>#VALUE!</v>
      </c>
      <c r="M160" s="452">
        <f>K160+K160*P160</f>
        <v>0</v>
      </c>
      <c r="O160" s="474">
        <v>0</v>
      </c>
      <c r="P160" s="474">
        <f>O160</f>
        <v>0</v>
      </c>
      <c r="Q160" s="697"/>
      <c r="R160" s="697"/>
      <c r="S160" s="697"/>
      <c r="T160" s="697"/>
      <c r="U160" s="697"/>
      <c r="V160" s="697"/>
      <c r="W160" s="697"/>
      <c r="X160" s="698"/>
    </row>
    <row r="161" spans="3:37" s="32" customFormat="1" ht="12.75" customHeight="1" x14ac:dyDescent="0.2">
      <c r="C161" s="1071" t="s">
        <v>429</v>
      </c>
      <c r="D161" s="1071"/>
      <c r="E161" s="1071"/>
      <c r="F161" s="1071"/>
      <c r="G161" s="1072"/>
      <c r="H161" s="1073"/>
      <c r="I161" s="531">
        <v>0</v>
      </c>
      <c r="J161" s="449">
        <v>0</v>
      </c>
      <c r="K161" s="1168">
        <f>J161+J161*O161</f>
        <v>0</v>
      </c>
      <c r="L161" s="1168">
        <f>K161 +K161*O161</f>
        <v>0</v>
      </c>
      <c r="M161" s="449">
        <f>K161+K161*P161</f>
        <v>0</v>
      </c>
      <c r="O161" s="474">
        <v>0.03</v>
      </c>
      <c r="P161" s="474">
        <f>O161</f>
        <v>0.03</v>
      </c>
      <c r="Q161" s="697"/>
      <c r="R161" s="697"/>
      <c r="S161" s="697"/>
      <c r="T161" s="697"/>
      <c r="U161" s="697"/>
      <c r="V161" s="697"/>
      <c r="W161" s="697"/>
      <c r="X161" s="698"/>
    </row>
    <row r="162" spans="3:37" s="32" customFormat="1" ht="12.75" customHeight="1" x14ac:dyDescent="0.2">
      <c r="C162" s="1071" t="s">
        <v>430</v>
      </c>
      <c r="D162" s="1071"/>
      <c r="E162" s="1071"/>
      <c r="F162" s="1071"/>
      <c r="G162" s="1072"/>
      <c r="H162" s="1073"/>
      <c r="I162" s="531">
        <v>0</v>
      </c>
      <c r="J162" s="450">
        <f>J161/(1+$G158)</f>
        <v>0</v>
      </c>
      <c r="K162" s="1171">
        <f t="shared" ref="K162:L162" si="27">K161/(1+$G158)</f>
        <v>0</v>
      </c>
      <c r="L162" s="1171">
        <f t="shared" si="27"/>
        <v>0</v>
      </c>
      <c r="M162" s="450">
        <f>M161/(1+$G158)</f>
        <v>0</v>
      </c>
      <c r="N162" s="632"/>
      <c r="O162" s="670"/>
      <c r="P162" s="671"/>
      <c r="Q162" s="697"/>
      <c r="R162" s="697"/>
      <c r="S162" s="697"/>
      <c r="T162" s="697"/>
      <c r="U162" s="697"/>
      <c r="V162" s="697"/>
      <c r="W162" s="697"/>
      <c r="X162" s="698"/>
    </row>
    <row r="163" spans="3:37" s="32" customFormat="1" ht="12.75" customHeight="1" x14ac:dyDescent="0.2">
      <c r="C163" s="1071" t="s">
        <v>431</v>
      </c>
      <c r="D163" s="1071"/>
      <c r="E163" s="1071"/>
      <c r="F163" s="1071"/>
      <c r="G163" s="1072"/>
      <c r="H163" s="1073"/>
      <c r="I163" s="531">
        <v>0</v>
      </c>
      <c r="J163" s="453">
        <f>IF(J159=0,0,(J159/(1+$F158)-J162)/(J159/(1+$F158)))</f>
        <v>0</v>
      </c>
      <c r="K163" s="1207">
        <f t="shared" ref="K163:L163" si="28">IF(K159=0,0,(K159/(1+$F158)-K162)/(K159/(1+$F158)))</f>
        <v>0</v>
      </c>
      <c r="L163" s="1207">
        <f t="shared" si="28"/>
        <v>0</v>
      </c>
      <c r="M163" s="453">
        <f>IF(M159=0,0,(M159/(1+$F158)-M162)/(M159/(1+$F158)))</f>
        <v>0</v>
      </c>
      <c r="N163" s="621"/>
      <c r="O163" s="689"/>
      <c r="P163" s="671"/>
      <c r="Q163" s="697"/>
      <c r="R163" s="697"/>
      <c r="S163" s="697"/>
      <c r="T163" s="697"/>
      <c r="U163" s="697"/>
      <c r="V163" s="697"/>
      <c r="W163" s="697"/>
      <c r="X163" s="698"/>
    </row>
    <row r="164" spans="3:37" s="32" customFormat="1" ht="12.75" customHeight="1" x14ac:dyDescent="0.2">
      <c r="C164" s="1213" t="s">
        <v>432</v>
      </c>
      <c r="D164" s="1214"/>
      <c r="E164" s="1214"/>
      <c r="F164" s="1214"/>
      <c r="G164" s="1215"/>
      <c r="H164" s="1216"/>
      <c r="I164" s="531">
        <v>0</v>
      </c>
      <c r="J164" s="454">
        <f>J158*J163</f>
        <v>0</v>
      </c>
      <c r="K164" s="1075">
        <f>K158*K163</f>
        <v>0</v>
      </c>
      <c r="L164" s="1075"/>
      <c r="M164" s="454">
        <f>M158*M163</f>
        <v>0</v>
      </c>
      <c r="N164" s="632"/>
      <c r="O164" s="670"/>
      <c r="P164" s="671"/>
      <c r="Q164" s="697"/>
      <c r="R164" s="697"/>
      <c r="S164" s="697"/>
      <c r="T164" s="697"/>
      <c r="U164" s="697"/>
      <c r="V164" s="697"/>
      <c r="W164" s="697"/>
      <c r="X164" s="698"/>
    </row>
    <row r="165" spans="3:37" s="32" customFormat="1" ht="6" customHeight="1" x14ac:dyDescent="0.2">
      <c r="C165" s="59"/>
      <c r="H165" s="289"/>
      <c r="I165" s="571"/>
      <c r="J165" s="284"/>
      <c r="K165" s="284"/>
      <c r="L165" s="662"/>
      <c r="M165" s="284"/>
      <c r="N165" s="632"/>
      <c r="O165" s="688"/>
      <c r="P165" s="690"/>
      <c r="Q165" s="697"/>
      <c r="R165" s="697"/>
      <c r="S165" s="697"/>
      <c r="T165" s="697"/>
      <c r="U165" s="697"/>
      <c r="V165" s="697"/>
      <c r="W165" s="697"/>
      <c r="X165" s="698"/>
    </row>
    <row r="166" spans="3:37" s="32" customFormat="1" ht="12" customHeight="1" x14ac:dyDescent="0.2">
      <c r="C166" s="1225">
        <v>0</v>
      </c>
      <c r="D166" s="1225"/>
      <c r="E166" s="1225"/>
      <c r="F166" s="631">
        <v>0.255</v>
      </c>
      <c r="G166" s="631">
        <v>0.255</v>
      </c>
      <c r="H166" s="455" t="s">
        <v>419</v>
      </c>
      <c r="I166" s="454">
        <f>J166/J$33</f>
        <v>0</v>
      </c>
      <c r="J166" s="447">
        <f>J167/(1+$F166)*J168</f>
        <v>0</v>
      </c>
      <c r="K166" s="1038">
        <f>K167/(1+F166)*K168</f>
        <v>0</v>
      </c>
      <c r="L166" s="1038"/>
      <c r="M166" s="447">
        <f>M168*M167/(1+F166)</f>
        <v>0</v>
      </c>
      <c r="N166" s="633"/>
      <c r="O166" s="689"/>
      <c r="P166" s="691"/>
      <c r="Q166" s="707"/>
      <c r="R166" s="697"/>
      <c r="S166" s="697"/>
      <c r="T166" s="697"/>
      <c r="U166" s="697"/>
      <c r="V166" s="697"/>
      <c r="W166" s="697"/>
      <c r="X166" s="698"/>
    </row>
    <row r="167" spans="3:37" s="32" customFormat="1" ht="12.75" customHeight="1" x14ac:dyDescent="0.2">
      <c r="C167" s="1040" t="s">
        <v>427</v>
      </c>
      <c r="D167" s="1040"/>
      <c r="E167" s="1040"/>
      <c r="F167" s="1040"/>
      <c r="G167" s="1041"/>
      <c r="H167" s="1042"/>
      <c r="I167" s="531"/>
      <c r="J167" s="449">
        <v>0</v>
      </c>
      <c r="K167" s="1168">
        <f>J167+J167*O167</f>
        <v>0</v>
      </c>
      <c r="L167" s="1168"/>
      <c r="M167" s="449">
        <f>K167+K167*P167</f>
        <v>0</v>
      </c>
      <c r="N167" s="634"/>
      <c r="O167" s="474">
        <v>0.03</v>
      </c>
      <c r="P167" s="474">
        <f>O167</f>
        <v>0.03</v>
      </c>
      <c r="Q167" s="707"/>
      <c r="R167" s="697"/>
      <c r="S167" s="697"/>
      <c r="T167" s="697"/>
      <c r="U167" s="697"/>
      <c r="V167" s="697"/>
      <c r="W167" s="697"/>
      <c r="X167" s="698"/>
      <c r="AK167" s="635"/>
    </row>
    <row r="168" spans="3:37" s="32" customFormat="1" ht="12.75" customHeight="1" x14ac:dyDescent="0.2">
      <c r="C168" s="1071" t="s">
        <v>428</v>
      </c>
      <c r="D168" s="1071"/>
      <c r="E168" s="1071"/>
      <c r="F168" s="1071"/>
      <c r="G168" s="1072"/>
      <c r="H168" s="1073"/>
      <c r="I168" s="446">
        <f>J168/J$33</f>
        <v>0</v>
      </c>
      <c r="J168" s="452">
        <v>0</v>
      </c>
      <c r="K168" s="1037">
        <f>(J168+J168*O168)*12/J$33</f>
        <v>0</v>
      </c>
      <c r="L168" s="1037" t="e">
        <f>K168*12/K$11</f>
        <v>#VALUE!</v>
      </c>
      <c r="M168" s="452">
        <f>K168+K168*P168</f>
        <v>0</v>
      </c>
      <c r="N168" s="634"/>
      <c r="O168" s="474">
        <v>0</v>
      </c>
      <c r="P168" s="474">
        <f>O168</f>
        <v>0</v>
      </c>
      <c r="Q168" s="707"/>
      <c r="R168" s="697"/>
      <c r="S168" s="697"/>
      <c r="T168" s="697"/>
      <c r="U168" s="697"/>
      <c r="V168" s="697"/>
      <c r="W168" s="697"/>
      <c r="X168" s="698"/>
    </row>
    <row r="169" spans="3:37" s="32" customFormat="1" ht="12.75" customHeight="1" x14ac:dyDescent="0.2">
      <c r="C169" s="1071" t="s">
        <v>429</v>
      </c>
      <c r="D169" s="1071"/>
      <c r="E169" s="1071"/>
      <c r="F169" s="1071"/>
      <c r="G169" s="1072"/>
      <c r="H169" s="1073"/>
      <c r="I169" s="531"/>
      <c r="J169" s="449">
        <v>0</v>
      </c>
      <c r="K169" s="1168">
        <f>J169+J169*O169</f>
        <v>0</v>
      </c>
      <c r="L169" s="1168">
        <f>K169 +K169*O169</f>
        <v>0</v>
      </c>
      <c r="M169" s="449">
        <f>K169+K169*P169</f>
        <v>0</v>
      </c>
      <c r="N169" s="634"/>
      <c r="O169" s="474">
        <v>0.03</v>
      </c>
      <c r="P169" s="474">
        <f>O169</f>
        <v>0.03</v>
      </c>
      <c r="Q169" s="707"/>
      <c r="R169" s="697"/>
      <c r="S169" s="697"/>
      <c r="T169" s="697"/>
      <c r="U169" s="697"/>
      <c r="V169" s="697"/>
      <c r="W169" s="697"/>
      <c r="X169" s="698"/>
    </row>
    <row r="170" spans="3:37" s="32" customFormat="1" ht="12.75" customHeight="1" x14ac:dyDescent="0.2">
      <c r="C170" s="1071" t="s">
        <v>430</v>
      </c>
      <c r="D170" s="1071"/>
      <c r="E170" s="1071"/>
      <c r="F170" s="1071"/>
      <c r="G170" s="1072"/>
      <c r="H170" s="1073"/>
      <c r="I170" s="531"/>
      <c r="J170" s="450">
        <f>J169/(1+$G166)</f>
        <v>0</v>
      </c>
      <c r="K170" s="1171">
        <f>K169/(1+G166)</f>
        <v>0</v>
      </c>
      <c r="L170" s="1171"/>
      <c r="M170" s="450">
        <f>M169/(1+G166)</f>
        <v>0</v>
      </c>
      <c r="N170" s="634"/>
      <c r="O170" s="689"/>
      <c r="P170" s="691"/>
      <c r="Q170" s="707"/>
      <c r="R170" s="697"/>
      <c r="S170" s="697"/>
      <c r="T170" s="697"/>
      <c r="U170" s="697"/>
      <c r="V170" s="697"/>
      <c r="W170" s="697"/>
      <c r="X170" s="698"/>
    </row>
    <row r="171" spans="3:37" s="32" customFormat="1" ht="12.75" customHeight="1" x14ac:dyDescent="0.2">
      <c r="C171" s="1071" t="s">
        <v>431</v>
      </c>
      <c r="D171" s="1071"/>
      <c r="E171" s="1071"/>
      <c r="F171" s="1071"/>
      <c r="G171" s="1072"/>
      <c r="H171" s="1073"/>
      <c r="I171" s="531"/>
      <c r="J171" s="453">
        <f>IF(J167=0,0,(J167/(1+$F166)-J170)/(J167/(1+$F166)))</f>
        <v>0</v>
      </c>
      <c r="K171" s="1207">
        <f t="shared" ref="K171" si="29">IF(K167=0,0,(K167/(1+$F166)-K170)/(K167/(1+$F166)))</f>
        <v>0</v>
      </c>
      <c r="L171" s="1207">
        <f t="shared" ref="L171" si="30">IF(L167=0,0,(L167/(1+$F166)-L170)/(L167/(1+$F166)))</f>
        <v>0</v>
      </c>
      <c r="M171" s="453">
        <f>IF(M167=0,0,(M167/(1+$F166)-M170)/(M167/(1+$F166)))</f>
        <v>0</v>
      </c>
      <c r="N171" s="634"/>
      <c r="O171" s="689"/>
      <c r="P171" s="691"/>
      <c r="Q171" s="707"/>
      <c r="R171" s="697"/>
      <c r="S171" s="697"/>
      <c r="T171" s="697"/>
      <c r="U171" s="697"/>
      <c r="V171" s="697"/>
      <c r="W171" s="697"/>
      <c r="X171" s="698"/>
    </row>
    <row r="172" spans="3:37" s="32" customFormat="1" ht="12.75" customHeight="1" x14ac:dyDescent="0.2">
      <c r="C172" s="1213" t="s">
        <v>432</v>
      </c>
      <c r="D172" s="1214"/>
      <c r="E172" s="1214"/>
      <c r="F172" s="1214"/>
      <c r="G172" s="1215"/>
      <c r="H172" s="1216"/>
      <c r="I172" s="531"/>
      <c r="J172" s="454">
        <f>J166*J171</f>
        <v>0</v>
      </c>
      <c r="K172" s="1075">
        <f>K166*K171</f>
        <v>0</v>
      </c>
      <c r="L172" s="1075"/>
      <c r="M172" s="454">
        <f>M166*M171</f>
        <v>0</v>
      </c>
      <c r="N172" s="634"/>
      <c r="O172" s="689"/>
      <c r="P172" s="691"/>
      <c r="Q172" s="707"/>
      <c r="R172" s="697"/>
      <c r="S172" s="697"/>
      <c r="T172" s="697"/>
      <c r="U172" s="697"/>
      <c r="V172" s="697"/>
      <c r="W172" s="697"/>
      <c r="X172" s="698"/>
    </row>
    <row r="173" spans="3:37" s="32" customFormat="1" ht="6" customHeight="1" x14ac:dyDescent="0.2">
      <c r="C173" s="59"/>
      <c r="H173" s="290"/>
      <c r="I173" s="382"/>
      <c r="J173" s="284"/>
      <c r="K173" s="284"/>
      <c r="L173" s="662"/>
      <c r="M173" s="256"/>
      <c r="N173" s="636"/>
      <c r="O173" s="692"/>
      <c r="P173" s="690"/>
      <c r="Q173" s="697"/>
      <c r="R173" s="697"/>
      <c r="S173" s="697"/>
      <c r="T173" s="697"/>
      <c r="U173" s="697"/>
      <c r="V173" s="697"/>
      <c r="W173" s="697"/>
      <c r="X173" s="698"/>
    </row>
    <row r="174" spans="3:37" s="32" customFormat="1" ht="12" customHeight="1" x14ac:dyDescent="0.2">
      <c r="C174" s="1225">
        <v>0</v>
      </c>
      <c r="D174" s="1225"/>
      <c r="E174" s="1225"/>
      <c r="F174" s="631">
        <v>0.255</v>
      </c>
      <c r="G174" s="631">
        <v>0.255</v>
      </c>
      <c r="H174" s="455" t="s">
        <v>419</v>
      </c>
      <c r="I174" s="454">
        <f>J174/J$33</f>
        <v>0</v>
      </c>
      <c r="J174" s="447">
        <f>J175/(1+$F174)*J176</f>
        <v>0</v>
      </c>
      <c r="K174" s="1038">
        <f>K175/(1+F174)*K176</f>
        <v>0</v>
      </c>
      <c r="L174" s="1038"/>
      <c r="M174" s="447">
        <f>M176*M175/(1+F174)</f>
        <v>0</v>
      </c>
      <c r="O174" s="670"/>
      <c r="P174" s="671"/>
      <c r="Q174" s="697"/>
      <c r="R174" s="697"/>
      <c r="S174" s="697"/>
      <c r="T174" s="697"/>
      <c r="U174" s="697"/>
      <c r="V174" s="697"/>
      <c r="W174" s="697"/>
      <c r="X174" s="698"/>
    </row>
    <row r="175" spans="3:37" s="32" customFormat="1" ht="12.75" customHeight="1" x14ac:dyDescent="0.2">
      <c r="C175" s="1040" t="s">
        <v>427</v>
      </c>
      <c r="D175" s="1040"/>
      <c r="E175" s="1040"/>
      <c r="F175" s="1040"/>
      <c r="G175" s="1041"/>
      <c r="H175" s="1042"/>
      <c r="I175" s="531">
        <v>0</v>
      </c>
      <c r="J175" s="449">
        <v>0</v>
      </c>
      <c r="K175" s="1168">
        <f>J175+J175*O175</f>
        <v>0</v>
      </c>
      <c r="L175" s="1168">
        <f>K175 +K175*O175</f>
        <v>0</v>
      </c>
      <c r="M175" s="449">
        <f>K175+K175*P175</f>
        <v>0</v>
      </c>
      <c r="O175" s="474">
        <v>0.03</v>
      </c>
      <c r="P175" s="474">
        <f>O175</f>
        <v>0.03</v>
      </c>
      <c r="Q175" s="697"/>
      <c r="R175" s="697"/>
      <c r="S175" s="697"/>
      <c r="T175" s="697"/>
      <c r="U175" s="697"/>
      <c r="V175" s="697"/>
      <c r="W175" s="697"/>
      <c r="X175" s="698"/>
    </row>
    <row r="176" spans="3:37" s="32" customFormat="1" ht="12.75" customHeight="1" x14ac:dyDescent="0.2">
      <c r="C176" s="1071" t="s">
        <v>428</v>
      </c>
      <c r="D176" s="1071"/>
      <c r="E176" s="1071"/>
      <c r="F176" s="1071"/>
      <c r="G176" s="1072"/>
      <c r="H176" s="1073"/>
      <c r="I176" s="446">
        <f>J176/J$33</f>
        <v>0</v>
      </c>
      <c r="J176" s="452">
        <v>0</v>
      </c>
      <c r="K176" s="1037">
        <f>(J176+J176*O176)*12/J$33</f>
        <v>0</v>
      </c>
      <c r="L176" s="1037" t="e">
        <f>K176*12/K$11</f>
        <v>#VALUE!</v>
      </c>
      <c r="M176" s="452">
        <f>K176+K176*P176</f>
        <v>0</v>
      </c>
      <c r="O176" s="474">
        <v>0</v>
      </c>
      <c r="P176" s="474">
        <f>O176</f>
        <v>0</v>
      </c>
      <c r="Q176" s="697"/>
      <c r="R176" s="697"/>
      <c r="S176" s="697"/>
      <c r="T176" s="697"/>
      <c r="U176" s="697"/>
      <c r="V176" s="697"/>
      <c r="W176" s="697"/>
      <c r="X176" s="698"/>
    </row>
    <row r="177" spans="3:37" s="32" customFormat="1" ht="12.75" customHeight="1" x14ac:dyDescent="0.2">
      <c r="C177" s="1071" t="s">
        <v>429</v>
      </c>
      <c r="D177" s="1071"/>
      <c r="E177" s="1071"/>
      <c r="F177" s="1071"/>
      <c r="G177" s="1072"/>
      <c r="H177" s="1073"/>
      <c r="I177" s="531">
        <v>0</v>
      </c>
      <c r="J177" s="449">
        <v>0</v>
      </c>
      <c r="K177" s="1168">
        <f>J177+J177*O177</f>
        <v>0</v>
      </c>
      <c r="L177" s="1168">
        <f>K177 +K177*O177</f>
        <v>0</v>
      </c>
      <c r="M177" s="449">
        <f>K177+K177*P177</f>
        <v>0</v>
      </c>
      <c r="O177" s="474">
        <v>0.03</v>
      </c>
      <c r="P177" s="474">
        <f>O177</f>
        <v>0.03</v>
      </c>
      <c r="Q177" s="697"/>
      <c r="R177" s="697"/>
      <c r="S177" s="697"/>
      <c r="T177" s="697"/>
      <c r="U177" s="697"/>
      <c r="V177" s="697"/>
      <c r="W177" s="697"/>
      <c r="X177" s="698"/>
    </row>
    <row r="178" spans="3:37" s="32" customFormat="1" ht="12.75" customHeight="1" x14ac:dyDescent="0.2">
      <c r="C178" s="1071" t="s">
        <v>430</v>
      </c>
      <c r="D178" s="1071"/>
      <c r="E178" s="1071"/>
      <c r="F178" s="1071"/>
      <c r="G178" s="1072"/>
      <c r="H178" s="1073"/>
      <c r="I178" s="531">
        <v>0</v>
      </c>
      <c r="J178" s="450">
        <f>J177/(1+$G174)</f>
        <v>0</v>
      </c>
      <c r="K178" s="1171">
        <f>K177/(1+G174)</f>
        <v>0</v>
      </c>
      <c r="L178" s="1171"/>
      <c r="M178" s="450">
        <f>M177/(1+G174)</f>
        <v>0</v>
      </c>
      <c r="O178" s="670"/>
      <c r="P178" s="671"/>
      <c r="Q178" s="697"/>
      <c r="R178" s="697"/>
      <c r="S178" s="697"/>
      <c r="T178" s="697"/>
      <c r="U178" s="697"/>
      <c r="V178" s="697"/>
      <c r="W178" s="697"/>
      <c r="X178" s="698"/>
    </row>
    <row r="179" spans="3:37" s="32" customFormat="1" ht="12.75" customHeight="1" x14ac:dyDescent="0.2">
      <c r="C179" s="1071" t="s">
        <v>431</v>
      </c>
      <c r="D179" s="1071"/>
      <c r="E179" s="1071"/>
      <c r="F179" s="1071"/>
      <c r="G179" s="1072"/>
      <c r="H179" s="1073"/>
      <c r="I179" s="531">
        <v>0</v>
      </c>
      <c r="J179" s="453">
        <f>IF(J175=0,0,(J175/(1+$F174)-J178)/(J175/(1+$F174)))</f>
        <v>0</v>
      </c>
      <c r="K179" s="1207">
        <f t="shared" ref="K179" si="31">IF(K175=0,0,(K175/(1+$F174)-K178)/(K175/(1+$F174)))</f>
        <v>0</v>
      </c>
      <c r="L179" s="1207">
        <f t="shared" ref="L179" si="32">IF(L175=0,0,(L175/(1+$F174)-L178)/(L175/(1+$F174)))</f>
        <v>0</v>
      </c>
      <c r="M179" s="453">
        <f>IF(M175=0,0,(M175/(1+$F174)-M178)/(M175/(1+$F174)))</f>
        <v>0</v>
      </c>
      <c r="N179" s="620"/>
      <c r="O179" s="670"/>
      <c r="P179" s="671"/>
      <c r="Q179" s="697"/>
      <c r="R179" s="697"/>
      <c r="S179" s="697"/>
      <c r="T179" s="697"/>
      <c r="U179" s="697"/>
      <c r="V179" s="697"/>
      <c r="W179" s="697"/>
      <c r="X179" s="698"/>
    </row>
    <row r="180" spans="3:37" s="32" customFormat="1" ht="12.75" customHeight="1" x14ac:dyDescent="0.2">
      <c r="C180" s="1213" t="s">
        <v>432</v>
      </c>
      <c r="D180" s="1214"/>
      <c r="E180" s="1214"/>
      <c r="F180" s="1214"/>
      <c r="G180" s="1215"/>
      <c r="H180" s="1216"/>
      <c r="I180" s="531">
        <v>0</v>
      </c>
      <c r="J180" s="454">
        <f>J174*J179</f>
        <v>0</v>
      </c>
      <c r="K180" s="1075">
        <f>K174*K179</f>
        <v>0</v>
      </c>
      <c r="L180" s="1075"/>
      <c r="M180" s="454">
        <f>M174*M179</f>
        <v>0</v>
      </c>
      <c r="N180" s="620"/>
      <c r="O180" s="670"/>
      <c r="P180" s="671"/>
      <c r="Q180" s="697"/>
      <c r="R180" s="697"/>
      <c r="S180" s="697"/>
      <c r="T180" s="697"/>
      <c r="U180" s="697"/>
      <c r="V180" s="697"/>
      <c r="W180" s="697"/>
      <c r="X180" s="698"/>
    </row>
    <row r="181" spans="3:37" s="32" customFormat="1" ht="6" customHeight="1" x14ac:dyDescent="0.2">
      <c r="C181" s="59"/>
      <c r="D181" s="291"/>
      <c r="E181" s="291"/>
      <c r="F181" s="291"/>
      <c r="G181" s="291"/>
      <c r="H181" s="291"/>
      <c r="I181" s="572"/>
      <c r="J181" s="660"/>
      <c r="K181" s="660"/>
      <c r="L181" s="660"/>
      <c r="M181" s="660"/>
      <c r="O181" s="680"/>
      <c r="P181" s="681"/>
      <c r="Q181" s="697"/>
      <c r="R181" s="697"/>
      <c r="S181" s="697"/>
      <c r="T181" s="697"/>
      <c r="U181" s="697"/>
      <c r="V181" s="697"/>
      <c r="W181" s="697"/>
      <c r="X181" s="698"/>
    </row>
    <row r="182" spans="3:37" s="32" customFormat="1" ht="12" customHeight="1" x14ac:dyDescent="0.2">
      <c r="C182" s="1225">
        <v>0</v>
      </c>
      <c r="D182" s="1225"/>
      <c r="E182" s="1225"/>
      <c r="F182" s="631">
        <v>0.255</v>
      </c>
      <c r="G182" s="631">
        <v>0.255</v>
      </c>
      <c r="H182" s="455" t="s">
        <v>419</v>
      </c>
      <c r="I182" s="718">
        <f>J182/J$33</f>
        <v>0</v>
      </c>
      <c r="J182" s="447">
        <f>J183/(1+$F182)*J184</f>
        <v>0</v>
      </c>
      <c r="K182" s="1038">
        <f>K183/(1+F182)*K184</f>
        <v>0</v>
      </c>
      <c r="L182" s="1038"/>
      <c r="M182" s="447">
        <f>M184*M183/(1+F182)</f>
        <v>0</v>
      </c>
      <c r="O182" s="670"/>
      <c r="P182" s="671"/>
      <c r="Q182" s="697"/>
      <c r="R182" s="697"/>
      <c r="S182" s="697"/>
      <c r="T182" s="697"/>
      <c r="U182" s="697"/>
      <c r="V182" s="697"/>
      <c r="W182" s="697"/>
      <c r="X182" s="698"/>
    </row>
    <row r="183" spans="3:37" s="32" customFormat="1" ht="12.75" customHeight="1" x14ac:dyDescent="0.2">
      <c r="C183" s="1040" t="s">
        <v>427</v>
      </c>
      <c r="D183" s="1040"/>
      <c r="E183" s="1040"/>
      <c r="F183" s="1040"/>
      <c r="G183" s="1041"/>
      <c r="H183" s="1042"/>
      <c r="I183" s="446">
        <v>0</v>
      </c>
      <c r="J183" s="449">
        <v>0</v>
      </c>
      <c r="K183" s="1168">
        <f>J183+J183*O183</f>
        <v>0</v>
      </c>
      <c r="L183" s="1168">
        <f>K183 +K183*O183</f>
        <v>0</v>
      </c>
      <c r="M183" s="449">
        <f>K183+K183*P183</f>
        <v>0</v>
      </c>
      <c r="O183" s="474">
        <v>0.03</v>
      </c>
      <c r="P183" s="474">
        <f>O183</f>
        <v>0.03</v>
      </c>
      <c r="Q183" s="697"/>
      <c r="R183" s="697"/>
      <c r="S183" s="697"/>
      <c r="T183" s="697"/>
      <c r="U183" s="697"/>
      <c r="V183" s="697"/>
      <c r="W183" s="697"/>
      <c r="X183" s="698"/>
    </row>
    <row r="184" spans="3:37" s="32" customFormat="1" ht="12.75" customHeight="1" x14ac:dyDescent="0.2">
      <c r="C184" s="1071" t="s">
        <v>428</v>
      </c>
      <c r="D184" s="1071"/>
      <c r="E184" s="1071"/>
      <c r="F184" s="1071"/>
      <c r="G184" s="1072"/>
      <c r="H184" s="1073"/>
      <c r="I184" s="448">
        <f>J184/J$33</f>
        <v>0</v>
      </c>
      <c r="J184" s="452">
        <v>0</v>
      </c>
      <c r="K184" s="1037">
        <f>(J184+J184*O184)*12/J$33</f>
        <v>0</v>
      </c>
      <c r="L184" s="1037" t="e">
        <f>K184*12/K$11</f>
        <v>#VALUE!</v>
      </c>
      <c r="M184" s="452">
        <f>K184+K184*P184</f>
        <v>0</v>
      </c>
      <c r="O184" s="474">
        <v>0</v>
      </c>
      <c r="P184" s="474">
        <f>O184</f>
        <v>0</v>
      </c>
      <c r="Q184" s="697"/>
      <c r="R184" s="697"/>
      <c r="S184" s="697"/>
      <c r="T184" s="697"/>
      <c r="U184" s="697"/>
      <c r="V184" s="697"/>
      <c r="W184" s="697"/>
      <c r="X184" s="698"/>
    </row>
    <row r="185" spans="3:37" s="32" customFormat="1" ht="12.75" customHeight="1" x14ac:dyDescent="0.2">
      <c r="C185" s="1071" t="s">
        <v>429</v>
      </c>
      <c r="D185" s="1071"/>
      <c r="E185" s="1071"/>
      <c r="F185" s="1071"/>
      <c r="G185" s="1072"/>
      <c r="H185" s="1073"/>
      <c r="I185" s="446">
        <v>0</v>
      </c>
      <c r="J185" s="449">
        <v>0</v>
      </c>
      <c r="K185" s="1168">
        <f>J185+J185*O185</f>
        <v>0</v>
      </c>
      <c r="L185" s="1168">
        <f>K185 +K185*O185</f>
        <v>0</v>
      </c>
      <c r="M185" s="449">
        <f>K185+K185*P185</f>
        <v>0</v>
      </c>
      <c r="O185" s="474">
        <v>0.03</v>
      </c>
      <c r="P185" s="474">
        <f>O185</f>
        <v>0.03</v>
      </c>
      <c r="Q185" s="697"/>
      <c r="R185" s="697"/>
      <c r="S185" s="697"/>
      <c r="T185" s="697"/>
      <c r="U185" s="697"/>
      <c r="V185" s="697"/>
      <c r="W185" s="697"/>
      <c r="X185" s="698"/>
    </row>
    <row r="186" spans="3:37" s="32" customFormat="1" ht="12.75" customHeight="1" x14ac:dyDescent="0.2">
      <c r="C186" s="1071" t="s">
        <v>430</v>
      </c>
      <c r="D186" s="1071"/>
      <c r="E186" s="1071"/>
      <c r="F186" s="1071"/>
      <c r="G186" s="1072"/>
      <c r="H186" s="1073"/>
      <c r="I186" s="531">
        <v>0</v>
      </c>
      <c r="J186" s="450">
        <f>J185/(1+$G182)</f>
        <v>0</v>
      </c>
      <c r="K186" s="1243">
        <f>K185/(1+G182)</f>
        <v>0</v>
      </c>
      <c r="L186" s="1244"/>
      <c r="M186" s="450">
        <f>M185/(1+G182)</f>
        <v>0</v>
      </c>
      <c r="N186" s="632"/>
      <c r="O186" s="670"/>
      <c r="P186" s="671"/>
      <c r="Q186" s="697"/>
      <c r="R186" s="697"/>
      <c r="S186" s="697"/>
      <c r="T186" s="697"/>
      <c r="U186" s="697"/>
      <c r="V186" s="697"/>
      <c r="W186" s="697"/>
      <c r="X186" s="698"/>
    </row>
    <row r="187" spans="3:37" s="32" customFormat="1" ht="12.75" customHeight="1" x14ac:dyDescent="0.2">
      <c r="C187" s="1071" t="s">
        <v>431</v>
      </c>
      <c r="D187" s="1071"/>
      <c r="E187" s="1071"/>
      <c r="F187" s="1071"/>
      <c r="G187" s="1072"/>
      <c r="H187" s="1073"/>
      <c r="I187" s="531">
        <v>0</v>
      </c>
      <c r="J187" s="453">
        <f>IF(J183=0,0,(J183/(1+$F182)-J186)/(J183/(1+$F182)))</f>
        <v>0</v>
      </c>
      <c r="K187" s="1207">
        <f t="shared" ref="K187" si="33">IF(K183=0,0,(K183/(1+$F182)-K186)/(K183/(1+$F182)))</f>
        <v>0</v>
      </c>
      <c r="L187" s="1207">
        <f t="shared" ref="L187" si="34">IF(L183=0,0,(L183/(1+$F182)-L186)/(L183/(1+$F182)))</f>
        <v>0</v>
      </c>
      <c r="M187" s="453">
        <f>IF(M183=0,0,(M183/(1+$F182)-M186)/(M183/(1+$F182)))</f>
        <v>0</v>
      </c>
      <c r="N187" s="621"/>
      <c r="O187" s="689"/>
      <c r="P187" s="671"/>
      <c r="Q187" s="697"/>
      <c r="R187" s="697"/>
      <c r="S187" s="697"/>
      <c r="T187" s="697"/>
      <c r="U187" s="697"/>
      <c r="V187" s="697"/>
      <c r="W187" s="697"/>
      <c r="X187" s="698"/>
    </row>
    <row r="188" spans="3:37" s="32" customFormat="1" ht="12.75" customHeight="1" x14ac:dyDescent="0.2">
      <c r="C188" s="1213" t="s">
        <v>432</v>
      </c>
      <c r="D188" s="1214"/>
      <c r="E188" s="1214"/>
      <c r="F188" s="1214"/>
      <c r="G188" s="1215"/>
      <c r="H188" s="1216"/>
      <c r="I188" s="531">
        <v>0</v>
      </c>
      <c r="J188" s="454">
        <f>J182*J187</f>
        <v>0</v>
      </c>
      <c r="K188" s="1075">
        <f>K182*K187</f>
        <v>0</v>
      </c>
      <c r="L188" s="1075"/>
      <c r="M188" s="454">
        <f>M182*M187</f>
        <v>0</v>
      </c>
      <c r="N188" s="632"/>
      <c r="O188" s="670"/>
      <c r="P188" s="671"/>
      <c r="Q188" s="697"/>
      <c r="R188" s="697"/>
      <c r="S188" s="697"/>
      <c r="T188" s="697"/>
      <c r="U188" s="697"/>
      <c r="V188" s="697"/>
      <c r="W188" s="697"/>
      <c r="X188" s="698"/>
    </row>
    <row r="189" spans="3:37" s="32" customFormat="1" ht="6" customHeight="1" x14ac:dyDescent="0.2">
      <c r="C189" s="59"/>
      <c r="H189" s="289"/>
      <c r="I189" s="571"/>
      <c r="J189" s="284"/>
      <c r="K189" s="284"/>
      <c r="L189" s="662"/>
      <c r="M189" s="568"/>
      <c r="N189" s="632"/>
      <c r="O189" s="688"/>
      <c r="P189" s="690"/>
      <c r="Q189" s="697"/>
      <c r="R189" s="697"/>
      <c r="S189" s="697"/>
      <c r="T189" s="697"/>
      <c r="U189" s="697"/>
      <c r="V189" s="697"/>
      <c r="W189" s="697"/>
      <c r="X189" s="698"/>
    </row>
    <row r="190" spans="3:37" s="32" customFormat="1" ht="12" customHeight="1" x14ac:dyDescent="0.2">
      <c r="C190" s="1225">
        <v>0</v>
      </c>
      <c r="D190" s="1225"/>
      <c r="E190" s="1225"/>
      <c r="F190" s="631">
        <v>0.255</v>
      </c>
      <c r="G190" s="631">
        <v>0.255</v>
      </c>
      <c r="H190" s="455" t="s">
        <v>419</v>
      </c>
      <c r="I190" s="454">
        <f>J190/J$33</f>
        <v>0</v>
      </c>
      <c r="J190" s="447">
        <f>J191/(1+$F190)*J192</f>
        <v>0</v>
      </c>
      <c r="K190" s="1038">
        <f>K191/(1+F190)*K192</f>
        <v>0</v>
      </c>
      <c r="L190" s="1038"/>
      <c r="M190" s="447">
        <f>M192*M191/(1+F190)</f>
        <v>0</v>
      </c>
      <c r="N190" s="633"/>
      <c r="O190" s="689"/>
      <c r="P190" s="691"/>
      <c r="Q190" s="707"/>
      <c r="R190" s="697"/>
      <c r="S190" s="697"/>
      <c r="T190" s="697"/>
      <c r="U190" s="697"/>
      <c r="V190" s="697"/>
      <c r="W190" s="697"/>
      <c r="X190" s="698"/>
    </row>
    <row r="191" spans="3:37" s="32" customFormat="1" ht="12.75" customHeight="1" x14ac:dyDescent="0.2">
      <c r="C191" s="1040" t="s">
        <v>427</v>
      </c>
      <c r="D191" s="1040"/>
      <c r="E191" s="1040"/>
      <c r="F191" s="1040"/>
      <c r="G191" s="1041"/>
      <c r="H191" s="1042"/>
      <c r="I191" s="531">
        <v>0</v>
      </c>
      <c r="J191" s="449">
        <v>0</v>
      </c>
      <c r="K191" s="1168">
        <f>J191+J191*O191</f>
        <v>0</v>
      </c>
      <c r="L191" s="1168">
        <f>K191 +K191*O191</f>
        <v>0</v>
      </c>
      <c r="M191" s="449">
        <f>K191+K191*P191</f>
        <v>0</v>
      </c>
      <c r="N191" s="634"/>
      <c r="O191" s="474">
        <v>0.03</v>
      </c>
      <c r="P191" s="474">
        <f>O191</f>
        <v>0.03</v>
      </c>
      <c r="Q191" s="707"/>
      <c r="R191" s="697"/>
      <c r="S191" s="697"/>
      <c r="T191" s="697"/>
      <c r="U191" s="697"/>
      <c r="V191" s="697"/>
      <c r="W191" s="697"/>
      <c r="X191" s="698"/>
      <c r="AK191" s="635"/>
    </row>
    <row r="192" spans="3:37" s="32" customFormat="1" ht="12.75" customHeight="1" x14ac:dyDescent="0.2">
      <c r="C192" s="1071" t="s">
        <v>428</v>
      </c>
      <c r="D192" s="1071"/>
      <c r="E192" s="1071"/>
      <c r="F192" s="1071"/>
      <c r="G192" s="1072"/>
      <c r="H192" s="1073"/>
      <c r="I192" s="446">
        <f>J192/J$33</f>
        <v>0</v>
      </c>
      <c r="J192" s="452">
        <v>0</v>
      </c>
      <c r="K192" s="1037">
        <f>(J192+J192*O192)*12/J$33</f>
        <v>0</v>
      </c>
      <c r="L192" s="1037" t="e">
        <f>K192*12/K$11</f>
        <v>#VALUE!</v>
      </c>
      <c r="M192" s="452">
        <f>K192+K192*P192</f>
        <v>0</v>
      </c>
      <c r="N192" s="634"/>
      <c r="O192" s="474">
        <v>0</v>
      </c>
      <c r="P192" s="474">
        <f>O192</f>
        <v>0</v>
      </c>
      <c r="Q192" s="707"/>
      <c r="R192" s="697"/>
      <c r="S192" s="697"/>
      <c r="T192" s="697"/>
      <c r="U192" s="697"/>
      <c r="V192" s="697"/>
      <c r="W192" s="697"/>
      <c r="X192" s="698"/>
    </row>
    <row r="193" spans="2:24" s="32" customFormat="1" ht="12.75" customHeight="1" x14ac:dyDescent="0.2">
      <c r="C193" s="1071" t="s">
        <v>429</v>
      </c>
      <c r="D193" s="1071"/>
      <c r="E193" s="1071"/>
      <c r="F193" s="1071"/>
      <c r="G193" s="1072"/>
      <c r="H193" s="1073"/>
      <c r="I193" s="531">
        <v>0</v>
      </c>
      <c r="J193" s="449">
        <v>0</v>
      </c>
      <c r="K193" s="1168">
        <f>J193+J193*O193</f>
        <v>0</v>
      </c>
      <c r="L193" s="1168">
        <f>K193 +K193*O193</f>
        <v>0</v>
      </c>
      <c r="M193" s="449">
        <f>K193+K193*P193</f>
        <v>0</v>
      </c>
      <c r="N193" s="634"/>
      <c r="O193" s="474">
        <v>0.03</v>
      </c>
      <c r="P193" s="474">
        <f>O193</f>
        <v>0.03</v>
      </c>
      <c r="Q193" s="707"/>
      <c r="R193" s="697"/>
      <c r="S193" s="697"/>
      <c r="T193" s="697"/>
      <c r="U193" s="697"/>
      <c r="V193" s="697"/>
      <c r="W193" s="697"/>
      <c r="X193" s="698"/>
    </row>
    <row r="194" spans="2:24" s="32" customFormat="1" ht="12.75" customHeight="1" x14ac:dyDescent="0.2">
      <c r="C194" s="1071" t="s">
        <v>430</v>
      </c>
      <c r="D194" s="1071"/>
      <c r="E194" s="1071"/>
      <c r="F194" s="1071"/>
      <c r="G194" s="1072"/>
      <c r="H194" s="1073"/>
      <c r="I194" s="531">
        <v>0</v>
      </c>
      <c r="J194" s="450">
        <f>J193/(1+$G190)</f>
        <v>0</v>
      </c>
      <c r="K194" s="1171">
        <f>K193/(1+G190)</f>
        <v>0</v>
      </c>
      <c r="L194" s="1171"/>
      <c r="M194" s="450">
        <f>M193/(1+G190)</f>
        <v>0</v>
      </c>
      <c r="N194" s="634"/>
      <c r="O194" s="689"/>
      <c r="P194" s="691"/>
      <c r="Q194" s="707"/>
      <c r="R194" s="697"/>
      <c r="S194" s="697"/>
      <c r="T194" s="697"/>
      <c r="U194" s="697"/>
      <c r="V194" s="697"/>
      <c r="W194" s="697"/>
      <c r="X194" s="698"/>
    </row>
    <row r="195" spans="2:24" s="32" customFormat="1" ht="12.75" customHeight="1" x14ac:dyDescent="0.2">
      <c r="C195" s="1071" t="s">
        <v>431</v>
      </c>
      <c r="D195" s="1071"/>
      <c r="E195" s="1071"/>
      <c r="F195" s="1071"/>
      <c r="G195" s="1072"/>
      <c r="H195" s="1073"/>
      <c r="I195" s="531">
        <v>0</v>
      </c>
      <c r="J195" s="453">
        <f>IF(J191=0,0,(J191/(1+$F190)-J194)/(J191/(1+$F190)))</f>
        <v>0</v>
      </c>
      <c r="K195" s="1207">
        <f t="shared" ref="K195" si="35">IF(K191=0,0,(K191/(1+$F190)-K194)/(K191/(1+$F190)))</f>
        <v>0</v>
      </c>
      <c r="L195" s="1207">
        <f t="shared" ref="L195" si="36">IF(L191=0,0,(L191/(1+$F190)-L194)/(L191/(1+$F190)))</f>
        <v>0</v>
      </c>
      <c r="M195" s="453">
        <f>IF(M191=0,0,(M191/(1+$F190)-M194)/(M191/(1+$F190)))</f>
        <v>0</v>
      </c>
      <c r="N195" s="634"/>
      <c r="O195" s="689"/>
      <c r="P195" s="691"/>
      <c r="Q195" s="707"/>
      <c r="R195" s="697"/>
      <c r="S195" s="697"/>
      <c r="T195" s="697"/>
      <c r="U195" s="697"/>
      <c r="V195" s="697"/>
      <c r="W195" s="697"/>
      <c r="X195" s="698"/>
    </row>
    <row r="196" spans="2:24" s="32" customFormat="1" ht="12.75" customHeight="1" x14ac:dyDescent="0.2">
      <c r="C196" s="1213" t="s">
        <v>432</v>
      </c>
      <c r="D196" s="1214"/>
      <c r="E196" s="1214"/>
      <c r="F196" s="1214"/>
      <c r="G196" s="1215"/>
      <c r="H196" s="1216"/>
      <c r="I196" s="531">
        <v>0</v>
      </c>
      <c r="J196" s="454">
        <f>J190*J195</f>
        <v>0</v>
      </c>
      <c r="K196" s="1075">
        <f>K190*K195</f>
        <v>0</v>
      </c>
      <c r="L196" s="1075"/>
      <c r="M196" s="454">
        <f>M190*M195</f>
        <v>0</v>
      </c>
      <c r="N196" s="634"/>
      <c r="O196" s="689"/>
      <c r="P196" s="691"/>
      <c r="Q196" s="707"/>
      <c r="R196" s="697"/>
      <c r="S196" s="697"/>
      <c r="T196" s="697"/>
      <c r="U196" s="697"/>
      <c r="V196" s="697"/>
      <c r="W196" s="697"/>
      <c r="X196" s="698"/>
    </row>
    <row r="197" spans="2:24" s="32" customFormat="1" ht="6" customHeight="1" x14ac:dyDescent="0.2">
      <c r="C197" s="59"/>
      <c r="H197" s="290"/>
      <c r="I197" s="382"/>
      <c r="J197" s="284"/>
      <c r="K197" s="284"/>
      <c r="L197" s="662"/>
      <c r="M197" s="284"/>
      <c r="O197" s="692"/>
      <c r="P197" s="690"/>
      <c r="Q197" s="697"/>
      <c r="R197" s="697"/>
      <c r="S197" s="697"/>
      <c r="T197" s="697"/>
      <c r="U197" s="697"/>
      <c r="V197" s="697"/>
      <c r="W197" s="697"/>
      <c r="X197" s="698"/>
    </row>
    <row r="198" spans="2:24" s="32" customFormat="1" ht="12" customHeight="1" x14ac:dyDescent="0.2">
      <c r="C198" s="1225" t="s">
        <v>423</v>
      </c>
      <c r="D198" s="1225"/>
      <c r="E198" s="1225"/>
      <c r="F198" s="1226">
        <v>0.255</v>
      </c>
      <c r="G198" s="1227"/>
      <c r="H198" s="455" t="s">
        <v>419</v>
      </c>
      <c r="I198" s="454">
        <f>J198/J$33</f>
        <v>0</v>
      </c>
      <c r="J198" s="447">
        <f>IF(J199=0,0,J199*J200)-'2 Myynnin ALV'!B18</f>
        <v>0</v>
      </c>
      <c r="K198" s="1038">
        <f>IF(K199=0,0,K199*K200)-'2 Myynnin ALV'!C18</f>
        <v>0</v>
      </c>
      <c r="L198" s="1038"/>
      <c r="M198" s="447">
        <f>IF(M199=0,0,M199*M200)-'2 Myynnin ALV'!D18</f>
        <v>0</v>
      </c>
      <c r="O198" s="670"/>
      <c r="P198" s="671"/>
      <c r="Q198" s="697"/>
      <c r="R198" s="697"/>
      <c r="S198" s="697"/>
      <c r="T198" s="697"/>
      <c r="U198" s="697"/>
      <c r="V198" s="697"/>
      <c r="W198" s="697"/>
      <c r="X198" s="698"/>
    </row>
    <row r="199" spans="2:24" s="32" customFormat="1" ht="12.75" customHeight="1" x14ac:dyDescent="0.2">
      <c r="C199" s="1228" t="s">
        <v>427</v>
      </c>
      <c r="D199" s="1229"/>
      <c r="E199" s="1229"/>
      <c r="F199" s="1229"/>
      <c r="G199" s="1230"/>
      <c r="H199" s="1231"/>
      <c r="I199" s="531">
        <v>0</v>
      </c>
      <c r="J199" s="449">
        <v>0</v>
      </c>
      <c r="K199" s="1168">
        <f>J199+J199*O199</f>
        <v>0</v>
      </c>
      <c r="L199" s="1168">
        <f>K199 +K199*O199</f>
        <v>0</v>
      </c>
      <c r="M199" s="449">
        <f>K199+K199*P199</f>
        <v>0</v>
      </c>
      <c r="O199" s="474">
        <v>0.03</v>
      </c>
      <c r="P199" s="474">
        <f>O199</f>
        <v>0.03</v>
      </c>
      <c r="Q199" s="697"/>
      <c r="R199" s="697"/>
      <c r="S199" s="697"/>
      <c r="T199" s="697"/>
      <c r="U199" s="697"/>
      <c r="V199" s="697"/>
      <c r="W199" s="697"/>
      <c r="X199" s="698"/>
    </row>
    <row r="200" spans="2:24" s="32" customFormat="1" ht="12.75" customHeight="1" x14ac:dyDescent="0.2">
      <c r="C200" s="1218" t="s">
        <v>428</v>
      </c>
      <c r="D200" s="1071"/>
      <c r="E200" s="1071"/>
      <c r="F200" s="1071"/>
      <c r="G200" s="1072"/>
      <c r="H200" s="1073"/>
      <c r="I200" s="446">
        <f>J200/J$33</f>
        <v>0</v>
      </c>
      <c r="J200" s="452">
        <v>0</v>
      </c>
      <c r="K200" s="1037">
        <f>(J200+J200*O200)*12/J$33</f>
        <v>0</v>
      </c>
      <c r="L200" s="1037" t="e">
        <f>K200*12/K$11</f>
        <v>#VALUE!</v>
      </c>
      <c r="M200" s="452">
        <f>K200+K200*P200</f>
        <v>0</v>
      </c>
      <c r="O200" s="474">
        <v>0</v>
      </c>
      <c r="P200" s="474">
        <f>O200</f>
        <v>0</v>
      </c>
      <c r="Q200" s="697"/>
      <c r="R200" s="697"/>
      <c r="S200" s="697"/>
      <c r="T200" s="697"/>
      <c r="U200" s="697"/>
      <c r="V200" s="697"/>
      <c r="W200" s="697"/>
      <c r="X200" s="698"/>
    </row>
    <row r="201" spans="2:24" s="32" customFormat="1" ht="12.75" customHeight="1" x14ac:dyDescent="0.2">
      <c r="C201" s="1218" t="s">
        <v>433</v>
      </c>
      <c r="D201" s="1071"/>
      <c r="E201" s="1071"/>
      <c r="F201" s="1071"/>
      <c r="G201" s="1072"/>
      <c r="H201" s="1073"/>
      <c r="I201" s="531">
        <v>0</v>
      </c>
      <c r="J201" s="449">
        <v>0</v>
      </c>
      <c r="K201" s="1168">
        <f>J201+J201*O201</f>
        <v>0</v>
      </c>
      <c r="L201" s="1168">
        <f>K201 +K201*O201</f>
        <v>0</v>
      </c>
      <c r="M201" s="449">
        <f>K201+K201*P201</f>
        <v>0</v>
      </c>
      <c r="O201" s="474">
        <v>0.03</v>
      </c>
      <c r="P201" s="474">
        <f>O201</f>
        <v>0.03</v>
      </c>
      <c r="Q201" s="697"/>
      <c r="R201" s="697"/>
      <c r="S201" s="697"/>
      <c r="T201" s="697"/>
      <c r="U201" s="697"/>
      <c r="V201" s="697"/>
      <c r="W201" s="697"/>
      <c r="X201" s="698"/>
    </row>
    <row r="202" spans="2:24" s="32" customFormat="1" ht="12.75" customHeight="1" x14ac:dyDescent="0.2">
      <c r="C202" s="1218" t="s">
        <v>431</v>
      </c>
      <c r="D202" s="1071"/>
      <c r="E202" s="1071"/>
      <c r="F202" s="1071"/>
      <c r="G202" s="1072"/>
      <c r="H202" s="1073"/>
      <c r="I202" s="531">
        <v>0</v>
      </c>
      <c r="J202" s="453">
        <f>IF(J201=0,0,(J198-J203)/J198)</f>
        <v>0</v>
      </c>
      <c r="K202" s="1207">
        <f t="shared" ref="K202:L202" si="37">IF(K201=0,0,(K198-K203)/K198)</f>
        <v>0</v>
      </c>
      <c r="L202" s="1207">
        <f t="shared" si="37"/>
        <v>0</v>
      </c>
      <c r="M202" s="453">
        <f>IF(M201=0,0,(M198-M203)/M198)</f>
        <v>0</v>
      </c>
      <c r="O202" s="670"/>
      <c r="P202" s="671"/>
      <c r="Q202" s="697"/>
      <c r="R202" s="697"/>
      <c r="S202" s="697"/>
      <c r="T202" s="697"/>
      <c r="U202" s="697"/>
      <c r="V202" s="697"/>
      <c r="W202" s="697"/>
      <c r="X202" s="698"/>
    </row>
    <row r="203" spans="2:24" s="32" customFormat="1" ht="12.75" customHeight="1" x14ac:dyDescent="0.2">
      <c r="C203" s="1232" t="s">
        <v>434</v>
      </c>
      <c r="D203" s="1233"/>
      <c r="E203" s="1233"/>
      <c r="F203" s="1233"/>
      <c r="G203" s="1234"/>
      <c r="H203" s="1235"/>
      <c r="I203" s="531">
        <v>0</v>
      </c>
      <c r="J203" s="454">
        <f>J200*J201</f>
        <v>0</v>
      </c>
      <c r="K203" s="1075">
        <f t="shared" ref="K203:L203" si="38">K200*K201</f>
        <v>0</v>
      </c>
      <c r="L203" s="1075" t="e">
        <f t="shared" si="38"/>
        <v>#VALUE!</v>
      </c>
      <c r="M203" s="454">
        <f>M200*M201</f>
        <v>0</v>
      </c>
      <c r="N203" s="620"/>
      <c r="O203" s="670"/>
      <c r="P203" s="671"/>
      <c r="Q203" s="697"/>
      <c r="R203" s="697"/>
      <c r="S203" s="697"/>
      <c r="T203" s="697"/>
      <c r="U203" s="697"/>
      <c r="V203" s="697"/>
      <c r="W203" s="697"/>
      <c r="X203" s="698"/>
    </row>
    <row r="204" spans="2:24" s="32" customFormat="1" ht="8.25" customHeight="1" x14ac:dyDescent="0.2">
      <c r="O204" s="946"/>
      <c r="Q204" s="947"/>
      <c r="R204" s="947"/>
      <c r="S204" s="702"/>
      <c r="T204" s="947"/>
      <c r="U204" s="947"/>
      <c r="V204" s="947"/>
      <c r="W204" s="947"/>
      <c r="X204" s="948"/>
    </row>
    <row r="205" spans="2:24" s="32" customFormat="1" ht="15" customHeight="1" x14ac:dyDescent="0.2">
      <c r="B205" s="25" t="s">
        <v>0</v>
      </c>
      <c r="C205" s="464" t="s">
        <v>158</v>
      </c>
      <c r="D205" s="465" t="s">
        <v>435</v>
      </c>
      <c r="E205" s="465"/>
      <c r="F205" s="466"/>
      <c r="G205" s="466"/>
      <c r="H205" s="466"/>
      <c r="I205" s="466"/>
      <c r="J205" s="472">
        <f>J123+J128+J133+J164+J172+J180+J188+J196+J198*J202+J138+J143+J148</f>
        <v>0</v>
      </c>
      <c r="K205" s="1206">
        <f>K123+K128+K133+K164+K172+K180+K188+K196+K198*K202+K138+K143+K148</f>
        <v>0</v>
      </c>
      <c r="L205" s="1206">
        <f>L123+L128+L133+L164+L172+L180+L188+L196+L198*L202+L138+L143+L148</f>
        <v>0</v>
      </c>
      <c r="M205" s="467">
        <f>M123+M128+M133+M164+M172+M180+M188+M196+M198*M202+M138+M143+M148</f>
        <v>0</v>
      </c>
      <c r="O205" s="699"/>
      <c r="P205" s="697"/>
      <c r="Q205" s="697"/>
      <c r="R205" s="697"/>
      <c r="S205" s="697"/>
      <c r="T205" s="697"/>
      <c r="U205" s="697"/>
      <c r="V205" s="697"/>
      <c r="W205" s="697"/>
      <c r="X205" s="698"/>
    </row>
    <row r="206" spans="2:24" s="32" customFormat="1" ht="15" customHeight="1" x14ac:dyDescent="0.2">
      <c r="B206" s="25"/>
      <c r="C206" s="576" t="s">
        <v>159</v>
      </c>
      <c r="D206" s="523" t="s">
        <v>436</v>
      </c>
      <c r="E206" s="465"/>
      <c r="F206" s="466"/>
      <c r="G206" s="466"/>
      <c r="H206" s="466"/>
      <c r="I206" s="466"/>
      <c r="J206" s="472">
        <f>-(J34+J37+J42+J47+J52+J55+J59+J74+J75+J83+J87+J92+J93+J98+J101+J104+J108+J112+J113+J114+J115+J46+J38+J116)</f>
        <v>0</v>
      </c>
      <c r="K206" s="1206">
        <f>-(K34+K37+K42+K47+K52+K55+K59+K74+K75+K83+K87+K92+K93+K98+K101+K104+K108+K112+K113+K114+K115+K46+K38+K116)</f>
        <v>0</v>
      </c>
      <c r="L206" s="1206" t="e">
        <f>-(L34+L37+L42+L47+L52+L55+L59+L74+L75+L83+L87+L92+L93+L98+L101+L104+L108+L112+L113+L114+L115+L46+L38)</f>
        <v>#VALUE!</v>
      </c>
      <c r="M206" s="467">
        <f>-(M34+M37+M42+M47+M52+M55+M59+M74+M75+M83+M87+M92+M93+M98+M101+M104+M108+M112+M113+M114+M115+M46+M38+M116)</f>
        <v>0</v>
      </c>
      <c r="N206" s="31"/>
      <c r="O206" s="699"/>
      <c r="P206" s="697"/>
      <c r="Q206" s="697"/>
      <c r="R206" s="697"/>
      <c r="S206" s="697"/>
      <c r="T206" s="697"/>
      <c r="U206" s="697"/>
      <c r="V206" s="697"/>
      <c r="W206" s="697"/>
      <c r="X206" s="698"/>
    </row>
    <row r="207" spans="2:24" s="32" customFormat="1" ht="15" customHeight="1" x14ac:dyDescent="0.2">
      <c r="B207" s="25"/>
      <c r="C207" s="468" t="s">
        <v>160</v>
      </c>
      <c r="D207" s="469" t="s">
        <v>437</v>
      </c>
      <c r="E207" s="469"/>
      <c r="F207" s="470"/>
      <c r="G207" s="470"/>
      <c r="H207" s="470"/>
      <c r="I207" s="470"/>
      <c r="J207" s="473">
        <f>J205+J206</f>
        <v>0</v>
      </c>
      <c r="K207" s="1209">
        <f>K205+K206</f>
        <v>0</v>
      </c>
      <c r="L207" s="1210"/>
      <c r="M207" s="473">
        <f>M205+M206</f>
        <v>0</v>
      </c>
      <c r="O207" s="699"/>
      <c r="P207" s="697"/>
      <c r="Q207" s="697"/>
      <c r="R207" s="937"/>
      <c r="S207" s="697"/>
      <c r="T207" s="697"/>
      <c r="U207" s="697"/>
      <c r="V207" s="697"/>
      <c r="W207" s="697"/>
      <c r="X207" s="698"/>
    </row>
    <row r="208" spans="2:24" s="32" customFormat="1" ht="15" customHeight="1" x14ac:dyDescent="0.2">
      <c r="B208" s="25"/>
      <c r="C208" s="576" t="s">
        <v>161</v>
      </c>
      <c r="D208" s="523" t="s">
        <v>438</v>
      </c>
      <c r="E208" s="465"/>
      <c r="F208" s="466"/>
      <c r="G208" s="466"/>
      <c r="H208" s="466"/>
      <c r="I208" s="466"/>
      <c r="J208" s="472">
        <f>2*(-J206/J33)</f>
        <v>0</v>
      </c>
      <c r="K208" s="1206">
        <f>-2*K206/K33</f>
        <v>0</v>
      </c>
      <c r="L208" s="1206"/>
      <c r="M208" s="467">
        <f>-2*M206/M33</f>
        <v>0</v>
      </c>
      <c r="O208" s="699"/>
      <c r="P208" s="697"/>
      <c r="Q208" s="697"/>
      <c r="R208" s="697"/>
      <c r="S208" s="697"/>
      <c r="T208" s="697"/>
      <c r="U208" s="697"/>
      <c r="V208" s="697"/>
      <c r="W208" s="697"/>
      <c r="X208" s="698"/>
    </row>
    <row r="209" spans="2:24" s="30" customFormat="1" ht="15" customHeight="1" x14ac:dyDescent="0.2">
      <c r="B209" s="90"/>
      <c r="C209" s="464"/>
      <c r="D209" s="523" t="s">
        <v>439</v>
      </c>
      <c r="E209" s="523"/>
      <c r="F209" s="466"/>
      <c r="G209" s="466"/>
      <c r="H209" s="466"/>
      <c r="I209" s="466"/>
      <c r="J209" s="472">
        <f>J38</f>
        <v>0</v>
      </c>
      <c r="K209" s="1206">
        <f>K38</f>
        <v>0</v>
      </c>
      <c r="L209" s="1206"/>
      <c r="M209" s="467">
        <f>M38</f>
        <v>0</v>
      </c>
      <c r="N209" s="637"/>
      <c r="O209" s="699"/>
      <c r="P209" s="697"/>
      <c r="Q209" s="697"/>
      <c r="R209" s="937"/>
      <c r="S209" s="697"/>
      <c r="T209" s="697"/>
      <c r="U209" s="697"/>
      <c r="V209" s="697"/>
      <c r="W209" s="697"/>
      <c r="X209" s="698"/>
    </row>
    <row r="210" spans="2:24" s="32" customFormat="1" ht="6" customHeight="1" x14ac:dyDescent="0.2">
      <c r="B210" s="25"/>
      <c r="C210" s="256"/>
      <c r="D210" s="429"/>
      <c r="E210" s="429"/>
      <c r="F210" s="444"/>
      <c r="G210" s="444"/>
      <c r="H210" s="444"/>
      <c r="I210" s="444"/>
      <c r="J210" s="275"/>
      <c r="K210" s="275"/>
      <c r="L210" s="275"/>
      <c r="M210" s="275"/>
      <c r="O210" s="699"/>
      <c r="P210" s="697"/>
      <c r="Q210" s="697"/>
      <c r="R210" s="697"/>
      <c r="S210" s="697"/>
      <c r="T210" s="697"/>
      <c r="U210" s="697"/>
      <c r="V210" s="697"/>
      <c r="W210" s="697"/>
      <c r="X210" s="698"/>
    </row>
    <row r="211" spans="2:24" s="32" customFormat="1" ht="15" customHeight="1" x14ac:dyDescent="0.2">
      <c r="B211" s="25"/>
      <c r="C211" s="464" t="s">
        <v>162</v>
      </c>
      <c r="D211" s="465" t="s">
        <v>440</v>
      </c>
      <c r="E211" s="465"/>
      <c r="F211" s="466"/>
      <c r="G211" s="466"/>
      <c r="H211" s="466"/>
      <c r="I211" s="466"/>
      <c r="J211" s="472">
        <f>-('4 AT Lainat ja avustukset alv'!F5+'4 AT Lainat ja avustukset alv'!F9+'4 AT Lainat ja avustukset alv'!F13)</f>
        <v>0</v>
      </c>
      <c r="K211" s="1206">
        <f>-('4 AT Lainat ja avustukset alv'!G5+'4 AT Lainat ja avustukset alv'!G9+'4 AT Lainat ja avustukset alv'!G13)</f>
        <v>0</v>
      </c>
      <c r="L211" s="1206">
        <f>-('4 AT Lainat ja avustukset alv'!H5+'4 AT Lainat ja avustukset alv'!H9+'4 AT Lainat ja avustukset alv'!H13)</f>
        <v>0</v>
      </c>
      <c r="M211" s="472">
        <f>-('4 AT Lainat ja avustukset alv'!H5+'4 AT Lainat ja avustukset alv'!H9+'4 AT Lainat ja avustukset alv'!H13)</f>
        <v>0</v>
      </c>
      <c r="O211" s="699"/>
      <c r="P211" s="697"/>
      <c r="Q211" s="697"/>
      <c r="R211" s="697"/>
      <c r="S211" s="697"/>
      <c r="T211" s="697"/>
      <c r="U211" s="697"/>
      <c r="V211" s="697"/>
      <c r="W211" s="697"/>
      <c r="X211" s="698"/>
    </row>
    <row r="212" spans="2:24" s="32" customFormat="1" ht="15" customHeight="1" x14ac:dyDescent="0.2">
      <c r="B212" s="25"/>
      <c r="C212" s="464" t="s">
        <v>163</v>
      </c>
      <c r="D212" s="1053" t="s">
        <v>441</v>
      </c>
      <c r="E212" s="1053"/>
      <c r="F212" s="1053"/>
      <c r="G212" s="1053"/>
      <c r="H212" s="1053"/>
      <c r="I212" s="1076"/>
      <c r="J212" s="473">
        <f>IF(J207=0,0,J207+'4 AT Lainat ja avustukset alv'!G30-'4 AT Lainat ja avustukset alv'!G22+J211+J38)</f>
        <v>0</v>
      </c>
      <c r="K212" s="1208">
        <f>IF(K207=0,0,K207+'4 AT Lainat ja avustukset alv'!H30-'4 AT Lainat ja avustukset alv'!H22+K211+K38)</f>
        <v>0</v>
      </c>
      <c r="L212" s="1208">
        <f>IF(L207=0,0,L207+'4 AT Lainat ja avustukset alv'!I30-'4 AT Lainat ja avustukset alv'!I22+L211+L38)</f>
        <v>0</v>
      </c>
      <c r="M212" s="473">
        <f>IF(M207=0,0,M207+'4 AT Lainat ja avustukset alv'!I30-'4 AT Lainat ja avustukset alv'!I22+M211+M38)</f>
        <v>0</v>
      </c>
      <c r="N212" s="638"/>
      <c r="O212" s="699"/>
      <c r="P212" s="697"/>
      <c r="Q212" s="697"/>
      <c r="R212" s="697"/>
      <c r="S212" s="697"/>
      <c r="T212" s="697"/>
      <c r="U212" s="697"/>
      <c r="V212" s="697"/>
      <c r="W212" s="697"/>
      <c r="X212" s="698"/>
    </row>
    <row r="213" spans="2:24" s="32" customFormat="1" ht="15" customHeight="1" x14ac:dyDescent="0.2">
      <c r="B213" s="25"/>
      <c r="C213" s="464" t="s">
        <v>164</v>
      </c>
      <c r="D213" s="1053" t="s">
        <v>442</v>
      </c>
      <c r="E213" s="1053"/>
      <c r="F213" s="1053"/>
      <c r="G213" s="1053"/>
      <c r="H213" s="1053"/>
      <c r="I213" s="1076"/>
      <c r="J213" s="473">
        <f>IF(J207=0,0,J207+'4 AT Lainat ja avustukset alv'!G30-'4 AT Lainat ja avustukset alv'!G22+J211)</f>
        <v>0</v>
      </c>
      <c r="K213" s="1208">
        <f>IF(K207=0,0,K207+'4 AT Lainat ja avustukset alv'!H30-'4 AT Lainat ja avustukset alv'!H22+K211)</f>
        <v>0</v>
      </c>
      <c r="L213" s="1208">
        <f>IF(L211=0,0,L207+'4 AT Lainat ja avustukset alv'!I30-'4 AT Lainat ja avustukset alv'!I22+L211)</f>
        <v>0</v>
      </c>
      <c r="M213" s="473">
        <f>IF(M207=0,0,M207+'4 AT Lainat ja avustukset alv'!I30-'4 AT Lainat ja avustukset alv'!I22+M211)</f>
        <v>0</v>
      </c>
      <c r="N213" s="638"/>
      <c r="O213" s="699"/>
      <c r="P213" s="697"/>
      <c r="Q213" s="697"/>
      <c r="R213" s="697"/>
      <c r="S213" s="697"/>
      <c r="T213" s="697"/>
      <c r="U213" s="697"/>
      <c r="V213" s="697"/>
      <c r="W213" s="697"/>
      <c r="X213" s="698"/>
    </row>
    <row r="214" spans="2:24" s="32" customFormat="1" ht="15" customHeight="1" x14ac:dyDescent="0.2">
      <c r="B214" s="25"/>
      <c r="C214" s="464" t="s">
        <v>165</v>
      </c>
      <c r="D214" s="1053" t="s">
        <v>443</v>
      </c>
      <c r="E214" s="1053"/>
      <c r="F214" s="1053"/>
      <c r="G214" s="1053"/>
      <c r="H214" s="1053"/>
      <c r="I214" s="1076"/>
      <c r="J214" s="473">
        <f>IF(J207=0,0,J207+'4 AT Lainat ja avustukset alv'!G30-'4 AT Lainat ja avustukset alv'!G22+J211)</f>
        <v>0</v>
      </c>
      <c r="K214" s="1208">
        <f>IF(K207=0,0,K207+'4 AT Lainat ja avustukset alv'!H30-'4 AT Lainat ja avustukset alv'!H22+K211)</f>
        <v>0</v>
      </c>
      <c r="L214" s="1208">
        <f>IF(L207=0,0,L207+'4 AT Lainat ja avustukset alv'!I30-'4 AT Lainat ja avustukset alv'!I22+L211)</f>
        <v>0</v>
      </c>
      <c r="M214" s="471">
        <f>IF(M207=0,0,M207+'4 AT Lainat ja avustukset alv'!I30-'4 AT Lainat ja avustukset alv'!I22+M211)</f>
        <v>0</v>
      </c>
      <c r="N214" s="638"/>
      <c r="O214" s="699"/>
      <c r="P214" s="697"/>
      <c r="Q214" s="697"/>
      <c r="R214" s="697"/>
      <c r="S214" s="697"/>
      <c r="T214" s="697"/>
      <c r="U214" s="697"/>
      <c r="V214" s="697"/>
      <c r="W214" s="697"/>
      <c r="X214" s="698"/>
    </row>
    <row r="215" spans="2:24" ht="6" customHeight="1" x14ac:dyDescent="0.2">
      <c r="B215" s="23"/>
      <c r="C215" s="7"/>
      <c r="D215" s="24"/>
      <c r="E215" s="24"/>
      <c r="F215" s="12"/>
      <c r="G215" s="12"/>
      <c r="H215" s="12"/>
      <c r="I215" s="12"/>
      <c r="J215" s="275"/>
      <c r="K215" s="275"/>
      <c r="L215" s="275"/>
      <c r="M215" s="275"/>
      <c r="O215" s="712"/>
      <c r="P215" s="706"/>
      <c r="Q215" s="706"/>
      <c r="R215" s="706"/>
      <c r="S215" s="706"/>
      <c r="T215" s="706"/>
      <c r="U215" s="706"/>
      <c r="V215" s="706"/>
      <c r="W215" s="706"/>
      <c r="X215" s="711"/>
    </row>
    <row r="216" spans="2:24" ht="15" customHeight="1" x14ac:dyDescent="0.2">
      <c r="B216" s="283"/>
      <c r="C216" s="464" t="s">
        <v>166</v>
      </c>
      <c r="D216" s="465" t="s">
        <v>444</v>
      </c>
      <c r="E216" s="465"/>
      <c r="F216" s="466"/>
      <c r="G216" s="466"/>
      <c r="H216" s="466"/>
      <c r="I216" s="466"/>
      <c r="J216" s="447">
        <f>J123+J128+J133+J158+J166+J174+J138+J143+J148+J182+J190+J198</f>
        <v>0</v>
      </c>
      <c r="K216" s="1038">
        <f>K123+K128+K133+K158+K166+K174+K138+K143+K148+K182+K190+K198</f>
        <v>0</v>
      </c>
      <c r="L216" s="1038"/>
      <c r="M216" s="492">
        <f>M123+M128+M133+M158+M166+M174+M138+M143+M148+M182+M190+M198</f>
        <v>0</v>
      </c>
      <c r="O216" s="712"/>
      <c r="P216" s="706"/>
      <c r="Q216" s="706"/>
      <c r="R216" s="706"/>
      <c r="S216" s="706"/>
      <c r="T216" s="706"/>
      <c r="U216" s="706"/>
      <c r="V216" s="706"/>
      <c r="W216" s="706"/>
      <c r="X216" s="711"/>
    </row>
    <row r="217" spans="2:24" ht="15" customHeight="1" x14ac:dyDescent="0.2">
      <c r="B217" s="23"/>
      <c r="C217" s="576" t="s">
        <v>233</v>
      </c>
      <c r="D217" s="523" t="s">
        <v>445</v>
      </c>
      <c r="E217" s="465"/>
      <c r="F217" s="466"/>
      <c r="G217" s="466"/>
      <c r="H217" s="466"/>
      <c r="I217" s="466"/>
      <c r="J217" s="472">
        <f>'2 Myynnin ALV'!B19</f>
        <v>0</v>
      </c>
      <c r="K217" s="1206">
        <f>'2 Myynnin ALV'!C19</f>
        <v>0</v>
      </c>
      <c r="L217" s="1206">
        <f>'2 Myynnin ALV'!D19</f>
        <v>0</v>
      </c>
      <c r="M217" s="467">
        <f>'2 Myynnin ALV'!D19</f>
        <v>0</v>
      </c>
      <c r="O217" s="712"/>
      <c r="P217" s="706"/>
      <c r="Q217" s="706"/>
      <c r="R217" s="706"/>
      <c r="S217" s="706"/>
      <c r="T217" s="706"/>
      <c r="U217" s="706"/>
      <c r="V217" s="706"/>
      <c r="W217" s="706"/>
      <c r="X217" s="711"/>
    </row>
    <row r="218" spans="2:24" ht="15" customHeight="1" x14ac:dyDescent="0.2">
      <c r="B218" s="23"/>
      <c r="C218" s="464" t="s">
        <v>246</v>
      </c>
      <c r="D218" s="465" t="s">
        <v>446</v>
      </c>
      <c r="E218" s="465"/>
      <c r="F218" s="466"/>
      <c r="G218" s="466"/>
      <c r="H218" s="466"/>
      <c r="I218" s="466"/>
      <c r="J218" s="447">
        <f>SUM(J216:J217)</f>
        <v>0</v>
      </c>
      <c r="K218" s="1038">
        <f>SUM(K216:K217)</f>
        <v>0</v>
      </c>
      <c r="L218" s="1038"/>
      <c r="M218" s="492">
        <f>SUM(M216:M217)</f>
        <v>0</v>
      </c>
      <c r="O218" s="712"/>
      <c r="P218" s="713"/>
      <c r="Q218" s="706"/>
      <c r="R218" s="706"/>
      <c r="S218" s="706"/>
      <c r="T218" s="706"/>
      <c r="U218" s="706"/>
      <c r="V218" s="706"/>
      <c r="W218" s="706"/>
      <c r="X218" s="711"/>
    </row>
    <row r="219" spans="2:24" s="32" customFormat="1" ht="15" customHeight="1" x14ac:dyDescent="0.2">
      <c r="B219" s="256"/>
      <c r="C219" s="468"/>
      <c r="D219" s="577" t="s">
        <v>447</v>
      </c>
      <c r="E219" s="577"/>
      <c r="F219" s="578"/>
      <c r="G219" s="578"/>
      <c r="H219" s="578"/>
      <c r="I219" s="578"/>
      <c r="J219" s="579">
        <f>J199*J200</f>
        <v>0</v>
      </c>
      <c r="K219" s="1217">
        <f>K199*K200</f>
        <v>0</v>
      </c>
      <c r="L219" s="1217"/>
      <c r="M219" s="580">
        <f>M199*M200</f>
        <v>0</v>
      </c>
      <c r="O219" s="714"/>
      <c r="P219" s="700"/>
      <c r="Q219" s="700"/>
      <c r="R219" s="700"/>
      <c r="S219" s="700"/>
      <c r="T219" s="700"/>
      <c r="U219" s="700"/>
      <c r="V219" s="700"/>
      <c r="W219" s="700"/>
      <c r="X219" s="701"/>
    </row>
    <row r="220" spans="2:24" s="32" customFormat="1" ht="15" customHeight="1" x14ac:dyDescent="0.2">
      <c r="B220" s="256"/>
      <c r="C220" s="464"/>
      <c r="D220" s="465" t="s">
        <v>448</v>
      </c>
      <c r="E220" s="523"/>
      <c r="F220" s="581"/>
      <c r="G220" s="581"/>
      <c r="H220" s="581"/>
      <c r="I220" s="581"/>
      <c r="J220" s="485">
        <v>1</v>
      </c>
      <c r="K220" s="1078">
        <f>J220</f>
        <v>1</v>
      </c>
      <c r="L220" s="1078"/>
      <c r="M220" s="582">
        <f>K220</f>
        <v>1</v>
      </c>
    </row>
    <row r="221" spans="2:24" ht="14.1" customHeight="1" x14ac:dyDescent="0.2">
      <c r="B221" s="7"/>
      <c r="C221" s="464"/>
      <c r="D221" s="465" t="s">
        <v>451</v>
      </c>
      <c r="E221" s="523"/>
      <c r="F221" s="581"/>
      <c r="G221" s="581"/>
      <c r="H221" s="581"/>
      <c r="I221" s="581"/>
      <c r="J221" s="485">
        <v>47</v>
      </c>
      <c r="K221" s="1078">
        <f>J221</f>
        <v>47</v>
      </c>
      <c r="L221" s="1078"/>
      <c r="M221" s="582">
        <f>K221</f>
        <v>47</v>
      </c>
    </row>
    <row r="222" spans="2:24" ht="14.1" customHeight="1" x14ac:dyDescent="0.2">
      <c r="B222" s="7"/>
      <c r="C222" s="464" t="s">
        <v>0</v>
      </c>
      <c r="D222" s="465" t="s">
        <v>449</v>
      </c>
      <c r="E222" s="523"/>
      <c r="F222" s="581"/>
      <c r="G222" s="581"/>
      <c r="H222" s="581"/>
      <c r="I222" s="581"/>
      <c r="J222" s="485">
        <v>5</v>
      </c>
      <c r="K222" s="1078">
        <f>J222</f>
        <v>5</v>
      </c>
      <c r="L222" s="1078"/>
      <c r="M222" s="582">
        <f>K222</f>
        <v>5</v>
      </c>
    </row>
    <row r="223" spans="2:24" ht="14.1" customHeight="1" x14ac:dyDescent="0.2">
      <c r="B223" s="7"/>
      <c r="C223" s="468"/>
      <c r="D223" s="469" t="s">
        <v>450</v>
      </c>
      <c r="E223" s="577"/>
      <c r="F223" s="578"/>
      <c r="G223" s="578"/>
      <c r="H223" s="578"/>
      <c r="I223" s="578"/>
      <c r="J223" s="579">
        <f>J218/(J221*J222)</f>
        <v>0</v>
      </c>
      <c r="K223" s="1217">
        <f>K218/(K221*K222)</f>
        <v>0</v>
      </c>
      <c r="L223" s="1217" t="e">
        <f>L218/(L221*L222)</f>
        <v>#DIV/0!</v>
      </c>
      <c r="M223" s="580">
        <f>M218/(M221*M222)</f>
        <v>0</v>
      </c>
    </row>
    <row r="225" spans="3:13" x14ac:dyDescent="0.2">
      <c r="C225" s="569" t="s">
        <v>0</v>
      </c>
      <c r="D225" s="1127" t="str">
        <f>Startsidan!E40</f>
        <v>Business Kristinestad | Dynamo Närpes</v>
      </c>
      <c r="E225" s="1127"/>
      <c r="F225" s="1127"/>
      <c r="G225" s="1127"/>
      <c r="H225" s="1127"/>
      <c r="I225" s="1127"/>
    </row>
    <row r="227" spans="3:13" ht="18" customHeight="1" x14ac:dyDescent="0.2">
      <c r="D227" s="2"/>
    </row>
    <row r="228" spans="3:13" ht="19.350000000000001" customHeight="1" x14ac:dyDescent="0.2">
      <c r="D228" s="1127" t="s">
        <v>152</v>
      </c>
      <c r="E228" s="1127"/>
      <c r="F228" s="1127"/>
      <c r="G228" s="1127"/>
      <c r="H228" s="1127"/>
      <c r="I228" s="1127"/>
      <c r="J228" s="1127"/>
      <c r="K228" s="1127"/>
      <c r="L228" s="1127"/>
      <c r="M228" s="1127"/>
    </row>
    <row r="229" spans="3:13" x14ac:dyDescent="0.2">
      <c r="D229" s="1205" t="s">
        <v>154</v>
      </c>
      <c r="E229" s="1205"/>
      <c r="F229" s="1205"/>
      <c r="G229" s="1205"/>
      <c r="H229" s="1205"/>
      <c r="I229" s="1205"/>
      <c r="J229" s="1205"/>
      <c r="K229" s="1205"/>
      <c r="L229" s="1205"/>
      <c r="M229" s="1205"/>
    </row>
    <row r="230" spans="3:13" x14ac:dyDescent="0.2">
      <c r="D230" s="1205" t="s">
        <v>153</v>
      </c>
      <c r="E230" s="1205"/>
      <c r="F230" s="1205"/>
      <c r="G230" s="1205"/>
      <c r="H230" s="1205"/>
      <c r="I230" s="1205"/>
      <c r="J230" s="1205"/>
      <c r="K230" s="1205"/>
      <c r="L230" s="1205"/>
      <c r="M230" s="1205"/>
    </row>
    <row r="233" spans="3:13" hidden="1" x14ac:dyDescent="0.2">
      <c r="C233" s="12"/>
      <c r="D233" t="s">
        <v>234</v>
      </c>
      <c r="J233">
        <f>J159*J160+J167*J168+J175*J176+J183*J184+J191*J192</f>
        <v>0</v>
      </c>
      <c r="K233" s="1061">
        <f>K159*K160+K167*K168+K175*K176+K183*K184+K191*K192</f>
        <v>0</v>
      </c>
      <c r="L233" s="1061"/>
      <c r="M233">
        <f>M159*M160+M167*M168+M175*M176+M183*M184+M191*M192</f>
        <v>0</v>
      </c>
    </row>
    <row r="234" spans="3:13" hidden="1" x14ac:dyDescent="0.2">
      <c r="D234" s="443" t="s">
        <v>216</v>
      </c>
      <c r="E234" s="443"/>
      <c r="F234" s="443"/>
      <c r="G234" s="443"/>
      <c r="H234" s="443"/>
      <c r="I234" s="443"/>
      <c r="J234" s="9">
        <f>J158+J166+J174+J182+J190+J148+J143+J138+J133+J128+J123</f>
        <v>0</v>
      </c>
      <c r="K234" s="1257">
        <f>K158+K166+K174+K182+K190+K148+K143+K138+K133+K128+K123</f>
        <v>0</v>
      </c>
      <c r="L234" s="1257"/>
      <c r="M234" s="9">
        <f>M158+M166+M174+M182+M190+M148+M143+M138+M133+M128+M123</f>
        <v>0</v>
      </c>
    </row>
    <row r="235" spans="3:13" hidden="1" x14ac:dyDescent="0.2">
      <c r="C235" s="12"/>
      <c r="D235" s="444" t="s">
        <v>195</v>
      </c>
      <c r="E235" s="444"/>
      <c r="F235" s="444"/>
      <c r="G235" s="444"/>
      <c r="H235" s="444"/>
      <c r="I235" s="444"/>
      <c r="J235" s="365">
        <f>J194*J192+J186*J184+J178*J176+J168*J170+J160*J162</f>
        <v>0</v>
      </c>
      <c r="K235" s="1056">
        <f>K194*K192+K186*K184+K178*K176+K168*K170+K160*K162</f>
        <v>0</v>
      </c>
      <c r="L235" s="1056"/>
      <c r="M235" s="365">
        <f>M194*M192+M186*M184+M178*M176+M168*M170+M160*M162</f>
        <v>0</v>
      </c>
    </row>
    <row r="236" spans="3:13" hidden="1" x14ac:dyDescent="0.2">
      <c r="C236" s="12"/>
      <c r="D236" s="442" t="s">
        <v>196</v>
      </c>
      <c r="E236" s="442"/>
      <c r="F236" s="442"/>
      <c r="G236" s="442"/>
      <c r="H236" s="442"/>
      <c r="I236" s="442"/>
      <c r="J236" s="366">
        <f>IF(J234=0,0,J235/J234)</f>
        <v>0</v>
      </c>
      <c r="K236" s="1258">
        <f t="shared" ref="K236:M236" si="39">IF(K234=0,0,K235/K234)</f>
        <v>0</v>
      </c>
      <c r="L236" s="1258"/>
      <c r="M236" s="366">
        <f t="shared" si="39"/>
        <v>0</v>
      </c>
    </row>
    <row r="237" spans="3:13" hidden="1" x14ac:dyDescent="0.2">
      <c r="C237" s="12"/>
      <c r="D237" s="442" t="s">
        <v>212</v>
      </c>
      <c r="E237" s="442"/>
      <c r="F237" s="442"/>
      <c r="G237" s="442"/>
      <c r="H237" s="442"/>
      <c r="I237" s="442"/>
      <c r="J237" s="370">
        <f>J161*J160+J168*J169+J176*J177+J184*J185+J192*J193</f>
        <v>0</v>
      </c>
      <c r="K237" s="1264">
        <f>K161*K160+K168*K169+K176*K177+K184*K185+K192*K193</f>
        <v>0</v>
      </c>
      <c r="L237" s="1264"/>
      <c r="M237" s="370">
        <f>M161*M160+M168*M169+M176*M177+M184*M185+M192*M193</f>
        <v>0</v>
      </c>
    </row>
    <row r="238" spans="3:13" hidden="1" x14ac:dyDescent="0.2">
      <c r="C238" s="12"/>
      <c r="D238" s="445" t="s">
        <v>241</v>
      </c>
      <c r="E238" s="444"/>
      <c r="F238" s="444"/>
      <c r="G238" s="444"/>
      <c r="H238" s="444"/>
      <c r="I238" s="444"/>
      <c r="J238" s="365">
        <f>J203</f>
        <v>0</v>
      </c>
      <c r="K238" s="1056">
        <f>K203</f>
        <v>0</v>
      </c>
      <c r="L238" s="1056"/>
      <c r="M238" s="365">
        <f>M203</f>
        <v>0</v>
      </c>
    </row>
    <row r="239" spans="3:13" hidden="1" x14ac:dyDescent="0.2">
      <c r="C239" s="12"/>
      <c r="D239" s="442" t="s">
        <v>242</v>
      </c>
      <c r="E239" s="442"/>
      <c r="F239" s="442"/>
      <c r="G239" s="442"/>
      <c r="H239" s="442"/>
      <c r="I239" s="442"/>
      <c r="J239" s="9">
        <f>SUM(J237:J238)</f>
        <v>0</v>
      </c>
      <c r="K239" s="1257">
        <f t="shared" ref="K239:M239" si="40">SUM(K237:K238)</f>
        <v>0</v>
      </c>
      <c r="L239" s="1257"/>
      <c r="M239" s="9">
        <f t="shared" si="40"/>
        <v>0</v>
      </c>
    </row>
    <row r="240" spans="3:13" hidden="1" x14ac:dyDescent="0.2">
      <c r="C240" s="12"/>
      <c r="D240" s="442" t="s">
        <v>213</v>
      </c>
      <c r="E240" s="442"/>
      <c r="F240" s="442"/>
      <c r="G240" s="442"/>
      <c r="H240" s="442"/>
      <c r="I240" s="442"/>
      <c r="J240" s="358">
        <f>IF(J239=0,0,J239/J218)</f>
        <v>0</v>
      </c>
      <c r="K240" s="1259">
        <f>IF(K239=0,0,K239/K218)</f>
        <v>0</v>
      </c>
      <c r="L240" s="1259"/>
      <c r="M240" s="358">
        <f>IF(M239=0,0,M239/M218)</f>
        <v>0</v>
      </c>
    </row>
  </sheetData>
  <sheetProtection algorithmName="SHA-512" hashValue="41FHe9SyLPOuTTsZMT1X4TdHF/rtKHiTz0kHnPrVjiybIH/YqsGg1TfC+ey3e7JbCODJPVV5bQpCrP+ltCwlRg==" saltValue="dRt5luw3HpHQSCOf3fVXNw==" spinCount="100000" sheet="1" objects="1" scenarios="1" selectLockedCells="1"/>
  <mergeCells count="381">
    <mergeCell ref="D225:I225"/>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34:H134"/>
    <mergeCell ref="C166:E166"/>
    <mergeCell ref="K168:L168"/>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76:H176"/>
    <mergeCell ref="K159:L159"/>
    <mergeCell ref="C182:E182"/>
    <mergeCell ref="K162:L162"/>
    <mergeCell ref="F148:G148"/>
    <mergeCell ref="K138:L138"/>
    <mergeCell ref="K175:L175"/>
    <mergeCell ref="K180:L180"/>
    <mergeCell ref="C164:H164"/>
    <mergeCell ref="C168:H168"/>
    <mergeCell ref="K170:L170"/>
    <mergeCell ref="K131:L131"/>
    <mergeCell ref="C170:H170"/>
    <mergeCell ref="C159:H159"/>
    <mergeCell ref="C171:H171"/>
    <mergeCell ref="C144:H144"/>
    <mergeCell ref="C136:H136"/>
    <mergeCell ref="C141:H141"/>
    <mergeCell ref="K134:L134"/>
    <mergeCell ref="F156:G156"/>
    <mergeCell ref="K156:L156"/>
    <mergeCell ref="C150:H150"/>
    <mergeCell ref="C149:H149"/>
    <mergeCell ref="C143:E143"/>
    <mergeCell ref="F143:G143"/>
    <mergeCell ref="C138:E138"/>
    <mergeCell ref="F133:G133"/>
    <mergeCell ref="K169:L169"/>
    <mergeCell ref="K185:L185"/>
    <mergeCell ref="C196:H196"/>
    <mergeCell ref="K200:L200"/>
    <mergeCell ref="K198:L198"/>
    <mergeCell ref="C191:H191"/>
    <mergeCell ref="K192:L192"/>
    <mergeCell ref="K191:L191"/>
    <mergeCell ref="K184:L184"/>
    <mergeCell ref="C186:H186"/>
    <mergeCell ref="C185:H185"/>
    <mergeCell ref="K188:L188"/>
    <mergeCell ref="K186:L186"/>
    <mergeCell ref="C187:H187"/>
    <mergeCell ref="C139:H139"/>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K201:L201"/>
    <mergeCell ref="K208:L208"/>
    <mergeCell ref="K205:L205"/>
    <mergeCell ref="K216:L216"/>
    <mergeCell ref="D213:I213"/>
    <mergeCell ref="K213:L213"/>
    <mergeCell ref="F11:G11"/>
    <mergeCell ref="C17:D17"/>
    <mergeCell ref="F16:G16"/>
    <mergeCell ref="K223:L223"/>
    <mergeCell ref="K220:L220"/>
    <mergeCell ref="C201:H201"/>
    <mergeCell ref="K214:L214"/>
    <mergeCell ref="C188:H188"/>
    <mergeCell ref="D116:H116"/>
    <mergeCell ref="K92:L92"/>
    <mergeCell ref="C128:E128"/>
    <mergeCell ref="D91:H91"/>
    <mergeCell ref="K120:L120"/>
    <mergeCell ref="C172:H172"/>
    <mergeCell ref="C167:H167"/>
    <mergeCell ref="C151:H151"/>
    <mergeCell ref="K160:L160"/>
    <mergeCell ref="K158:L158"/>
    <mergeCell ref="C153:H154"/>
    <mergeCell ref="C161:H161"/>
    <mergeCell ref="I153:J153"/>
    <mergeCell ref="K153:L153"/>
    <mergeCell ref="K154:L154"/>
    <mergeCell ref="K166:L166"/>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D229:M229"/>
    <mergeCell ref="K167:L167"/>
    <mergeCell ref="C155:D155"/>
    <mergeCell ref="K209:L209"/>
    <mergeCell ref="C180:H180"/>
    <mergeCell ref="C178:H178"/>
    <mergeCell ref="C179:H179"/>
    <mergeCell ref="J4:M5"/>
    <mergeCell ref="F138:G138"/>
    <mergeCell ref="K143:L143"/>
    <mergeCell ref="D27:E27"/>
    <mergeCell ref="K33:L33"/>
    <mergeCell ref="K55:L55"/>
    <mergeCell ref="K52:L52"/>
    <mergeCell ref="K113:L113"/>
    <mergeCell ref="K77:L77"/>
    <mergeCell ref="K78:L78"/>
    <mergeCell ref="K63:L63"/>
    <mergeCell ref="K80:L80"/>
    <mergeCell ref="K69:L69"/>
    <mergeCell ref="D87:H87"/>
    <mergeCell ref="K31:L31"/>
    <mergeCell ref="K95:L95"/>
    <mergeCell ref="C131:H131"/>
    <mergeCell ref="F128:G128"/>
    <mergeCell ref="K97:L97"/>
    <mergeCell ref="K114:L114"/>
    <mergeCell ref="D113:H113"/>
    <mergeCell ref="D112:H112"/>
    <mergeCell ref="C119:H120"/>
    <mergeCell ref="H7:M7"/>
    <mergeCell ref="O46:P46"/>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F46:G46"/>
    <mergeCell ref="D52:H52"/>
    <mergeCell ref="K40:L40"/>
    <mergeCell ref="K44:L4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C10:D10"/>
    <mergeCell ref="C11:D11"/>
    <mergeCell ref="K87:L87"/>
    <mergeCell ref="K49:L49"/>
    <mergeCell ref="D34:H34"/>
    <mergeCell ref="K112:L112"/>
    <mergeCell ref="F21:G21"/>
    <mergeCell ref="F22:G22"/>
    <mergeCell ref="H24:L24"/>
    <mergeCell ref="H16:I16"/>
    <mergeCell ref="H15:I15"/>
    <mergeCell ref="H17:L17"/>
    <mergeCell ref="C14:D14"/>
    <mergeCell ref="C12:D12"/>
    <mergeCell ref="C13:D13"/>
    <mergeCell ref="H12:I12"/>
    <mergeCell ref="K35:L35"/>
    <mergeCell ref="C31:H32"/>
    <mergeCell ref="K42:L42"/>
    <mergeCell ref="K45:L45"/>
    <mergeCell ref="K34:L34"/>
    <mergeCell ref="F17:G17"/>
    <mergeCell ref="K10:L10"/>
    <mergeCell ref="K11:L11"/>
    <mergeCell ref="K1:M1"/>
    <mergeCell ref="K96:L96"/>
    <mergeCell ref="C9:E9"/>
    <mergeCell ref="C5:E5"/>
    <mergeCell ref="C7:E7"/>
    <mergeCell ref="F9:G9"/>
    <mergeCell ref="H9:L9"/>
    <mergeCell ref="C6:D6"/>
    <mergeCell ref="H13:I13"/>
    <mergeCell ref="H11:I11"/>
    <mergeCell ref="K16:L16"/>
    <mergeCell ref="H14:I14"/>
    <mergeCell ref="F10:G10"/>
    <mergeCell ref="H10:J10"/>
    <mergeCell ref="F13:G13"/>
    <mergeCell ref="F15:G15"/>
    <mergeCell ref="C15:D15"/>
    <mergeCell ref="K79:L79"/>
    <mergeCell ref="K56:L56"/>
    <mergeCell ref="H19:L19"/>
    <mergeCell ref="F18:G18"/>
    <mergeCell ref="F19:G19"/>
    <mergeCell ref="C21:E21"/>
    <mergeCell ref="H26:L26"/>
    <mergeCell ref="K70:L70"/>
    <mergeCell ref="H25:L25"/>
    <mergeCell ref="C25:E25"/>
    <mergeCell ref="K76:L76"/>
    <mergeCell ref="K75:L75"/>
    <mergeCell ref="K82:L82"/>
    <mergeCell ref="C29:E29"/>
    <mergeCell ref="K37:L37"/>
    <mergeCell ref="K61:L61"/>
    <mergeCell ref="D39:H39"/>
    <mergeCell ref="D47:H47"/>
    <mergeCell ref="K66:L66"/>
    <mergeCell ref="K36:L36"/>
    <mergeCell ref="F29:G29"/>
    <mergeCell ref="D42:H42"/>
    <mergeCell ref="H29:L29"/>
    <mergeCell ref="K32:L32"/>
    <mergeCell ref="F12:G12"/>
    <mergeCell ref="F26:G26"/>
    <mergeCell ref="F27:G27"/>
    <mergeCell ref="F14:G14"/>
    <mergeCell ref="K15:L15"/>
    <mergeCell ref="F24:G24"/>
    <mergeCell ref="F25:G25"/>
    <mergeCell ref="C22:E22"/>
    <mergeCell ref="C24:E24"/>
    <mergeCell ref="I27:L27"/>
    <mergeCell ref="H18:L18"/>
    <mergeCell ref="H20:L20"/>
    <mergeCell ref="C16:D16"/>
    <mergeCell ref="H23:L23"/>
    <mergeCell ref="C26:E26"/>
    <mergeCell ref="F20:G20"/>
    <mergeCell ref="K22:L22"/>
    <mergeCell ref="H21:L21"/>
    <mergeCell ref="C20:D20"/>
    <mergeCell ref="C23:E23"/>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C177:H177"/>
    <mergeCell ref="C162:H162"/>
    <mergeCell ref="C163:H163"/>
    <mergeCell ref="K196:L196"/>
    <mergeCell ref="D74:G74"/>
    <mergeCell ref="D55:H55"/>
    <mergeCell ref="K146:L146"/>
    <mergeCell ref="D83:H83"/>
    <mergeCell ref="K110:L110"/>
    <mergeCell ref="K74:L74"/>
    <mergeCell ref="C129:H129"/>
    <mergeCell ref="C130:H130"/>
    <mergeCell ref="C125:H125"/>
    <mergeCell ref="C124:H124"/>
    <mergeCell ref="D88:H88"/>
    <mergeCell ref="F123:G123"/>
    <mergeCell ref="K105:L105"/>
    <mergeCell ref="K106:L106"/>
    <mergeCell ref="K107:L107"/>
    <mergeCell ref="D111:H111"/>
    <mergeCell ref="I119:J119"/>
    <mergeCell ref="D75:H75"/>
    <mergeCell ref="K94:L94"/>
    <mergeCell ref="K84:L84"/>
    <mergeCell ref="D84:H84"/>
    <mergeCell ref="K93:L93"/>
    <mergeCell ref="K104:L104"/>
    <mergeCell ref="K85:L85"/>
    <mergeCell ref="K81:L81"/>
    <mergeCell ref="C121:E121"/>
    <mergeCell ref="F122:G122"/>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&amp;C&amp;"Arial,Lihavoitu"&amp;8FT4 Nyföretagets ekonomiplan</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F21" sqref="F21"/>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90"/>
    </row>
    <row r="4" spans="1:24" ht="11.65" customHeight="1" x14ac:dyDescent="0.2">
      <c r="A4" s="1290"/>
      <c r="B4" s="585"/>
    </row>
    <row r="5" spans="1:24" ht="17.100000000000001" customHeight="1" x14ac:dyDescent="0.25">
      <c r="B5" s="1271" t="str">
        <f>'1. Ekonomikalkyl'!$C$5</f>
        <v xml:space="preserve">  </v>
      </c>
      <c r="C5" s="1272"/>
      <c r="D5" s="1272"/>
      <c r="E5" s="1272"/>
      <c r="H5" s="1283" t="s">
        <v>510</v>
      </c>
      <c r="I5" s="1284"/>
      <c r="J5" s="1284"/>
      <c r="K5" s="1284"/>
      <c r="L5" s="1284"/>
      <c r="M5" s="1284"/>
      <c r="N5" s="1284"/>
      <c r="O5" s="1284"/>
      <c r="U5" s="1280" t="s">
        <v>175</v>
      </c>
    </row>
    <row r="6" spans="1:24" ht="10.15" customHeight="1" x14ac:dyDescent="0.2">
      <c r="B6" s="1272"/>
      <c r="C6" s="1272"/>
      <c r="D6" s="1272"/>
      <c r="E6" s="1272"/>
      <c r="U6" s="1280"/>
    </row>
    <row r="7" spans="1:24" ht="16.149999999999999" customHeight="1" x14ac:dyDescent="0.2">
      <c r="B7" s="651"/>
      <c r="C7" s="1291" t="s">
        <v>464</v>
      </c>
      <c r="D7" s="1291"/>
      <c r="E7" s="1291"/>
      <c r="F7" s="619"/>
      <c r="G7" s="1003" t="s">
        <v>452</v>
      </c>
      <c r="H7" s="1003" t="s">
        <v>453</v>
      </c>
      <c r="I7" s="1003" t="s">
        <v>454</v>
      </c>
      <c r="J7" s="1003" t="s">
        <v>455</v>
      </c>
      <c r="K7" s="1003" t="s">
        <v>456</v>
      </c>
      <c r="L7" s="1003" t="s">
        <v>457</v>
      </c>
      <c r="M7" s="1003" t="s">
        <v>458</v>
      </c>
      <c r="N7" s="1003" t="s">
        <v>459</v>
      </c>
      <c r="O7" s="1003" t="s">
        <v>460</v>
      </c>
      <c r="P7" s="1003" t="s">
        <v>461</v>
      </c>
      <c r="Q7" s="1003" t="s">
        <v>462</v>
      </c>
      <c r="R7" s="1003" t="s">
        <v>463</v>
      </c>
      <c r="S7" s="409" t="s">
        <v>511</v>
      </c>
      <c r="U7" s="1281"/>
      <c r="V7" s="597"/>
      <c r="W7" s="256"/>
      <c r="X7" s="256"/>
    </row>
    <row r="8" spans="1:24" ht="12.6" customHeight="1" x14ac:dyDescent="0.2">
      <c r="B8" s="652" t="s">
        <v>542</v>
      </c>
      <c r="C8" s="1292" t="s">
        <v>465</v>
      </c>
      <c r="D8" s="1292"/>
      <c r="E8" s="1292"/>
      <c r="F8" s="1293"/>
      <c r="G8" s="618">
        <f>'1. Ekonomikalkyl'!M22</f>
        <v>0</v>
      </c>
      <c r="H8" s="390">
        <f t="shared" ref="H8:R8" si="0">G56</f>
        <v>0</v>
      </c>
      <c r="I8" s="390">
        <f t="shared" si="0"/>
        <v>0</v>
      </c>
      <c r="J8" s="390">
        <f t="shared" si="0"/>
        <v>0</v>
      </c>
      <c r="K8" s="390">
        <f t="shared" si="0"/>
        <v>0</v>
      </c>
      <c r="L8" s="390">
        <f t="shared" si="0"/>
        <v>0</v>
      </c>
      <c r="M8" s="390">
        <f t="shared" si="0"/>
        <v>0</v>
      </c>
      <c r="N8" s="390">
        <f t="shared" si="0"/>
        <v>0</v>
      </c>
      <c r="O8" s="390">
        <f t="shared" si="0"/>
        <v>0</v>
      </c>
      <c r="P8" s="390">
        <f t="shared" si="0"/>
        <v>0</v>
      </c>
      <c r="Q8" s="390">
        <f t="shared" si="0"/>
        <v>0</v>
      </c>
      <c r="R8" s="390">
        <f t="shared" si="0"/>
        <v>0</v>
      </c>
      <c r="S8" s="294"/>
      <c r="U8" s="369"/>
      <c r="V8" s="598"/>
      <c r="W8" s="305"/>
      <c r="X8" s="305"/>
    </row>
    <row r="9" spans="1:24" ht="12.6" customHeight="1" x14ac:dyDescent="0.2">
      <c r="B9" s="653" t="s">
        <v>543</v>
      </c>
      <c r="C9" s="1274" t="s">
        <v>466</v>
      </c>
      <c r="D9" s="1274"/>
      <c r="E9" s="1276"/>
      <c r="F9" s="410">
        <v>0.5</v>
      </c>
      <c r="G9" s="297">
        <f t="shared" ref="G9:R9" si="1">$U9*G10</f>
        <v>0</v>
      </c>
      <c r="H9" s="297">
        <f t="shared" si="1"/>
        <v>0</v>
      </c>
      <c r="I9" s="297">
        <f t="shared" si="1"/>
        <v>0</v>
      </c>
      <c r="J9" s="297">
        <f t="shared" si="1"/>
        <v>0</v>
      </c>
      <c r="K9" s="297">
        <f t="shared" si="1"/>
        <v>0</v>
      </c>
      <c r="L9" s="297">
        <f t="shared" si="1"/>
        <v>0</v>
      </c>
      <c r="M9" s="297">
        <f t="shared" si="1"/>
        <v>0</v>
      </c>
      <c r="N9" s="297">
        <f t="shared" si="1"/>
        <v>0</v>
      </c>
      <c r="O9" s="297">
        <f t="shared" si="1"/>
        <v>0</v>
      </c>
      <c r="P9" s="297">
        <f t="shared" si="1"/>
        <v>0</v>
      </c>
      <c r="Q9" s="297">
        <f t="shared" si="1"/>
        <v>0</v>
      </c>
      <c r="R9" s="297">
        <f t="shared" si="1"/>
        <v>0</v>
      </c>
      <c r="S9" s="295">
        <f t="shared" ref="S9:S15" si="2">SUM(G9:R9)</f>
        <v>0</v>
      </c>
      <c r="U9" s="297">
        <f>F9*U12</f>
        <v>0</v>
      </c>
      <c r="V9" s="599" t="s">
        <v>219</v>
      </c>
      <c r="W9" s="306"/>
      <c r="X9" s="306"/>
    </row>
    <row r="10" spans="1:24" ht="12.6" customHeight="1" x14ac:dyDescent="0.2">
      <c r="B10" s="653"/>
      <c r="C10" s="367"/>
      <c r="D10" s="1274" t="s">
        <v>467</v>
      </c>
      <c r="E10" s="1274"/>
      <c r="F10" s="1276"/>
      <c r="G10" s="33">
        <v>0.04</v>
      </c>
      <c r="H10" s="33">
        <v>0.06</v>
      </c>
      <c r="I10" s="33">
        <v>0.06</v>
      </c>
      <c r="J10" s="33">
        <v>7.0000000000000007E-2</v>
      </c>
      <c r="K10" s="33">
        <v>0.08</v>
      </c>
      <c r="L10" s="33">
        <v>0.09</v>
      </c>
      <c r="M10" s="33">
        <v>0.1</v>
      </c>
      <c r="N10" s="33">
        <v>0.1</v>
      </c>
      <c r="O10" s="33">
        <v>0.1</v>
      </c>
      <c r="P10" s="33">
        <v>0.1</v>
      </c>
      <c r="Q10" s="33">
        <v>0.1</v>
      </c>
      <c r="R10" s="33">
        <v>0.1</v>
      </c>
      <c r="S10" s="296">
        <f t="shared" si="2"/>
        <v>0.99999999999999989</v>
      </c>
      <c r="T10" s="563" t="str">
        <f>IF(F9=0," ",IF(S10=100%," ","VIRHE!"))</f>
        <v xml:space="preserve"> </v>
      </c>
      <c r="U10" s="600"/>
    </row>
    <row r="11" spans="1:24" ht="12.6" customHeight="1" x14ac:dyDescent="0.2">
      <c r="B11" s="653" t="s">
        <v>544</v>
      </c>
      <c r="C11" s="1274" t="s">
        <v>468</v>
      </c>
      <c r="D11" s="1274"/>
      <c r="E11" s="1274"/>
      <c r="F11" s="1276"/>
      <c r="G11" s="297">
        <f t="shared" ref="G11:R11" si="3">$U11*G12</f>
        <v>0</v>
      </c>
      <c r="H11" s="297">
        <f t="shared" si="3"/>
        <v>0</v>
      </c>
      <c r="I11" s="297">
        <f t="shared" si="3"/>
        <v>0</v>
      </c>
      <c r="J11" s="297">
        <f t="shared" si="3"/>
        <v>0</v>
      </c>
      <c r="K11" s="297">
        <f t="shared" si="3"/>
        <v>0</v>
      </c>
      <c r="L11" s="297">
        <f t="shared" si="3"/>
        <v>0</v>
      </c>
      <c r="M11" s="297">
        <f t="shared" si="3"/>
        <v>0</v>
      </c>
      <c r="N11" s="297">
        <f t="shared" si="3"/>
        <v>0</v>
      </c>
      <c r="O11" s="297">
        <f t="shared" si="3"/>
        <v>0</v>
      </c>
      <c r="P11" s="297">
        <f t="shared" si="3"/>
        <v>0</v>
      </c>
      <c r="Q11" s="297">
        <f t="shared" si="3"/>
        <v>0</v>
      </c>
      <c r="R11" s="297">
        <f t="shared" si="3"/>
        <v>0</v>
      </c>
      <c r="S11" s="297">
        <f t="shared" si="2"/>
        <v>0</v>
      </c>
      <c r="T11" s="564"/>
      <c r="U11" s="297">
        <f>U12-U9</f>
        <v>0</v>
      </c>
      <c r="V11" s="206" t="s">
        <v>220</v>
      </c>
      <c r="W11" s="272"/>
      <c r="X11" s="272"/>
    </row>
    <row r="12" spans="1:24" ht="12.6" customHeight="1" x14ac:dyDescent="0.2">
      <c r="B12" s="653"/>
      <c r="C12" s="367"/>
      <c r="D12" s="1274" t="s">
        <v>467</v>
      </c>
      <c r="E12" s="1274"/>
      <c r="F12" s="1276"/>
      <c r="G12" s="33">
        <v>0.04</v>
      </c>
      <c r="H12" s="33">
        <v>0.06</v>
      </c>
      <c r="I12" s="33">
        <v>0.06</v>
      </c>
      <c r="J12" s="33">
        <v>7.0000000000000007E-2</v>
      </c>
      <c r="K12" s="33">
        <v>0.08</v>
      </c>
      <c r="L12" s="33">
        <v>0.09</v>
      </c>
      <c r="M12" s="33">
        <v>0.1</v>
      </c>
      <c r="N12" s="33">
        <v>0.1</v>
      </c>
      <c r="O12" s="33">
        <v>0.1</v>
      </c>
      <c r="P12" s="33">
        <v>0.1</v>
      </c>
      <c r="Q12" s="33">
        <v>0.1</v>
      </c>
      <c r="R12" s="33">
        <v>0.1</v>
      </c>
      <c r="S12" s="296">
        <f t="shared" si="2"/>
        <v>0.99999999999999989</v>
      </c>
      <c r="T12" s="563" t="str">
        <f>IF(F9=100%," ",IF(S12=100%," ","VIRHE!"))</f>
        <v xml:space="preserve"> </v>
      </c>
      <c r="U12" s="297">
        <f>12*'1. Ekonomikalkyl'!J218/'1. Ekonomikalkyl'!J33</f>
        <v>0</v>
      </c>
      <c r="V12" s="206" t="s">
        <v>221</v>
      </c>
      <c r="W12" s="272"/>
      <c r="X12" s="272"/>
    </row>
    <row r="13" spans="1:24" ht="12.6" customHeight="1" x14ac:dyDescent="0.2">
      <c r="B13" s="653"/>
      <c r="C13" s="367"/>
      <c r="D13" s="386" t="s">
        <v>469</v>
      </c>
      <c r="E13" s="411">
        <v>14</v>
      </c>
      <c r="F13" s="400" t="s">
        <v>470</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2"/>
        <v>0</v>
      </c>
      <c r="U13" s="600"/>
    </row>
    <row r="14" spans="1:24" ht="12.6" customHeight="1" x14ac:dyDescent="0.2">
      <c r="B14" s="653" t="s">
        <v>545</v>
      </c>
      <c r="C14" s="1274" t="s">
        <v>471</v>
      </c>
      <c r="D14" s="1275"/>
      <c r="E14" s="1275"/>
      <c r="F14" s="387"/>
      <c r="G14" s="403">
        <f>U14</f>
        <v>0</v>
      </c>
      <c r="H14" s="403">
        <v>0</v>
      </c>
      <c r="I14" s="403">
        <v>0</v>
      </c>
      <c r="J14" s="403">
        <v>0</v>
      </c>
      <c r="K14" s="403">
        <v>0</v>
      </c>
      <c r="L14" s="403">
        <v>0</v>
      </c>
      <c r="M14" s="403">
        <v>0</v>
      </c>
      <c r="N14" s="403">
        <v>0</v>
      </c>
      <c r="O14" s="403">
        <v>0</v>
      </c>
      <c r="P14" s="403">
        <v>0</v>
      </c>
      <c r="Q14" s="403">
        <v>0</v>
      </c>
      <c r="R14" s="403">
        <v>0</v>
      </c>
      <c r="S14" s="295">
        <f t="shared" si="2"/>
        <v>0</v>
      </c>
      <c r="U14" s="297">
        <f>'1. Ekonomikalkyl'!M10</f>
        <v>0</v>
      </c>
    </row>
    <row r="15" spans="1:24" ht="12.6" customHeight="1" thickBot="1" x14ac:dyDescent="0.25">
      <c r="B15" s="654" t="s">
        <v>546</v>
      </c>
      <c r="C15" s="1273" t="s">
        <v>472</v>
      </c>
      <c r="D15" s="1294"/>
      <c r="E15" s="1294"/>
      <c r="F15" s="391"/>
      <c r="G15" s="413">
        <v>0</v>
      </c>
      <c r="H15" s="413">
        <v>0</v>
      </c>
      <c r="I15" s="413">
        <v>0</v>
      </c>
      <c r="J15" s="413">
        <v>0</v>
      </c>
      <c r="K15" s="413">
        <v>0</v>
      </c>
      <c r="L15" s="413">
        <v>0</v>
      </c>
      <c r="M15" s="413">
        <v>0</v>
      </c>
      <c r="N15" s="413">
        <f>U15</f>
        <v>0</v>
      </c>
      <c r="O15" s="413">
        <v>0</v>
      </c>
      <c r="P15" s="413">
        <v>0</v>
      </c>
      <c r="Q15" s="413">
        <v>0</v>
      </c>
      <c r="R15" s="413">
        <v>0</v>
      </c>
      <c r="S15" s="298">
        <f t="shared" si="2"/>
        <v>0</v>
      </c>
      <c r="U15" s="297">
        <f>'1. Ekonomikalkyl'!M17</f>
        <v>0</v>
      </c>
    </row>
    <row r="16" spans="1:24" ht="16.149999999999999" customHeight="1" thickTop="1" thickBot="1" x14ac:dyDescent="0.25">
      <c r="B16" s="655"/>
      <c r="C16" s="1278" t="s">
        <v>473</v>
      </c>
      <c r="D16" s="1278"/>
      <c r="E16" s="1278"/>
      <c r="F16" s="1279"/>
      <c r="G16" s="404">
        <f>G9+G13+G14+G15</f>
        <v>0</v>
      </c>
      <c r="H16" s="404">
        <f t="shared" ref="H16:R16" si="4">H9+H13+H14+H15</f>
        <v>0</v>
      </c>
      <c r="I16" s="404">
        <f t="shared" si="4"/>
        <v>0</v>
      </c>
      <c r="J16" s="404">
        <f t="shared" si="4"/>
        <v>0</v>
      </c>
      <c r="K16" s="404">
        <f t="shared" si="4"/>
        <v>0</v>
      </c>
      <c r="L16" s="404">
        <f t="shared" si="4"/>
        <v>0</v>
      </c>
      <c r="M16" s="404">
        <f t="shared" si="4"/>
        <v>0</v>
      </c>
      <c r="N16" s="404">
        <f t="shared" si="4"/>
        <v>0</v>
      </c>
      <c r="O16" s="404">
        <f t="shared" si="4"/>
        <v>0</v>
      </c>
      <c r="P16" s="404">
        <f t="shared" si="4"/>
        <v>0</v>
      </c>
      <c r="Q16" s="404">
        <f t="shared" si="4"/>
        <v>0</v>
      </c>
      <c r="R16" s="404">
        <f t="shared" si="4"/>
        <v>0</v>
      </c>
      <c r="S16" s="405">
        <f>SUM(G16:R16)</f>
        <v>0</v>
      </c>
      <c r="U16" s="1282" t="s">
        <v>172</v>
      </c>
      <c r="V16" s="1282"/>
    </row>
    <row r="17" spans="2:25" ht="10.15" customHeight="1" thickTop="1" x14ac:dyDescent="0.2">
      <c r="B17" s="650"/>
      <c r="C17" s="299"/>
      <c r="D17" s="299"/>
      <c r="E17" s="299"/>
      <c r="F17" s="299"/>
      <c r="G17" s="300"/>
      <c r="H17" s="300"/>
      <c r="I17" s="300"/>
      <c r="J17" s="300"/>
      <c r="K17" s="300"/>
      <c r="L17" s="300"/>
      <c r="M17" s="300"/>
      <c r="N17" s="300"/>
      <c r="O17" s="300"/>
      <c r="P17" s="300"/>
      <c r="Q17" s="300"/>
      <c r="R17" s="300"/>
      <c r="S17" s="212" t="s">
        <v>0</v>
      </c>
      <c r="U17" s="1282"/>
      <c r="V17" s="1282"/>
      <c r="W17" s="314"/>
      <c r="X17" s="314" t="s">
        <v>225</v>
      </c>
    </row>
    <row r="18" spans="2:25" ht="16.149999999999999" customHeight="1" x14ac:dyDescent="0.2">
      <c r="B18" s="656"/>
      <c r="C18" s="1291" t="s">
        <v>474</v>
      </c>
      <c r="D18" s="1291"/>
      <c r="E18" s="1295"/>
      <c r="F18" s="587" t="s">
        <v>170</v>
      </c>
      <c r="G18" s="588" t="str">
        <f t="shared" ref="G18:R18" si="5">G7</f>
        <v>JAN</v>
      </c>
      <c r="H18" s="418" t="str">
        <f t="shared" si="5"/>
        <v>FEB</v>
      </c>
      <c r="I18" s="588" t="str">
        <f t="shared" si="5"/>
        <v>MARS</v>
      </c>
      <c r="J18" s="588" t="str">
        <f t="shared" si="5"/>
        <v>APR</v>
      </c>
      <c r="K18" s="588" t="str">
        <f t="shared" si="5"/>
        <v>MAJ</v>
      </c>
      <c r="L18" s="588" t="str">
        <f t="shared" si="5"/>
        <v>JUNI</v>
      </c>
      <c r="M18" s="588" t="str">
        <f t="shared" si="5"/>
        <v>JULI</v>
      </c>
      <c r="N18" s="588" t="str">
        <f t="shared" si="5"/>
        <v>AUG</v>
      </c>
      <c r="O18" s="588" t="str">
        <f t="shared" si="5"/>
        <v>SEP</v>
      </c>
      <c r="P18" s="588" t="str">
        <f t="shared" si="5"/>
        <v>OKT</v>
      </c>
      <c r="Q18" s="588" t="str">
        <f t="shared" si="5"/>
        <v>NOV</v>
      </c>
      <c r="R18" s="588" t="str">
        <f t="shared" si="5"/>
        <v>DEC</v>
      </c>
      <c r="S18" s="586" t="str">
        <f>S7</f>
        <v>SLGT</v>
      </c>
      <c r="U18" s="601" t="s">
        <v>173</v>
      </c>
      <c r="V18" s="602" t="s">
        <v>174</v>
      </c>
      <c r="W18" s="315"/>
      <c r="X18" s="315"/>
    </row>
    <row r="19" spans="2:25" ht="12.6" customHeight="1" x14ac:dyDescent="0.2">
      <c r="B19" s="1265" t="s">
        <v>547</v>
      </c>
      <c r="C19" s="1296" t="s">
        <v>475</v>
      </c>
      <c r="D19" s="1297"/>
      <c r="E19" s="1297"/>
      <c r="F19" s="478">
        <v>0</v>
      </c>
      <c r="G19" s="596">
        <f>0.5*' 3 AT Palkat, alv'!E16</f>
        <v>0</v>
      </c>
      <c r="H19" s="596">
        <f>0.5*(' 3 AT Palkat, alv'!E16+' 3 AT Palkat, alv'!F16)</f>
        <v>0</v>
      </c>
      <c r="I19" s="596">
        <f>0.5*(' 3 AT Palkat, alv'!F16+' 3 AT Palkat, alv'!G16)</f>
        <v>0</v>
      </c>
      <c r="J19" s="596">
        <f>0.5*(' 3 AT Palkat, alv'!G16+' 3 AT Palkat, alv'!H16)</f>
        <v>0</v>
      </c>
      <c r="K19" s="596">
        <f>0.5*(' 3 AT Palkat, alv'!H16+' 3 AT Palkat, alv'!I16)</f>
        <v>0</v>
      </c>
      <c r="L19" s="596">
        <f>0.5*(' 3 AT Palkat, alv'!I16+' 3 AT Palkat, alv'!J16)</f>
        <v>0</v>
      </c>
      <c r="M19" s="596">
        <f>0.5*(' 3 AT Palkat, alv'!J16+' 3 AT Palkat, alv'!K16)</f>
        <v>0</v>
      </c>
      <c r="N19" s="596">
        <f>0.5*(' 3 AT Palkat, alv'!K16+' 3 AT Palkat, alv'!L16)</f>
        <v>0</v>
      </c>
      <c r="O19" s="596">
        <f>0.5*(' 3 AT Palkat, alv'!L16+' 3 AT Palkat, alv'!M16)</f>
        <v>0</v>
      </c>
      <c r="P19" s="596">
        <f>0.5*(' 3 AT Palkat, alv'!M16+' 3 AT Palkat, alv'!N16)</f>
        <v>0</v>
      </c>
      <c r="Q19" s="596">
        <f>0.5*(' 3 AT Palkat, alv'!N16+' 3 AT Palkat, alv'!O16)</f>
        <v>0</v>
      </c>
      <c r="R19" s="596">
        <f>0.5*(' 3 AT Palkat, alv'!O16+' 3 AT Palkat, alv'!P16)</f>
        <v>0</v>
      </c>
      <c r="S19" s="295">
        <f>SUM(G19:R19)</f>
        <v>0</v>
      </c>
      <c r="U19" s="297">
        <f>'1. Ekonomikalkyl'!J237</f>
        <v>0</v>
      </c>
      <c r="V19" s="297">
        <f>'1. Ekonomikalkyl'!J235</f>
        <v>0</v>
      </c>
      <c r="W19" s="305"/>
      <c r="X19" s="305"/>
      <c r="Y19" s="9"/>
    </row>
    <row r="20" spans="2:25" ht="12.6" customHeight="1" x14ac:dyDescent="0.2">
      <c r="B20" s="1266"/>
      <c r="C20" s="384" t="s">
        <v>476</v>
      </c>
      <c r="D20" s="385"/>
      <c r="E20" s="385"/>
      <c r="F20" s="478"/>
      <c r="G20" s="414">
        <f>IF($V20=0,0,$V20*(G9+G11)/$U12)</f>
        <v>0</v>
      </c>
      <c r="H20" s="414">
        <f t="shared" ref="H20:R20" si="6">IF($V20=0,0,$V20*(H9+H11)/$U12)</f>
        <v>0</v>
      </c>
      <c r="I20" s="414">
        <f t="shared" si="6"/>
        <v>0</v>
      </c>
      <c r="J20" s="414">
        <f t="shared" si="6"/>
        <v>0</v>
      </c>
      <c r="K20" s="414">
        <f t="shared" si="6"/>
        <v>0</v>
      </c>
      <c r="L20" s="414">
        <f t="shared" si="6"/>
        <v>0</v>
      </c>
      <c r="M20" s="414">
        <f t="shared" si="6"/>
        <v>0</v>
      </c>
      <c r="N20" s="414">
        <f t="shared" si="6"/>
        <v>0</v>
      </c>
      <c r="O20" s="414">
        <f t="shared" si="6"/>
        <v>0</v>
      </c>
      <c r="P20" s="414">
        <f t="shared" si="6"/>
        <v>0</v>
      </c>
      <c r="Q20" s="414">
        <f t="shared" si="6"/>
        <v>0</v>
      </c>
      <c r="R20" s="414">
        <f t="shared" si="6"/>
        <v>0</v>
      </c>
      <c r="S20" s="392">
        <f>SUM(G20:R20)</f>
        <v>0</v>
      </c>
      <c r="U20" s="297"/>
      <c r="V20" s="297">
        <f>'1. Ekonomikalkyl'!J238</f>
        <v>0</v>
      </c>
      <c r="W20" s="305"/>
      <c r="X20" s="305"/>
      <c r="Y20" s="9"/>
    </row>
    <row r="21" spans="2:25" ht="12.6" customHeight="1" x14ac:dyDescent="0.2">
      <c r="B21" s="652" t="s">
        <v>548</v>
      </c>
      <c r="C21" s="1274" t="s">
        <v>477</v>
      </c>
      <c r="D21" s="1275"/>
      <c r="E21" s="1275"/>
      <c r="F21" s="412">
        <v>25.5</v>
      </c>
      <c r="G21" s="403">
        <f t="shared" ref="G21:R25" si="7">$V21/12*(1+$F21/100)</f>
        <v>0</v>
      </c>
      <c r="H21" s="403">
        <f t="shared" si="7"/>
        <v>0</v>
      </c>
      <c r="I21" s="403">
        <f t="shared" si="7"/>
        <v>0</v>
      </c>
      <c r="J21" s="403">
        <f t="shared" si="7"/>
        <v>0</v>
      </c>
      <c r="K21" s="403">
        <f t="shared" si="7"/>
        <v>0</v>
      </c>
      <c r="L21" s="403">
        <f t="shared" si="7"/>
        <v>0</v>
      </c>
      <c r="M21" s="403">
        <f t="shared" si="7"/>
        <v>0</v>
      </c>
      <c r="N21" s="403">
        <f t="shared" si="7"/>
        <v>0</v>
      </c>
      <c r="O21" s="403">
        <f t="shared" si="7"/>
        <v>0</v>
      </c>
      <c r="P21" s="403">
        <f t="shared" si="7"/>
        <v>0</v>
      </c>
      <c r="Q21" s="403">
        <f t="shared" si="7"/>
        <v>0</v>
      </c>
      <c r="R21" s="403">
        <f t="shared" si="7"/>
        <v>0</v>
      </c>
      <c r="S21" s="295">
        <f t="shared" ref="S21:S52" si="8">SUM(G21:R21)</f>
        <v>0</v>
      </c>
      <c r="U21" s="297">
        <f>V21*(1+F21/100)</f>
        <v>0</v>
      </c>
      <c r="V21" s="297">
        <f>12*'1. Ekonomikalkyl'!J61</f>
        <v>0</v>
      </c>
      <c r="W21" s="305"/>
      <c r="X21" s="305"/>
      <c r="Y21" s="9"/>
    </row>
    <row r="22" spans="2:25" ht="12.6" customHeight="1" x14ac:dyDescent="0.2">
      <c r="B22" s="652" t="s">
        <v>549</v>
      </c>
      <c r="C22" s="1274" t="s">
        <v>478</v>
      </c>
      <c r="D22" s="1275"/>
      <c r="E22" s="1275"/>
      <c r="F22" s="412">
        <v>25.5</v>
      </c>
      <c r="G22" s="403">
        <f t="shared" si="7"/>
        <v>0</v>
      </c>
      <c r="H22" s="403">
        <f t="shared" si="7"/>
        <v>0</v>
      </c>
      <c r="I22" s="403">
        <f t="shared" si="7"/>
        <v>0</v>
      </c>
      <c r="J22" s="403">
        <f t="shared" si="7"/>
        <v>0</v>
      </c>
      <c r="K22" s="403">
        <f t="shared" si="7"/>
        <v>0</v>
      </c>
      <c r="L22" s="403">
        <f t="shared" si="7"/>
        <v>0</v>
      </c>
      <c r="M22" s="403">
        <f t="shared" si="7"/>
        <v>0</v>
      </c>
      <c r="N22" s="403">
        <f t="shared" si="7"/>
        <v>0</v>
      </c>
      <c r="O22" s="403">
        <f t="shared" si="7"/>
        <v>0</v>
      </c>
      <c r="P22" s="403">
        <f t="shared" si="7"/>
        <v>0</v>
      </c>
      <c r="Q22" s="403">
        <f t="shared" si="7"/>
        <v>0</v>
      </c>
      <c r="R22" s="403">
        <f t="shared" si="7"/>
        <v>0</v>
      </c>
      <c r="S22" s="295">
        <f t="shared" si="8"/>
        <v>0</v>
      </c>
      <c r="U22" s="297">
        <f>V22*(1+F22/100)</f>
        <v>0</v>
      </c>
      <c r="V22" s="297">
        <f>IF('1. Ekonomikalkyl'!J33=12,'1. Ekonomikalkyl'!J74,IF('1. Ekonomikalkyl'!J33&lt;12,12*('1. Ekonomikalkyl'!J74+'1. Ekonomikalkyl'!K74)/('1. Ekonomikalkyl'!J33+'1. Ekonomikalkyl'!K33),12*'1. Ekonomikalkyl'!J74/'1. Ekonomikalkyl'!J33))</f>
        <v>0</v>
      </c>
      <c r="W22" s="305"/>
      <c r="X22" s="305"/>
    </row>
    <row r="23" spans="2:25" ht="12.6" customHeight="1" x14ac:dyDescent="0.2">
      <c r="B23" s="652" t="s">
        <v>550</v>
      </c>
      <c r="C23" s="1274" t="s">
        <v>479</v>
      </c>
      <c r="D23" s="1275"/>
      <c r="E23" s="1275"/>
      <c r="F23" s="412">
        <v>25.5</v>
      </c>
      <c r="G23" s="403">
        <f t="shared" si="7"/>
        <v>0</v>
      </c>
      <c r="H23" s="403">
        <f t="shared" si="7"/>
        <v>0</v>
      </c>
      <c r="I23" s="403">
        <f t="shared" si="7"/>
        <v>0</v>
      </c>
      <c r="J23" s="403">
        <f t="shared" si="7"/>
        <v>0</v>
      </c>
      <c r="K23" s="403">
        <f t="shared" si="7"/>
        <v>0</v>
      </c>
      <c r="L23" s="403">
        <f t="shared" si="7"/>
        <v>0</v>
      </c>
      <c r="M23" s="403">
        <f t="shared" si="7"/>
        <v>0</v>
      </c>
      <c r="N23" s="403">
        <f t="shared" si="7"/>
        <v>0</v>
      </c>
      <c r="O23" s="403">
        <f t="shared" si="7"/>
        <v>0</v>
      </c>
      <c r="P23" s="403">
        <f t="shared" si="7"/>
        <v>0</v>
      </c>
      <c r="Q23" s="403">
        <f t="shared" si="7"/>
        <v>0</v>
      </c>
      <c r="R23" s="403">
        <f t="shared" si="7"/>
        <v>0</v>
      </c>
      <c r="S23" s="295">
        <f t="shared" si="8"/>
        <v>0</v>
      </c>
      <c r="U23" s="297">
        <f>V23*(1+F23/100)</f>
        <v>0</v>
      </c>
      <c r="V23" s="297">
        <f>12*('1. Ekonomikalkyl'!J63+'1. Ekonomikalkyl'!J64+'1. Ekonomikalkyl'!J65)/'1. Ekonomikalkyl'!J33</f>
        <v>0</v>
      </c>
      <c r="W23" s="305"/>
      <c r="X23" s="305"/>
    </row>
    <row r="24" spans="2:25" ht="12.6" customHeight="1" x14ac:dyDescent="0.2">
      <c r="B24" s="652" t="s">
        <v>551</v>
      </c>
      <c r="C24" s="1274" t="s">
        <v>480</v>
      </c>
      <c r="D24" s="1275"/>
      <c r="E24" s="1275"/>
      <c r="F24" s="412">
        <v>25.5</v>
      </c>
      <c r="G24" s="403">
        <f t="shared" si="7"/>
        <v>0</v>
      </c>
      <c r="H24" s="403">
        <f t="shared" si="7"/>
        <v>0</v>
      </c>
      <c r="I24" s="403">
        <f t="shared" si="7"/>
        <v>0</v>
      </c>
      <c r="J24" s="403">
        <f t="shared" si="7"/>
        <v>0</v>
      </c>
      <c r="K24" s="403">
        <f t="shared" si="7"/>
        <v>0</v>
      </c>
      <c r="L24" s="403">
        <f t="shared" si="7"/>
        <v>0</v>
      </c>
      <c r="M24" s="403">
        <f t="shared" si="7"/>
        <v>0</v>
      </c>
      <c r="N24" s="403">
        <f t="shared" si="7"/>
        <v>0</v>
      </c>
      <c r="O24" s="403">
        <f t="shared" si="7"/>
        <v>0</v>
      </c>
      <c r="P24" s="403">
        <f t="shared" si="7"/>
        <v>0</v>
      </c>
      <c r="Q24" s="403">
        <f t="shared" si="7"/>
        <v>0</v>
      </c>
      <c r="R24" s="403">
        <f t="shared" si="7"/>
        <v>0</v>
      </c>
      <c r="S24" s="295">
        <f t="shared" si="8"/>
        <v>0</v>
      </c>
      <c r="U24" s="297">
        <f>V24*(1+F24/100)</f>
        <v>0</v>
      </c>
      <c r="V24" s="297">
        <f>12*('1. Ekonomikalkyl'!J109)/'1. Ekonomikalkyl'!J33</f>
        <v>0</v>
      </c>
      <c r="W24" s="305"/>
      <c r="X24" s="305"/>
    </row>
    <row r="25" spans="2:25" ht="12.6" customHeight="1" x14ac:dyDescent="0.2">
      <c r="B25" s="652" t="s">
        <v>552</v>
      </c>
      <c r="C25" s="1274" t="s">
        <v>481</v>
      </c>
      <c r="D25" s="1274"/>
      <c r="E25" s="1274"/>
      <c r="F25" s="412">
        <v>25.5</v>
      </c>
      <c r="G25" s="403">
        <f t="shared" si="7"/>
        <v>0</v>
      </c>
      <c r="H25" s="403">
        <f t="shared" si="7"/>
        <v>0</v>
      </c>
      <c r="I25" s="403">
        <f t="shared" si="7"/>
        <v>0</v>
      </c>
      <c r="J25" s="403">
        <f t="shared" si="7"/>
        <v>0</v>
      </c>
      <c r="K25" s="403">
        <f t="shared" si="7"/>
        <v>0</v>
      </c>
      <c r="L25" s="403">
        <f t="shared" si="7"/>
        <v>0</v>
      </c>
      <c r="M25" s="403">
        <f t="shared" si="7"/>
        <v>0</v>
      </c>
      <c r="N25" s="403">
        <f t="shared" si="7"/>
        <v>0</v>
      </c>
      <c r="O25" s="403">
        <f t="shared" si="7"/>
        <v>0</v>
      </c>
      <c r="P25" s="403">
        <f t="shared" si="7"/>
        <v>0</v>
      </c>
      <c r="Q25" s="403">
        <f t="shared" si="7"/>
        <v>0</v>
      </c>
      <c r="R25" s="403">
        <f t="shared" si="7"/>
        <v>0</v>
      </c>
      <c r="S25" s="295">
        <f t="shared" si="8"/>
        <v>0</v>
      </c>
      <c r="U25" s="297">
        <f>V25*(1+F25/100)</f>
        <v>0</v>
      </c>
      <c r="V25" s="297">
        <f>12*'1. Ekonomikalkyl'!J98/'1. Ekonomikalkyl'!J33</f>
        <v>0</v>
      </c>
      <c r="W25" s="305"/>
      <c r="X25" s="305"/>
    </row>
    <row r="26" spans="2:25" ht="12.6" customHeight="1" x14ac:dyDescent="0.2">
      <c r="B26" s="652" t="s">
        <v>553</v>
      </c>
      <c r="C26" s="1274" t="s">
        <v>482</v>
      </c>
      <c r="D26" s="1275"/>
      <c r="E26" s="1275"/>
      <c r="F26" s="412">
        <v>25.5</v>
      </c>
      <c r="G26" s="428">
        <f>U26</f>
        <v>0</v>
      </c>
      <c r="H26" s="403">
        <v>0</v>
      </c>
      <c r="I26" s="403">
        <v>0</v>
      </c>
      <c r="J26" s="403">
        <v>0</v>
      </c>
      <c r="K26" s="403">
        <v>0</v>
      </c>
      <c r="L26" s="403">
        <v>0</v>
      </c>
      <c r="M26" s="403">
        <v>0</v>
      </c>
      <c r="N26" s="403">
        <v>0</v>
      </c>
      <c r="O26" s="403">
        <v>0</v>
      </c>
      <c r="P26" s="403">
        <v>0</v>
      </c>
      <c r="Q26" s="403">
        <v>0</v>
      </c>
      <c r="R26" s="403">
        <v>0</v>
      </c>
      <c r="S26" s="295">
        <f>ROUND(SUM(G26:R26),0)</f>
        <v>0</v>
      </c>
      <c r="T26" s="616"/>
      <c r="U26" s="369">
        <f>ROUND(('1. Ekonomikalkyl'!F13+'1. Ekonomikalkyl'!F15+'1. Ekonomikalkyl'!F16+'1. Ekonomikalkyl'!F17+'1. Ekonomikalkyl'!F19+'1. Ekonomikalkyl'!F21+'1. Ekonomikalkyl'!F25),0)</f>
        <v>0</v>
      </c>
      <c r="V26" s="297"/>
      <c r="W26" s="305"/>
      <c r="X26" s="305"/>
    </row>
    <row r="27" spans="2:25" ht="12.6" customHeight="1" x14ac:dyDescent="0.2">
      <c r="B27" s="652" t="s">
        <v>132</v>
      </c>
      <c r="C27" s="386" t="s">
        <v>483</v>
      </c>
      <c r="D27" s="386"/>
      <c r="E27" s="389"/>
      <c r="F27" s="412">
        <v>25.5</v>
      </c>
      <c r="G27" s="403">
        <f t="shared" ref="G27:R31" si="9">$V27/12*(1+$F27/100)</f>
        <v>0</v>
      </c>
      <c r="H27" s="403">
        <f t="shared" si="9"/>
        <v>0</v>
      </c>
      <c r="I27" s="403">
        <f t="shared" si="9"/>
        <v>0</v>
      </c>
      <c r="J27" s="403">
        <f t="shared" si="9"/>
        <v>0</v>
      </c>
      <c r="K27" s="403">
        <f t="shared" si="9"/>
        <v>0</v>
      </c>
      <c r="L27" s="403">
        <f t="shared" si="9"/>
        <v>0</v>
      </c>
      <c r="M27" s="403">
        <f t="shared" si="9"/>
        <v>0</v>
      </c>
      <c r="N27" s="403">
        <f t="shared" si="9"/>
        <v>0</v>
      </c>
      <c r="O27" s="403">
        <f t="shared" si="9"/>
        <v>0</v>
      </c>
      <c r="P27" s="403">
        <f t="shared" si="9"/>
        <v>0</v>
      </c>
      <c r="Q27" s="403">
        <f t="shared" si="9"/>
        <v>0</v>
      </c>
      <c r="R27" s="403">
        <f t="shared" si="9"/>
        <v>0</v>
      </c>
      <c r="S27" s="295">
        <f t="shared" si="8"/>
        <v>0</v>
      </c>
      <c r="U27" s="297">
        <f>V27*(1+F27/100)</f>
        <v>0</v>
      </c>
      <c r="V27" s="297">
        <f>12*('1. Ekonomikalkyl'!J75-'1. Ekonomikalkyl'!J80)/'1. Ekonomikalkyl'!J33</f>
        <v>0</v>
      </c>
      <c r="W27" s="305"/>
      <c r="X27" s="305"/>
    </row>
    <row r="28" spans="2:25" ht="12.6" customHeight="1" x14ac:dyDescent="0.2">
      <c r="B28" s="652" t="s">
        <v>133</v>
      </c>
      <c r="C28" s="386" t="s">
        <v>484</v>
      </c>
      <c r="D28" s="393"/>
      <c r="E28" s="393"/>
      <c r="F28" s="412">
        <v>25.5</v>
      </c>
      <c r="G28" s="403">
        <f t="shared" si="9"/>
        <v>0</v>
      </c>
      <c r="H28" s="403">
        <f t="shared" si="9"/>
        <v>0</v>
      </c>
      <c r="I28" s="403">
        <f t="shared" si="9"/>
        <v>0</v>
      </c>
      <c r="J28" s="403">
        <f t="shared" si="9"/>
        <v>0</v>
      </c>
      <c r="K28" s="403">
        <f t="shared" si="9"/>
        <v>0</v>
      </c>
      <c r="L28" s="403">
        <f t="shared" si="9"/>
        <v>0</v>
      </c>
      <c r="M28" s="403">
        <f t="shared" si="9"/>
        <v>0</v>
      </c>
      <c r="N28" s="403">
        <f t="shared" si="9"/>
        <v>0</v>
      </c>
      <c r="O28" s="403">
        <f t="shared" si="9"/>
        <v>0</v>
      </c>
      <c r="P28" s="403">
        <f t="shared" si="9"/>
        <v>0</v>
      </c>
      <c r="Q28" s="403">
        <f t="shared" si="9"/>
        <v>0</v>
      </c>
      <c r="R28" s="403">
        <f t="shared" si="9"/>
        <v>0</v>
      </c>
      <c r="S28" s="295">
        <f t="shared" si="8"/>
        <v>0</v>
      </c>
      <c r="U28" s="297">
        <f>V28*(1+F28/100)</f>
        <v>0</v>
      </c>
      <c r="V28" s="297">
        <f>12*('1. Ekonomikalkyl'!J66+'1. Ekonomikalkyl'!J67+'1. Ekonomikalkyl'!J68)/'1. Ekonomikalkyl'!J33</f>
        <v>0</v>
      </c>
      <c r="W28" s="305"/>
      <c r="X28" s="305"/>
    </row>
    <row r="29" spans="2:25" ht="12.6" customHeight="1" x14ac:dyDescent="0.2">
      <c r="B29" s="652" t="s">
        <v>134</v>
      </c>
      <c r="C29" s="1274" t="s">
        <v>485</v>
      </c>
      <c r="D29" s="1275"/>
      <c r="E29" s="1275"/>
      <c r="F29" s="412">
        <v>25.5</v>
      </c>
      <c r="G29" s="403">
        <f t="shared" si="9"/>
        <v>0</v>
      </c>
      <c r="H29" s="403">
        <f t="shared" si="9"/>
        <v>0</v>
      </c>
      <c r="I29" s="403">
        <f t="shared" si="9"/>
        <v>0</v>
      </c>
      <c r="J29" s="403">
        <f t="shared" si="9"/>
        <v>0</v>
      </c>
      <c r="K29" s="403">
        <f t="shared" si="9"/>
        <v>0</v>
      </c>
      <c r="L29" s="403">
        <f t="shared" si="9"/>
        <v>0</v>
      </c>
      <c r="M29" s="403">
        <f t="shared" si="9"/>
        <v>0</v>
      </c>
      <c r="N29" s="403">
        <f t="shared" si="9"/>
        <v>0</v>
      </c>
      <c r="O29" s="403">
        <f t="shared" si="9"/>
        <v>0</v>
      </c>
      <c r="P29" s="403">
        <f t="shared" si="9"/>
        <v>0</v>
      </c>
      <c r="Q29" s="403">
        <f t="shared" si="9"/>
        <v>0</v>
      </c>
      <c r="R29" s="403">
        <f t="shared" si="9"/>
        <v>0</v>
      </c>
      <c r="S29" s="295">
        <f t="shared" si="8"/>
        <v>0</v>
      </c>
      <c r="U29" s="297">
        <f>V29*(1+F29/100)</f>
        <v>0</v>
      </c>
      <c r="V29" s="297">
        <f>12*'1. Ekonomikalkyl'!J87/'1. Ekonomikalkyl'!J33</f>
        <v>0</v>
      </c>
      <c r="W29" s="305"/>
      <c r="X29" s="305"/>
    </row>
    <row r="30" spans="2:25" ht="12.6" customHeight="1" x14ac:dyDescent="0.2">
      <c r="B30" s="652" t="s">
        <v>135</v>
      </c>
      <c r="C30" s="1274" t="s">
        <v>486</v>
      </c>
      <c r="D30" s="1274"/>
      <c r="E30" s="1274"/>
      <c r="F30" s="412">
        <v>25.5</v>
      </c>
      <c r="G30" s="403">
        <f t="shared" si="9"/>
        <v>0</v>
      </c>
      <c r="H30" s="403">
        <f t="shared" si="9"/>
        <v>0</v>
      </c>
      <c r="I30" s="403">
        <f t="shared" si="9"/>
        <v>0</v>
      </c>
      <c r="J30" s="403">
        <f t="shared" si="9"/>
        <v>0</v>
      </c>
      <c r="K30" s="403">
        <f t="shared" si="9"/>
        <v>0</v>
      </c>
      <c r="L30" s="403">
        <f t="shared" si="9"/>
        <v>0</v>
      </c>
      <c r="M30" s="403">
        <f t="shared" si="9"/>
        <v>0</v>
      </c>
      <c r="N30" s="403">
        <f t="shared" si="9"/>
        <v>0</v>
      </c>
      <c r="O30" s="403">
        <f t="shared" si="9"/>
        <v>0</v>
      </c>
      <c r="P30" s="403">
        <f t="shared" si="9"/>
        <v>0</v>
      </c>
      <c r="Q30" s="403">
        <f t="shared" si="9"/>
        <v>0</v>
      </c>
      <c r="R30" s="403">
        <f t="shared" si="9"/>
        <v>0</v>
      </c>
      <c r="S30" s="295">
        <f t="shared" si="8"/>
        <v>0</v>
      </c>
      <c r="U30" s="297">
        <f>V30*(1+F30/100)</f>
        <v>0</v>
      </c>
      <c r="V30" s="297">
        <f>12*'1. Ekonomikalkyl'!J83/'1. Ekonomikalkyl'!J33</f>
        <v>0</v>
      </c>
      <c r="W30" s="305"/>
      <c r="X30" s="305"/>
    </row>
    <row r="31" spans="2:25" ht="12.6" customHeight="1" x14ac:dyDescent="0.2">
      <c r="B31" s="652" t="s">
        <v>136</v>
      </c>
      <c r="C31" s="1274" t="s">
        <v>487</v>
      </c>
      <c r="D31" s="1275"/>
      <c r="E31" s="1275"/>
      <c r="F31" s="769">
        <v>0</v>
      </c>
      <c r="G31" s="403">
        <f t="shared" si="9"/>
        <v>0</v>
      </c>
      <c r="H31" s="403">
        <f t="shared" si="9"/>
        <v>0</v>
      </c>
      <c r="I31" s="403">
        <f t="shared" si="9"/>
        <v>0</v>
      </c>
      <c r="J31" s="403">
        <f t="shared" si="9"/>
        <v>0</v>
      </c>
      <c r="K31" s="403">
        <f t="shared" si="9"/>
        <v>0</v>
      </c>
      <c r="L31" s="403">
        <f t="shared" si="9"/>
        <v>0</v>
      </c>
      <c r="M31" s="403">
        <f t="shared" si="9"/>
        <v>0</v>
      </c>
      <c r="N31" s="403">
        <f t="shared" si="9"/>
        <v>0</v>
      </c>
      <c r="O31" s="403">
        <f t="shared" si="9"/>
        <v>0</v>
      </c>
      <c r="P31" s="403">
        <f t="shared" si="9"/>
        <v>0</v>
      </c>
      <c r="Q31" s="403">
        <f t="shared" si="9"/>
        <v>0</v>
      </c>
      <c r="R31" s="403">
        <f t="shared" si="9"/>
        <v>0</v>
      </c>
      <c r="S31" s="295">
        <f t="shared" si="8"/>
        <v>0</v>
      </c>
      <c r="U31" s="603">
        <f>V31*(1+F31/100)</f>
        <v>0</v>
      </c>
      <c r="V31" s="603">
        <f>12*' 3 AT Palkat, alv'!Q38/'1. Ekonomikalkyl'!J33</f>
        <v>0</v>
      </c>
      <c r="W31" s="305"/>
      <c r="X31" s="305"/>
    </row>
    <row r="32" spans="2:25" ht="12.6" customHeight="1" x14ac:dyDescent="0.2">
      <c r="B32" s="652" t="s">
        <v>137</v>
      </c>
      <c r="C32" s="1274" t="s">
        <v>488</v>
      </c>
      <c r="D32" s="1275"/>
      <c r="E32" s="1275"/>
      <c r="F32" s="387"/>
      <c r="G32" s="403"/>
      <c r="H32" s="403">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8"/>
        <v>0</v>
      </c>
      <c r="U32" s="604"/>
      <c r="V32" s="604"/>
      <c r="W32" s="305"/>
    </row>
    <row r="33" spans="2:40" ht="12.6" customHeight="1" x14ac:dyDescent="0.2">
      <c r="B33" s="652" t="s">
        <v>138</v>
      </c>
      <c r="C33" s="1274" t="s">
        <v>489</v>
      </c>
      <c r="D33" s="1275"/>
      <c r="E33" s="1275"/>
      <c r="F33" s="387"/>
      <c r="G33" s="297">
        <f>Z44</f>
        <v>0</v>
      </c>
      <c r="H33" s="297">
        <f t="shared" ref="H33:R33" si="10">AA44</f>
        <v>0</v>
      </c>
      <c r="I33" s="297">
        <f t="shared" si="10"/>
        <v>0</v>
      </c>
      <c r="J33" s="297">
        <f t="shared" si="10"/>
        <v>0</v>
      </c>
      <c r="K33" s="297">
        <f t="shared" si="10"/>
        <v>0</v>
      </c>
      <c r="L33" s="297">
        <f t="shared" si="10"/>
        <v>0</v>
      </c>
      <c r="M33" s="297">
        <f t="shared" si="10"/>
        <v>0</v>
      </c>
      <c r="N33" s="297">
        <f t="shared" si="10"/>
        <v>0</v>
      </c>
      <c r="O33" s="297">
        <f t="shared" si="10"/>
        <v>0</v>
      </c>
      <c r="P33" s="297">
        <f t="shared" si="10"/>
        <v>0</v>
      </c>
      <c r="Q33" s="297">
        <f t="shared" si="10"/>
        <v>0</v>
      </c>
      <c r="R33" s="297">
        <f t="shared" si="10"/>
        <v>0</v>
      </c>
      <c r="S33" s="295">
        <f t="shared" si="8"/>
        <v>0</v>
      </c>
      <c r="U33" s="276"/>
      <c r="V33" s="297">
        <f>AL33</f>
        <v>0</v>
      </c>
      <c r="W33" s="305"/>
      <c r="X33" s="432" t="s">
        <v>0</v>
      </c>
      <c r="Y33" s="257" t="s">
        <v>209</v>
      </c>
      <c r="Z33" s="644" t="str">
        <f t="shared" ref="Z33:AK33" si="11">G7</f>
        <v>JAN</v>
      </c>
      <c r="AA33" s="644" t="str">
        <f t="shared" si="11"/>
        <v>FEB</v>
      </c>
      <c r="AB33" s="644" t="str">
        <f t="shared" si="11"/>
        <v>MARS</v>
      </c>
      <c r="AC33" s="644" t="str">
        <f t="shared" si="11"/>
        <v>APR</v>
      </c>
      <c r="AD33" s="644" t="str">
        <f t="shared" si="11"/>
        <v>MAJ</v>
      </c>
      <c r="AE33" s="644" t="str">
        <f t="shared" si="11"/>
        <v>JUNI</v>
      </c>
      <c r="AF33" s="644" t="str">
        <f t="shared" si="11"/>
        <v>JULI</v>
      </c>
      <c r="AG33" s="644" t="str">
        <f t="shared" si="11"/>
        <v>AUG</v>
      </c>
      <c r="AH33" s="644" t="str">
        <f t="shared" si="11"/>
        <v>SEP</v>
      </c>
      <c r="AI33" s="644" t="str">
        <f t="shared" si="11"/>
        <v>OKT</v>
      </c>
      <c r="AJ33" s="644" t="str">
        <f t="shared" si="11"/>
        <v>NOV</v>
      </c>
      <c r="AK33" s="644" t="str">
        <f t="shared" si="11"/>
        <v>DEC</v>
      </c>
      <c r="AL33" s="361"/>
    </row>
    <row r="34" spans="2:40" ht="12" customHeight="1" x14ac:dyDescent="0.2">
      <c r="B34" s="657"/>
      <c r="C34" s="1285" t="s">
        <v>537</v>
      </c>
      <c r="D34" s="1286" t="s">
        <v>490</v>
      </c>
      <c r="E34" s="1287"/>
      <c r="F34" s="415">
        <v>0.28999999999999998</v>
      </c>
      <c r="G34" s="401">
        <f t="shared" ref="G34:R37" si="12">$V34/12</f>
        <v>0</v>
      </c>
      <c r="H34" s="401">
        <f t="shared" si="12"/>
        <v>0</v>
      </c>
      <c r="I34" s="401">
        <f t="shared" si="12"/>
        <v>0</v>
      </c>
      <c r="J34" s="401">
        <f t="shared" si="12"/>
        <v>0</v>
      </c>
      <c r="K34" s="401">
        <f t="shared" si="12"/>
        <v>0</v>
      </c>
      <c r="L34" s="401">
        <f t="shared" si="12"/>
        <v>0</v>
      </c>
      <c r="M34" s="401">
        <f t="shared" si="12"/>
        <v>0</v>
      </c>
      <c r="N34" s="401">
        <f t="shared" si="12"/>
        <v>0</v>
      </c>
      <c r="O34" s="401">
        <f t="shared" si="12"/>
        <v>0</v>
      </c>
      <c r="P34" s="401">
        <f t="shared" si="12"/>
        <v>0</v>
      </c>
      <c r="Q34" s="401">
        <f t="shared" si="12"/>
        <v>0</v>
      </c>
      <c r="R34" s="401">
        <f t="shared" si="12"/>
        <v>0</v>
      </c>
      <c r="S34" s="394">
        <f t="shared" si="8"/>
        <v>0</v>
      </c>
      <c r="T34" s="22"/>
      <c r="U34" s="284"/>
      <c r="V34" s="605">
        <f>'1. Ekonomikalkyl'!J39*12</f>
        <v>0</v>
      </c>
      <c r="W34" s="305"/>
      <c r="X34" s="360" t="s">
        <v>218</v>
      </c>
      <c r="Y34" s="359"/>
      <c r="Z34" s="646">
        <f t="shared" ref="Z34:AK34" si="13">G34+G35</f>
        <v>0</v>
      </c>
      <c r="AA34" s="646">
        <f t="shared" si="13"/>
        <v>0</v>
      </c>
      <c r="AB34" s="646">
        <f t="shared" si="13"/>
        <v>0</v>
      </c>
      <c r="AC34" s="646">
        <f t="shared" si="13"/>
        <v>0</v>
      </c>
      <c r="AD34" s="646">
        <f t="shared" si="13"/>
        <v>0</v>
      </c>
      <c r="AE34" s="646">
        <f t="shared" si="13"/>
        <v>0</v>
      </c>
      <c r="AF34" s="646">
        <f t="shared" si="13"/>
        <v>0</v>
      </c>
      <c r="AG34" s="646">
        <f t="shared" si="13"/>
        <v>0</v>
      </c>
      <c r="AH34" s="646">
        <f t="shared" si="13"/>
        <v>0</v>
      </c>
      <c r="AI34" s="646">
        <f t="shared" si="13"/>
        <v>0</v>
      </c>
      <c r="AJ34" s="646">
        <f t="shared" si="13"/>
        <v>0</v>
      </c>
      <c r="AK34" s="646">
        <f t="shared" si="13"/>
        <v>0</v>
      </c>
      <c r="AL34" s="646">
        <f>SUM(Z34:AK34)</f>
        <v>0</v>
      </c>
    </row>
    <row r="35" spans="2:40" ht="12" customHeight="1" x14ac:dyDescent="0.2">
      <c r="B35" s="657"/>
      <c r="C35" s="1285" t="s">
        <v>538</v>
      </c>
      <c r="D35" s="1285"/>
      <c r="E35" s="1285"/>
      <c r="F35" s="1004"/>
      <c r="G35" s="401">
        <f t="shared" si="12"/>
        <v>0</v>
      </c>
      <c r="H35" s="401">
        <f t="shared" si="12"/>
        <v>0</v>
      </c>
      <c r="I35" s="401">
        <f t="shared" si="12"/>
        <v>0</v>
      </c>
      <c r="J35" s="401">
        <f t="shared" si="12"/>
        <v>0</v>
      </c>
      <c r="K35" s="401">
        <f t="shared" si="12"/>
        <v>0</v>
      </c>
      <c r="L35" s="401">
        <f t="shared" si="12"/>
        <v>0</v>
      </c>
      <c r="M35" s="401">
        <f t="shared" si="12"/>
        <v>0</v>
      </c>
      <c r="N35" s="401">
        <f t="shared" si="12"/>
        <v>0</v>
      </c>
      <c r="O35" s="401">
        <f t="shared" si="12"/>
        <v>0</v>
      </c>
      <c r="P35" s="401">
        <f t="shared" si="12"/>
        <v>0</v>
      </c>
      <c r="Q35" s="401">
        <f t="shared" si="12"/>
        <v>0</v>
      </c>
      <c r="R35" s="401">
        <f t="shared" si="12"/>
        <v>0</v>
      </c>
      <c r="S35" s="394">
        <f t="shared" si="8"/>
        <v>0</v>
      </c>
      <c r="T35" s="22"/>
      <c r="U35" s="284"/>
      <c r="V35" s="605">
        <f>'1. Ekonomikalkyl'!J40*12</f>
        <v>0</v>
      </c>
      <c r="W35" s="305"/>
      <c r="X35" s="360" t="s">
        <v>176</v>
      </c>
      <c r="Y35" s="435">
        <f>F34+1.91%</f>
        <v>0.30909999999999999</v>
      </c>
      <c r="Z35" s="647">
        <f>Z34*$Y35</f>
        <v>0</v>
      </c>
      <c r="AA35" s="647">
        <f t="shared" ref="AA35:AK35" si="14">AA34*$Y35</f>
        <v>0</v>
      </c>
      <c r="AB35" s="647">
        <f t="shared" si="14"/>
        <v>0</v>
      </c>
      <c r="AC35" s="647">
        <f t="shared" si="14"/>
        <v>0</v>
      </c>
      <c r="AD35" s="647">
        <f t="shared" si="14"/>
        <v>0</v>
      </c>
      <c r="AE35" s="647">
        <f t="shared" si="14"/>
        <v>0</v>
      </c>
      <c r="AF35" s="647">
        <f t="shared" si="14"/>
        <v>0</v>
      </c>
      <c r="AG35" s="647">
        <f t="shared" si="14"/>
        <v>0</v>
      </c>
      <c r="AH35" s="647">
        <f t="shared" si="14"/>
        <v>0</v>
      </c>
      <c r="AI35" s="647">
        <f t="shared" si="14"/>
        <v>0</v>
      </c>
      <c r="AJ35" s="647">
        <f t="shared" si="14"/>
        <v>0</v>
      </c>
      <c r="AK35" s="647">
        <f t="shared" si="14"/>
        <v>0</v>
      </c>
      <c r="AL35" s="646">
        <f t="shared" ref="AL35:AL38" si="15">SUM(Z35:AK35)</f>
        <v>0</v>
      </c>
      <c r="AN35" s="257"/>
    </row>
    <row r="36" spans="2:40" ht="12" customHeight="1" x14ac:dyDescent="0.2">
      <c r="B36" s="657"/>
      <c r="C36" s="1285" t="s">
        <v>539</v>
      </c>
      <c r="D36" s="1286" t="s">
        <v>491</v>
      </c>
      <c r="E36" s="1287"/>
      <c r="F36" s="415">
        <v>0.25</v>
      </c>
      <c r="G36" s="401">
        <f t="shared" si="12"/>
        <v>0</v>
      </c>
      <c r="H36" s="401">
        <f t="shared" si="12"/>
        <v>0</v>
      </c>
      <c r="I36" s="401">
        <f t="shared" si="12"/>
        <v>0</v>
      </c>
      <c r="J36" s="401">
        <f t="shared" si="12"/>
        <v>0</v>
      </c>
      <c r="K36" s="401">
        <f t="shared" si="12"/>
        <v>0</v>
      </c>
      <c r="L36" s="401">
        <f t="shared" si="12"/>
        <v>0</v>
      </c>
      <c r="M36" s="401">
        <f t="shared" si="12"/>
        <v>0</v>
      </c>
      <c r="N36" s="401">
        <f t="shared" si="12"/>
        <v>0</v>
      </c>
      <c r="O36" s="401">
        <f t="shared" si="12"/>
        <v>0</v>
      </c>
      <c r="P36" s="401">
        <f t="shared" si="12"/>
        <v>0</v>
      </c>
      <c r="Q36" s="401">
        <f t="shared" si="12"/>
        <v>0</v>
      </c>
      <c r="R36" s="401">
        <f t="shared" si="12"/>
        <v>0</v>
      </c>
      <c r="S36" s="394">
        <f t="shared" si="8"/>
        <v>0</v>
      </c>
      <c r="T36" s="22"/>
      <c r="U36" s="284"/>
      <c r="V36" s="431">
        <f>'1. Ekonomikalkyl'!J43*'1. Ekonomikalkyl'!J45</f>
        <v>0</v>
      </c>
      <c r="W36" s="305"/>
      <c r="X36" s="360" t="s">
        <v>217</v>
      </c>
      <c r="Y36" s="362"/>
      <c r="Z36" s="646">
        <f t="shared" ref="Z36:AK36" si="16">G36+G37</f>
        <v>0</v>
      </c>
      <c r="AA36" s="646">
        <f t="shared" si="16"/>
        <v>0</v>
      </c>
      <c r="AB36" s="646">
        <f t="shared" si="16"/>
        <v>0</v>
      </c>
      <c r="AC36" s="646">
        <f t="shared" si="16"/>
        <v>0</v>
      </c>
      <c r="AD36" s="646">
        <f t="shared" si="16"/>
        <v>0</v>
      </c>
      <c r="AE36" s="646">
        <f t="shared" si="16"/>
        <v>0</v>
      </c>
      <c r="AF36" s="646">
        <f t="shared" si="16"/>
        <v>0</v>
      </c>
      <c r="AG36" s="646">
        <f t="shared" si="16"/>
        <v>0</v>
      </c>
      <c r="AH36" s="646">
        <f t="shared" si="16"/>
        <v>0</v>
      </c>
      <c r="AI36" s="646">
        <f t="shared" si="16"/>
        <v>0</v>
      </c>
      <c r="AJ36" s="646">
        <f t="shared" si="16"/>
        <v>0</v>
      </c>
      <c r="AK36" s="646">
        <f t="shared" si="16"/>
        <v>0</v>
      </c>
      <c r="AL36" s="646">
        <f t="shared" si="15"/>
        <v>0</v>
      </c>
    </row>
    <row r="37" spans="2:40" ht="12" customHeight="1" x14ac:dyDescent="0.2">
      <c r="B37" s="657"/>
      <c r="C37" s="1285" t="s">
        <v>540</v>
      </c>
      <c r="D37" s="1285"/>
      <c r="E37" s="1285"/>
      <c r="F37" s="1004"/>
      <c r="G37" s="401">
        <f t="shared" si="12"/>
        <v>0</v>
      </c>
      <c r="H37" s="401">
        <f t="shared" si="12"/>
        <v>0</v>
      </c>
      <c r="I37" s="401">
        <f t="shared" si="12"/>
        <v>0</v>
      </c>
      <c r="J37" s="401">
        <f t="shared" si="12"/>
        <v>0</v>
      </c>
      <c r="K37" s="401">
        <f t="shared" si="12"/>
        <v>0</v>
      </c>
      <c r="L37" s="401">
        <f t="shared" si="12"/>
        <v>0</v>
      </c>
      <c r="M37" s="401">
        <f t="shared" si="12"/>
        <v>0</v>
      </c>
      <c r="N37" s="401">
        <f t="shared" si="12"/>
        <v>0</v>
      </c>
      <c r="O37" s="401">
        <f t="shared" si="12"/>
        <v>0</v>
      </c>
      <c r="P37" s="401">
        <f t="shared" si="12"/>
        <v>0</v>
      </c>
      <c r="Q37" s="401">
        <f t="shared" si="12"/>
        <v>0</v>
      </c>
      <c r="R37" s="401">
        <f t="shared" si="12"/>
        <v>0</v>
      </c>
      <c r="S37" s="394">
        <f t="shared" si="8"/>
        <v>0</v>
      </c>
      <c r="T37" s="22"/>
      <c r="U37" s="284"/>
      <c r="V37" s="431">
        <f>'1. Ekonomikalkyl'!J44*12</f>
        <v>0</v>
      </c>
      <c r="W37" s="305"/>
      <c r="X37" s="360" t="s">
        <v>176</v>
      </c>
      <c r="Y37" s="435">
        <f>F36+1.91%</f>
        <v>0.26910000000000001</v>
      </c>
      <c r="Z37" s="647">
        <f>Z36*$Y37</f>
        <v>0</v>
      </c>
      <c r="AA37" s="647">
        <f t="shared" ref="AA37:AK37" si="17">AA36*$Y37</f>
        <v>0</v>
      </c>
      <c r="AB37" s="647">
        <f t="shared" si="17"/>
        <v>0</v>
      </c>
      <c r="AC37" s="647">
        <f t="shared" si="17"/>
        <v>0</v>
      </c>
      <c r="AD37" s="647">
        <f t="shared" si="17"/>
        <v>0</v>
      </c>
      <c r="AE37" s="647">
        <f t="shared" si="17"/>
        <v>0</v>
      </c>
      <c r="AF37" s="647">
        <f t="shared" si="17"/>
        <v>0</v>
      </c>
      <c r="AG37" s="647">
        <f t="shared" si="17"/>
        <v>0</v>
      </c>
      <c r="AH37" s="647">
        <f t="shared" si="17"/>
        <v>0</v>
      </c>
      <c r="AI37" s="647">
        <f t="shared" si="17"/>
        <v>0</v>
      </c>
      <c r="AJ37" s="647">
        <f t="shared" si="17"/>
        <v>0</v>
      </c>
      <c r="AK37" s="647">
        <f t="shared" si="17"/>
        <v>0</v>
      </c>
      <c r="AL37" s="646">
        <f t="shared" si="15"/>
        <v>0</v>
      </c>
    </row>
    <row r="38" spans="2:40" ht="12" customHeight="1" x14ac:dyDescent="0.2">
      <c r="B38" s="657"/>
      <c r="C38" s="1285" t="s">
        <v>541</v>
      </c>
      <c r="D38" s="1285"/>
      <c r="E38" s="1288"/>
      <c r="F38" s="416">
        <v>8.1900000000000001E-2</v>
      </c>
      <c r="G38" s="431">
        <f>(G36+G37)*$F38</f>
        <v>0</v>
      </c>
      <c r="H38" s="431">
        <f t="shared" ref="H38:R38" si="18">(H36+H37)*$F38</f>
        <v>0</v>
      </c>
      <c r="I38" s="431">
        <f t="shared" si="18"/>
        <v>0</v>
      </c>
      <c r="J38" s="431">
        <f t="shared" si="18"/>
        <v>0</v>
      </c>
      <c r="K38" s="431">
        <f t="shared" si="18"/>
        <v>0</v>
      </c>
      <c r="L38" s="431">
        <f t="shared" si="18"/>
        <v>0</v>
      </c>
      <c r="M38" s="431">
        <f t="shared" si="18"/>
        <v>0</v>
      </c>
      <c r="N38" s="431">
        <f t="shared" si="18"/>
        <v>0</v>
      </c>
      <c r="O38" s="431">
        <f t="shared" si="18"/>
        <v>0</v>
      </c>
      <c r="P38" s="431">
        <f t="shared" si="18"/>
        <v>0</v>
      </c>
      <c r="Q38" s="431">
        <f t="shared" si="18"/>
        <v>0</v>
      </c>
      <c r="R38" s="431">
        <f t="shared" si="18"/>
        <v>0</v>
      </c>
      <c r="S38" s="394">
        <f t="shared" si="8"/>
        <v>0</v>
      </c>
      <c r="T38" s="22"/>
      <c r="U38" s="284"/>
      <c r="V38" s="606"/>
      <c r="W38" s="305"/>
      <c r="X38" s="643" t="s">
        <v>256</v>
      </c>
      <c r="Y38" s="642"/>
      <c r="Z38" s="648">
        <f>Z35+Z37</f>
        <v>0</v>
      </c>
      <c r="AA38" s="648">
        <f t="shared" ref="AA38:AK38" si="19">AA35+AA37</f>
        <v>0</v>
      </c>
      <c r="AB38" s="648">
        <f t="shared" si="19"/>
        <v>0</v>
      </c>
      <c r="AC38" s="648">
        <f t="shared" si="19"/>
        <v>0</v>
      </c>
      <c r="AD38" s="648">
        <f t="shared" si="19"/>
        <v>0</v>
      </c>
      <c r="AE38" s="648">
        <f t="shared" si="19"/>
        <v>0</v>
      </c>
      <c r="AF38" s="648">
        <f t="shared" si="19"/>
        <v>0</v>
      </c>
      <c r="AG38" s="648">
        <f t="shared" si="19"/>
        <v>0</v>
      </c>
      <c r="AH38" s="648">
        <f t="shared" si="19"/>
        <v>0</v>
      </c>
      <c r="AI38" s="648">
        <f t="shared" si="19"/>
        <v>0</v>
      </c>
      <c r="AJ38" s="648">
        <f t="shared" si="19"/>
        <v>0</v>
      </c>
      <c r="AK38" s="648">
        <f t="shared" si="19"/>
        <v>0</v>
      </c>
      <c r="AL38" s="649">
        <f t="shared" si="15"/>
        <v>0</v>
      </c>
    </row>
    <row r="39" spans="2:40" ht="12.6" customHeight="1" x14ac:dyDescent="0.2">
      <c r="B39" s="652" t="s">
        <v>139</v>
      </c>
      <c r="C39" s="384" t="s">
        <v>492</v>
      </c>
      <c r="D39" s="385"/>
      <c r="E39" s="385"/>
      <c r="F39" s="397"/>
      <c r="G39" s="297">
        <v>0</v>
      </c>
      <c r="H39" s="403">
        <f>Z38</f>
        <v>0</v>
      </c>
      <c r="I39" s="403">
        <f t="shared" ref="I39:R39" si="20">AA38</f>
        <v>0</v>
      </c>
      <c r="J39" s="403">
        <f t="shared" si="20"/>
        <v>0</v>
      </c>
      <c r="K39" s="403">
        <f t="shared" si="20"/>
        <v>0</v>
      </c>
      <c r="L39" s="403">
        <f t="shared" si="20"/>
        <v>0</v>
      </c>
      <c r="M39" s="403">
        <f t="shared" si="20"/>
        <v>0</v>
      </c>
      <c r="N39" s="403">
        <f t="shared" si="20"/>
        <v>0</v>
      </c>
      <c r="O39" s="403">
        <f t="shared" si="20"/>
        <v>0</v>
      </c>
      <c r="P39" s="403">
        <f t="shared" si="20"/>
        <v>0</v>
      </c>
      <c r="Q39" s="403">
        <f t="shared" si="20"/>
        <v>0</v>
      </c>
      <c r="R39" s="403">
        <f t="shared" si="20"/>
        <v>0</v>
      </c>
      <c r="S39" s="295">
        <f t="shared" si="8"/>
        <v>0</v>
      </c>
      <c r="U39" s="276"/>
      <c r="V39" s="607"/>
      <c r="W39" s="305"/>
      <c r="X39" s="432" t="s">
        <v>251</v>
      </c>
      <c r="Y39" s="640">
        <f>F34</f>
        <v>0.28999999999999998</v>
      </c>
      <c r="Z39" s="362">
        <f>Z34*$Y39</f>
        <v>0</v>
      </c>
      <c r="AA39" s="362">
        <f t="shared" ref="AA39:AK39" si="21">AA34*$Y39</f>
        <v>0</v>
      </c>
      <c r="AB39" s="362">
        <f t="shared" si="21"/>
        <v>0</v>
      </c>
      <c r="AC39" s="362">
        <f t="shared" si="21"/>
        <v>0</v>
      </c>
      <c r="AD39" s="362">
        <f t="shared" si="21"/>
        <v>0</v>
      </c>
      <c r="AE39" s="362">
        <f t="shared" si="21"/>
        <v>0</v>
      </c>
      <c r="AF39" s="362">
        <f t="shared" si="21"/>
        <v>0</v>
      </c>
      <c r="AG39" s="362">
        <f t="shared" si="21"/>
        <v>0</v>
      </c>
      <c r="AH39" s="362">
        <f t="shared" si="21"/>
        <v>0</v>
      </c>
      <c r="AI39" s="362">
        <f t="shared" si="21"/>
        <v>0</v>
      </c>
      <c r="AJ39" s="362">
        <f t="shared" si="21"/>
        <v>0</v>
      </c>
      <c r="AK39" s="362">
        <f t="shared" si="21"/>
        <v>0</v>
      </c>
      <c r="AL39" s="646">
        <f>SUM(Z39:AK39)</f>
        <v>0</v>
      </c>
    </row>
    <row r="40" spans="2:40" ht="12.6" customHeight="1" x14ac:dyDescent="0.2">
      <c r="B40" s="653" t="s">
        <v>140</v>
      </c>
      <c r="C40" s="1274" t="s">
        <v>493</v>
      </c>
      <c r="D40" s="1274"/>
      <c r="E40" s="1274"/>
      <c r="F40" s="1276"/>
      <c r="G40" s="403">
        <f t="shared" ref="G40:R40" si="22">$V40/12</f>
        <v>0</v>
      </c>
      <c r="H40" s="403">
        <f t="shared" si="22"/>
        <v>0</v>
      </c>
      <c r="I40" s="403">
        <f t="shared" si="22"/>
        <v>0</v>
      </c>
      <c r="J40" s="403">
        <f t="shared" si="22"/>
        <v>0</v>
      </c>
      <c r="K40" s="403">
        <f t="shared" si="22"/>
        <v>0</v>
      </c>
      <c r="L40" s="403">
        <f t="shared" si="22"/>
        <v>0</v>
      </c>
      <c r="M40" s="403">
        <f t="shared" si="22"/>
        <v>0</v>
      </c>
      <c r="N40" s="403">
        <f t="shared" si="22"/>
        <v>0</v>
      </c>
      <c r="O40" s="403">
        <f t="shared" si="22"/>
        <v>0</v>
      </c>
      <c r="P40" s="403">
        <f t="shared" si="22"/>
        <v>0</v>
      </c>
      <c r="Q40" s="403">
        <f t="shared" si="22"/>
        <v>0</v>
      </c>
      <c r="R40" s="403">
        <f t="shared" si="22"/>
        <v>0</v>
      </c>
      <c r="S40" s="295">
        <f t="shared" si="8"/>
        <v>0</v>
      </c>
      <c r="U40" s="276"/>
      <c r="V40" s="390">
        <f>'1. Ekonomikalkyl'!J47</f>
        <v>0</v>
      </c>
      <c r="W40" s="305"/>
      <c r="X40" s="432" t="s">
        <v>252</v>
      </c>
      <c r="Y40" s="640">
        <f>F36</f>
        <v>0.25</v>
      </c>
      <c r="Z40" s="362">
        <f>Z36*$Y40</f>
        <v>0</v>
      </c>
      <c r="AA40" s="362">
        <f t="shared" ref="AA40:AK40" si="23">AA36*$Y40</f>
        <v>0</v>
      </c>
      <c r="AB40" s="362">
        <f t="shared" si="23"/>
        <v>0</v>
      </c>
      <c r="AC40" s="362">
        <f t="shared" si="23"/>
        <v>0</v>
      </c>
      <c r="AD40" s="362">
        <f t="shared" si="23"/>
        <v>0</v>
      </c>
      <c r="AE40" s="362">
        <f t="shared" si="23"/>
        <v>0</v>
      </c>
      <c r="AF40" s="362">
        <f t="shared" si="23"/>
        <v>0</v>
      </c>
      <c r="AG40" s="362">
        <f t="shared" si="23"/>
        <v>0</v>
      </c>
      <c r="AH40" s="362">
        <f t="shared" si="23"/>
        <v>0</v>
      </c>
      <c r="AI40" s="362">
        <f t="shared" si="23"/>
        <v>0</v>
      </c>
      <c r="AJ40" s="362">
        <f t="shared" si="23"/>
        <v>0</v>
      </c>
      <c r="AK40" s="362">
        <f t="shared" si="23"/>
        <v>0</v>
      </c>
      <c r="AL40" s="646">
        <f>SUM(Z40:AK40)</f>
        <v>0</v>
      </c>
    </row>
    <row r="41" spans="2:40" ht="12.6" customHeight="1" x14ac:dyDescent="0.2">
      <c r="B41" s="653" t="s">
        <v>141</v>
      </c>
      <c r="C41" s="1274" t="s">
        <v>494</v>
      </c>
      <c r="D41" s="1275"/>
      <c r="E41" s="1275"/>
      <c r="F41" s="416">
        <v>0.17979999999999999</v>
      </c>
      <c r="G41" s="432">
        <f>(G36+G37)*$F41</f>
        <v>0</v>
      </c>
      <c r="H41" s="432">
        <f t="shared" ref="H41:R41" si="24">(H36+H37)*$F41</f>
        <v>0</v>
      </c>
      <c r="I41" s="432">
        <f t="shared" si="24"/>
        <v>0</v>
      </c>
      <c r="J41" s="432">
        <f t="shared" si="24"/>
        <v>0</v>
      </c>
      <c r="K41" s="432">
        <f t="shared" si="24"/>
        <v>0</v>
      </c>
      <c r="L41" s="432">
        <f t="shared" si="24"/>
        <v>0</v>
      </c>
      <c r="M41" s="432">
        <f t="shared" si="24"/>
        <v>0</v>
      </c>
      <c r="N41" s="432">
        <f t="shared" si="24"/>
        <v>0</v>
      </c>
      <c r="O41" s="432">
        <f t="shared" si="24"/>
        <v>0</v>
      </c>
      <c r="P41" s="432">
        <f t="shared" si="24"/>
        <v>0</v>
      </c>
      <c r="Q41" s="432">
        <f t="shared" si="24"/>
        <v>0</v>
      </c>
      <c r="R41" s="432">
        <f t="shared" si="24"/>
        <v>0</v>
      </c>
      <c r="S41" s="295">
        <f t="shared" si="8"/>
        <v>0</v>
      </c>
      <c r="U41" s="276"/>
      <c r="V41" s="276"/>
      <c r="W41" s="305"/>
      <c r="X41" s="432" t="s">
        <v>254</v>
      </c>
      <c r="Y41" s="359"/>
      <c r="Z41" s="646">
        <f t="shared" ref="Z41:AK41" si="25">G34</f>
        <v>0</v>
      </c>
      <c r="AA41" s="646">
        <f t="shared" si="25"/>
        <v>0</v>
      </c>
      <c r="AB41" s="646">
        <f t="shared" si="25"/>
        <v>0</v>
      </c>
      <c r="AC41" s="646">
        <f t="shared" si="25"/>
        <v>0</v>
      </c>
      <c r="AD41" s="646">
        <f t="shared" si="25"/>
        <v>0</v>
      </c>
      <c r="AE41" s="646">
        <f t="shared" si="25"/>
        <v>0</v>
      </c>
      <c r="AF41" s="646">
        <f t="shared" si="25"/>
        <v>0</v>
      </c>
      <c r="AG41" s="646">
        <f t="shared" si="25"/>
        <v>0</v>
      </c>
      <c r="AH41" s="646">
        <f t="shared" si="25"/>
        <v>0</v>
      </c>
      <c r="AI41" s="646">
        <f t="shared" si="25"/>
        <v>0</v>
      </c>
      <c r="AJ41" s="646">
        <f t="shared" si="25"/>
        <v>0</v>
      </c>
      <c r="AK41" s="646">
        <f t="shared" si="25"/>
        <v>0</v>
      </c>
      <c r="AL41" s="646">
        <f t="shared" ref="AL41:AL43" si="26">SUM(Z41:AK41)</f>
        <v>0</v>
      </c>
    </row>
    <row r="42" spans="2:40" ht="12.6" customHeight="1" x14ac:dyDescent="0.2">
      <c r="B42" s="653" t="s">
        <v>142</v>
      </c>
      <c r="C42" s="386" t="s">
        <v>495</v>
      </c>
      <c r="D42" s="389"/>
      <c r="E42" s="389"/>
      <c r="F42" s="398"/>
      <c r="G42" s="403">
        <f t="shared" ref="G42:R42" si="27">$V42/12</f>
        <v>0</v>
      </c>
      <c r="H42" s="403">
        <f t="shared" si="27"/>
        <v>0</v>
      </c>
      <c r="I42" s="403">
        <f t="shared" si="27"/>
        <v>0</v>
      </c>
      <c r="J42" s="403">
        <f t="shared" si="27"/>
        <v>0</v>
      </c>
      <c r="K42" s="403">
        <f t="shared" si="27"/>
        <v>0</v>
      </c>
      <c r="L42" s="403">
        <f t="shared" si="27"/>
        <v>0</v>
      </c>
      <c r="M42" s="403">
        <f t="shared" si="27"/>
        <v>0</v>
      </c>
      <c r="N42" s="403">
        <f t="shared" si="27"/>
        <v>0</v>
      </c>
      <c r="O42" s="403">
        <f t="shared" si="27"/>
        <v>0</v>
      </c>
      <c r="P42" s="403">
        <f t="shared" si="27"/>
        <v>0</v>
      </c>
      <c r="Q42" s="403">
        <f t="shared" si="27"/>
        <v>0</v>
      </c>
      <c r="R42" s="403">
        <f t="shared" si="27"/>
        <v>0</v>
      </c>
      <c r="S42" s="392">
        <f t="shared" si="8"/>
        <v>0</v>
      </c>
      <c r="U42" s="276"/>
      <c r="V42" s="297">
        <f>12*'1. Ekonomikalkyl'!J52/'1. Ekonomikalkyl'!J33</f>
        <v>0</v>
      </c>
      <c r="W42" s="305"/>
      <c r="X42" s="432" t="s">
        <v>255</v>
      </c>
      <c r="Y42" s="359"/>
      <c r="Z42" s="646">
        <f t="shared" ref="Z42:AK42" si="28">G36</f>
        <v>0</v>
      </c>
      <c r="AA42" s="646">
        <f t="shared" si="28"/>
        <v>0</v>
      </c>
      <c r="AB42" s="646">
        <f t="shared" si="28"/>
        <v>0</v>
      </c>
      <c r="AC42" s="646">
        <f t="shared" si="28"/>
        <v>0</v>
      </c>
      <c r="AD42" s="646">
        <f t="shared" si="28"/>
        <v>0</v>
      </c>
      <c r="AE42" s="646">
        <f t="shared" si="28"/>
        <v>0</v>
      </c>
      <c r="AF42" s="646">
        <f t="shared" si="28"/>
        <v>0</v>
      </c>
      <c r="AG42" s="646">
        <f t="shared" si="28"/>
        <v>0</v>
      </c>
      <c r="AH42" s="646">
        <f t="shared" si="28"/>
        <v>0</v>
      </c>
      <c r="AI42" s="646">
        <f t="shared" si="28"/>
        <v>0</v>
      </c>
      <c r="AJ42" s="646">
        <f t="shared" si="28"/>
        <v>0</v>
      </c>
      <c r="AK42" s="646">
        <f t="shared" si="28"/>
        <v>0</v>
      </c>
      <c r="AL42" s="646">
        <f t="shared" si="26"/>
        <v>0</v>
      </c>
    </row>
    <row r="43" spans="2:40" ht="12.6" customHeight="1" x14ac:dyDescent="0.2">
      <c r="B43" s="653" t="s">
        <v>143</v>
      </c>
      <c r="C43" s="1274" t="s">
        <v>496</v>
      </c>
      <c r="D43" s="1275"/>
      <c r="E43" s="1275"/>
      <c r="F43" s="399"/>
      <c r="G43" s="403"/>
      <c r="H43" s="403">
        <f>V43</f>
        <v>0</v>
      </c>
      <c r="I43" s="403"/>
      <c r="J43" s="403"/>
      <c r="K43" s="403"/>
      <c r="L43" s="403"/>
      <c r="M43" s="403"/>
      <c r="N43" s="403"/>
      <c r="O43" s="403"/>
      <c r="P43" s="403"/>
      <c r="Q43" s="403"/>
      <c r="R43" s="403"/>
      <c r="S43" s="295">
        <f t="shared" si="8"/>
        <v>0</v>
      </c>
      <c r="U43" s="276"/>
      <c r="V43" s="297">
        <f>12*('1. Ekonomikalkyl'!J112+0.003*'1. Ekonomikalkyl'!J69)/'1. Ekonomikalkyl'!J33</f>
        <v>0</v>
      </c>
      <c r="W43" s="305"/>
      <c r="X43" s="359" t="s">
        <v>257</v>
      </c>
      <c r="Y43" s="645">
        <f t="shared" ref="Y43:AK43" si="29">F38</f>
        <v>8.1900000000000001E-2</v>
      </c>
      <c r="Z43" s="646">
        <f t="shared" si="29"/>
        <v>0</v>
      </c>
      <c r="AA43" s="646">
        <f t="shared" si="29"/>
        <v>0</v>
      </c>
      <c r="AB43" s="646">
        <f t="shared" si="29"/>
        <v>0</v>
      </c>
      <c r="AC43" s="646">
        <f t="shared" si="29"/>
        <v>0</v>
      </c>
      <c r="AD43" s="646">
        <f t="shared" si="29"/>
        <v>0</v>
      </c>
      <c r="AE43" s="646">
        <f t="shared" si="29"/>
        <v>0</v>
      </c>
      <c r="AF43" s="646">
        <f t="shared" si="29"/>
        <v>0</v>
      </c>
      <c r="AG43" s="646">
        <f t="shared" si="29"/>
        <v>0</v>
      </c>
      <c r="AH43" s="646">
        <f t="shared" si="29"/>
        <v>0</v>
      </c>
      <c r="AI43" s="646">
        <f t="shared" si="29"/>
        <v>0</v>
      </c>
      <c r="AJ43" s="646">
        <f t="shared" si="29"/>
        <v>0</v>
      </c>
      <c r="AK43" s="646">
        <f t="shared" si="29"/>
        <v>0</v>
      </c>
      <c r="AL43" s="646">
        <f t="shared" si="26"/>
        <v>0</v>
      </c>
    </row>
    <row r="44" spans="2:40" s="272" customFormat="1" ht="12.6" customHeight="1" x14ac:dyDescent="0.2">
      <c r="B44" s="653" t="s">
        <v>144</v>
      </c>
      <c r="C44" s="1274" t="s">
        <v>497</v>
      </c>
      <c r="D44" s="1274"/>
      <c r="E44" s="1274"/>
      <c r="F44" s="1276"/>
      <c r="G44" s="403">
        <f t="shared" ref="G44:R44" si="30">$V44/12</f>
        <v>0</v>
      </c>
      <c r="H44" s="403">
        <f t="shared" si="30"/>
        <v>0</v>
      </c>
      <c r="I44" s="403">
        <f t="shared" si="30"/>
        <v>0</v>
      </c>
      <c r="J44" s="403">
        <f t="shared" si="30"/>
        <v>0</v>
      </c>
      <c r="K44" s="403">
        <f t="shared" si="30"/>
        <v>0</v>
      </c>
      <c r="L44" s="403">
        <f t="shared" si="30"/>
        <v>0</v>
      </c>
      <c r="M44" s="403">
        <f t="shared" si="30"/>
        <v>0</v>
      </c>
      <c r="N44" s="403">
        <f t="shared" si="30"/>
        <v>0</v>
      </c>
      <c r="O44" s="403">
        <f t="shared" si="30"/>
        <v>0</v>
      </c>
      <c r="P44" s="403">
        <f t="shared" si="30"/>
        <v>0</v>
      </c>
      <c r="Q44" s="403">
        <f t="shared" si="30"/>
        <v>0</v>
      </c>
      <c r="R44" s="403">
        <f t="shared" si="30"/>
        <v>0</v>
      </c>
      <c r="S44" s="295">
        <f t="shared" si="8"/>
        <v>0</v>
      </c>
      <c r="U44" s="276"/>
      <c r="V44" s="297">
        <f>12*' 3 AT Palkat, alv'!T60/'1. Ekonomikalkyl'!J33</f>
        <v>0</v>
      </c>
      <c r="W44" s="305"/>
      <c r="X44" s="641" t="s">
        <v>253</v>
      </c>
      <c r="Y44" s="642"/>
      <c r="Z44" s="649">
        <f>Z41+Z42-Z39-Z40-Z43</f>
        <v>0</v>
      </c>
      <c r="AA44" s="649">
        <f t="shared" ref="AA44:AK44" si="31">AA41+AA42-AA39-AA40-AA43</f>
        <v>0</v>
      </c>
      <c r="AB44" s="649">
        <f t="shared" si="31"/>
        <v>0</v>
      </c>
      <c r="AC44" s="649">
        <f t="shared" si="31"/>
        <v>0</v>
      </c>
      <c r="AD44" s="649">
        <f t="shared" si="31"/>
        <v>0</v>
      </c>
      <c r="AE44" s="649">
        <f t="shared" si="31"/>
        <v>0</v>
      </c>
      <c r="AF44" s="649">
        <f t="shared" si="31"/>
        <v>0</v>
      </c>
      <c r="AG44" s="649">
        <f t="shared" si="31"/>
        <v>0</v>
      </c>
      <c r="AH44" s="649">
        <f t="shared" si="31"/>
        <v>0</v>
      </c>
      <c r="AI44" s="649">
        <f t="shared" si="31"/>
        <v>0</v>
      </c>
      <c r="AJ44" s="649">
        <f t="shared" si="31"/>
        <v>0</v>
      </c>
      <c r="AK44" s="649">
        <f t="shared" si="31"/>
        <v>0</v>
      </c>
      <c r="AL44" s="649">
        <f>SUM(Z44:AK44)</f>
        <v>0</v>
      </c>
    </row>
    <row r="45" spans="2:40" ht="12.6" customHeight="1" x14ac:dyDescent="0.2">
      <c r="B45" s="653" t="s">
        <v>145</v>
      </c>
      <c r="C45" s="1274" t="s">
        <v>498</v>
      </c>
      <c r="D45" s="1274"/>
      <c r="E45" s="1274"/>
      <c r="F45" s="1276"/>
      <c r="G45" s="403"/>
      <c r="H45" s="403"/>
      <c r="I45" s="403"/>
      <c r="J45" s="403"/>
      <c r="K45" s="403"/>
      <c r="L45" s="403">
        <f>$V45/2</f>
        <v>0</v>
      </c>
      <c r="M45" s="403"/>
      <c r="N45" s="403"/>
      <c r="O45" s="403">
        <v>0</v>
      </c>
      <c r="P45" s="403"/>
      <c r="Q45" s="403"/>
      <c r="R45" s="403">
        <f>$V45/2</f>
        <v>0</v>
      </c>
      <c r="S45" s="295">
        <f t="shared" si="8"/>
        <v>0</v>
      </c>
      <c r="U45" s="276"/>
      <c r="V45" s="297">
        <f>12*'1. Ekonomikalkyl'!J35/'1. Ekonomikalkyl'!J33</f>
        <v>0</v>
      </c>
      <c r="W45" s="305"/>
      <c r="X45" s="305"/>
    </row>
    <row r="46" spans="2:40" ht="12.6" customHeight="1" x14ac:dyDescent="0.2">
      <c r="B46" s="653" t="s">
        <v>146</v>
      </c>
      <c r="C46" s="1274" t="s">
        <v>499</v>
      </c>
      <c r="D46" s="1274"/>
      <c r="E46" s="1274"/>
      <c r="F46" s="1276"/>
      <c r="G46" s="403">
        <f>(V46/12)</f>
        <v>0</v>
      </c>
      <c r="H46" s="403">
        <f>G46</f>
        <v>0</v>
      </c>
      <c r="I46" s="403">
        <f t="shared" ref="I46:R46" si="32">H46</f>
        <v>0</v>
      </c>
      <c r="J46" s="403">
        <f t="shared" si="32"/>
        <v>0</v>
      </c>
      <c r="K46" s="403">
        <f t="shared" si="32"/>
        <v>0</v>
      </c>
      <c r="L46" s="403">
        <f t="shared" si="32"/>
        <v>0</v>
      </c>
      <c r="M46" s="403">
        <f t="shared" si="32"/>
        <v>0</v>
      </c>
      <c r="N46" s="403">
        <f t="shared" si="32"/>
        <v>0</v>
      </c>
      <c r="O46" s="403">
        <f t="shared" si="32"/>
        <v>0</v>
      </c>
      <c r="P46" s="403">
        <f t="shared" si="32"/>
        <v>0</v>
      </c>
      <c r="Q46" s="403">
        <f t="shared" si="32"/>
        <v>0</v>
      </c>
      <c r="R46" s="403">
        <f t="shared" si="32"/>
        <v>0</v>
      </c>
      <c r="S46" s="295">
        <f t="shared" si="8"/>
        <v>0</v>
      </c>
      <c r="U46" s="276"/>
      <c r="V46" s="297">
        <f>IF('1. Ekonomikalkyl'!J207&lt;=0,0,'1. Ekonomikalkyl'!J207*20%)</f>
        <v>0</v>
      </c>
      <c r="W46" s="305"/>
      <c r="X46" s="305"/>
    </row>
    <row r="47" spans="2:40" ht="12.6" customHeight="1" x14ac:dyDescent="0.2">
      <c r="B47" s="653" t="s">
        <v>147</v>
      </c>
      <c r="C47" s="1274" t="s">
        <v>500</v>
      </c>
      <c r="D47" s="1274"/>
      <c r="E47" s="1274"/>
      <c r="F47" s="1276"/>
      <c r="G47" s="403">
        <f t="shared" ref="G47:R48" si="33">$V47/12</f>
        <v>0</v>
      </c>
      <c r="H47" s="403">
        <f t="shared" si="33"/>
        <v>0</v>
      </c>
      <c r="I47" s="403">
        <f t="shared" si="33"/>
        <v>0</v>
      </c>
      <c r="J47" s="403">
        <f t="shared" si="33"/>
        <v>0</v>
      </c>
      <c r="K47" s="403">
        <f t="shared" si="33"/>
        <v>0</v>
      </c>
      <c r="L47" s="403">
        <f t="shared" si="33"/>
        <v>0</v>
      </c>
      <c r="M47" s="403">
        <f t="shared" si="33"/>
        <v>0</v>
      </c>
      <c r="N47" s="403">
        <f t="shared" si="33"/>
        <v>0</v>
      </c>
      <c r="O47" s="403">
        <f t="shared" si="33"/>
        <v>0</v>
      </c>
      <c r="P47" s="403">
        <f t="shared" si="33"/>
        <v>0</v>
      </c>
      <c r="Q47" s="403">
        <f t="shared" si="33"/>
        <v>0</v>
      </c>
      <c r="R47" s="403">
        <f t="shared" si="33"/>
        <v>0</v>
      </c>
      <c r="S47" s="295">
        <f t="shared" si="8"/>
        <v>0</v>
      </c>
      <c r="U47" s="276"/>
      <c r="V47" s="297">
        <f>12*('1. Ekonomikalkyl'!J92+'1. Ekonomikalkyl'!J93)/'1. Ekonomikalkyl'!J33</f>
        <v>0</v>
      </c>
      <c r="W47" s="305"/>
      <c r="X47" s="305"/>
    </row>
    <row r="48" spans="2:40" ht="12.6" customHeight="1" x14ac:dyDescent="0.2">
      <c r="B48" s="653" t="s">
        <v>148</v>
      </c>
      <c r="C48" s="1274" t="s">
        <v>501</v>
      </c>
      <c r="D48" s="1274"/>
      <c r="E48" s="1274"/>
      <c r="F48" s="1276"/>
      <c r="G48" s="403">
        <f t="shared" si="33"/>
        <v>0</v>
      </c>
      <c r="H48" s="403">
        <f t="shared" si="33"/>
        <v>0</v>
      </c>
      <c r="I48" s="403">
        <f t="shared" si="33"/>
        <v>0</v>
      </c>
      <c r="J48" s="403">
        <f t="shared" si="33"/>
        <v>0</v>
      </c>
      <c r="K48" s="403">
        <f t="shared" si="33"/>
        <v>0</v>
      </c>
      <c r="L48" s="403">
        <f t="shared" si="33"/>
        <v>0</v>
      </c>
      <c r="M48" s="403">
        <f t="shared" si="33"/>
        <v>0</v>
      </c>
      <c r="N48" s="403">
        <f t="shared" si="33"/>
        <v>0</v>
      </c>
      <c r="O48" s="403">
        <f t="shared" si="33"/>
        <v>0</v>
      </c>
      <c r="P48" s="403">
        <f t="shared" si="33"/>
        <v>0</v>
      </c>
      <c r="Q48" s="403">
        <f t="shared" si="33"/>
        <v>0</v>
      </c>
      <c r="R48" s="403">
        <f t="shared" si="33"/>
        <v>0</v>
      </c>
      <c r="S48" s="295">
        <f t="shared" si="8"/>
        <v>0</v>
      </c>
      <c r="U48" s="276"/>
      <c r="V48" s="603">
        <f>12*'1. Ekonomikalkyl'!J115/'1. Ekonomikalkyl'!J33</f>
        <v>0</v>
      </c>
      <c r="W48" s="305"/>
      <c r="X48" s="305">
        <v>0</v>
      </c>
    </row>
    <row r="49" spans="1:24" ht="12.6" customHeight="1" x14ac:dyDescent="0.2">
      <c r="A49" s="272"/>
      <c r="B49" s="653" t="s">
        <v>149</v>
      </c>
      <c r="C49" s="1274" t="s">
        <v>502</v>
      </c>
      <c r="D49" s="1274"/>
      <c r="E49" s="1274"/>
      <c r="F49" s="1276"/>
      <c r="G49" s="403"/>
      <c r="H49" s="403"/>
      <c r="I49" s="403"/>
      <c r="J49" s="403"/>
      <c r="K49" s="403"/>
      <c r="L49" s="403">
        <f>V49/2</f>
        <v>0</v>
      </c>
      <c r="M49" s="403"/>
      <c r="N49" s="403"/>
      <c r="O49" s="403">
        <v>0</v>
      </c>
      <c r="P49" s="403"/>
      <c r="Q49" s="403"/>
      <c r="R49" s="403">
        <f>V49/2</f>
        <v>0</v>
      </c>
      <c r="S49" s="295">
        <f t="shared" si="8"/>
        <v>0</v>
      </c>
      <c r="U49" s="276"/>
      <c r="V49" s="297">
        <f>12*('1. Ekonomikalkyl'!M10-'1. Ekonomikalkyl'!J36)/'1. Ekonomikalkyl'!J33</f>
        <v>0</v>
      </c>
      <c r="W49" s="305"/>
      <c r="X49" s="305"/>
    </row>
    <row r="50" spans="1:24" ht="12.6" customHeight="1" x14ac:dyDescent="0.2">
      <c r="B50" s="653" t="s">
        <v>150</v>
      </c>
      <c r="C50" s="1274" t="s">
        <v>503</v>
      </c>
      <c r="D50" s="1275"/>
      <c r="E50" s="1275"/>
      <c r="F50" s="387"/>
      <c r="G50" s="403">
        <f t="shared" ref="G50:R50" si="34">$V50/12</f>
        <v>0</v>
      </c>
      <c r="H50" s="403">
        <f t="shared" si="34"/>
        <v>0</v>
      </c>
      <c r="I50" s="403">
        <f t="shared" si="34"/>
        <v>0</v>
      </c>
      <c r="J50" s="403">
        <f t="shared" si="34"/>
        <v>0</v>
      </c>
      <c r="K50" s="403">
        <f t="shared" si="34"/>
        <v>0</v>
      </c>
      <c r="L50" s="403">
        <f t="shared" si="34"/>
        <v>0</v>
      </c>
      <c r="M50" s="403">
        <f t="shared" si="34"/>
        <v>0</v>
      </c>
      <c r="N50" s="403">
        <f t="shared" si="34"/>
        <v>0</v>
      </c>
      <c r="O50" s="403">
        <f t="shared" si="34"/>
        <v>0</v>
      </c>
      <c r="P50" s="403">
        <f t="shared" si="34"/>
        <v>0</v>
      </c>
      <c r="Q50" s="403">
        <f t="shared" si="34"/>
        <v>0</v>
      </c>
      <c r="R50" s="403">
        <f t="shared" si="34"/>
        <v>0</v>
      </c>
      <c r="S50" s="295">
        <f t="shared" si="8"/>
        <v>0</v>
      </c>
      <c r="T50" s="210"/>
      <c r="U50" s="276"/>
      <c r="V50" s="297">
        <f>12*'1. Ekonomikalkyl'!J37/'1. Ekonomikalkyl'!J33</f>
        <v>0</v>
      </c>
      <c r="W50" s="305"/>
      <c r="X50" s="305"/>
    </row>
    <row r="51" spans="1:24" ht="12.6" customHeight="1" x14ac:dyDescent="0.2">
      <c r="B51" s="653" t="s">
        <v>151</v>
      </c>
      <c r="C51" s="1274" t="s">
        <v>504</v>
      </c>
      <c r="D51" s="1274"/>
      <c r="E51" s="1274"/>
      <c r="F51" s="1276"/>
      <c r="G51" s="403">
        <f>V51</f>
        <v>0</v>
      </c>
      <c r="H51" s="403"/>
      <c r="I51" s="403"/>
      <c r="J51" s="403">
        <v>0</v>
      </c>
      <c r="K51" s="403"/>
      <c r="L51" s="403"/>
      <c r="M51" s="403"/>
      <c r="N51" s="403"/>
      <c r="O51" s="403"/>
      <c r="P51" s="403"/>
      <c r="Q51" s="403"/>
      <c r="R51" s="403"/>
      <c r="S51" s="295">
        <f>ROUND(SUM(G51:R51),0)</f>
        <v>0</v>
      </c>
      <c r="T51" s="617"/>
      <c r="U51" s="276"/>
      <c r="V51" s="369">
        <f>ROUND(('1. Ekonomikalkyl'!F11+'1. Ekonomikalkyl'!F12+'1. Ekonomikalkyl'!F18+'1. Ekonomikalkyl'!F20+'1. Ekonomikalkyl'!F24),0)</f>
        <v>0</v>
      </c>
      <c r="W51" s="305"/>
      <c r="X51" s="305"/>
    </row>
    <row r="52" spans="1:24" ht="12.6" customHeight="1" thickBot="1" x14ac:dyDescent="0.25">
      <c r="B52" s="653" t="s">
        <v>155</v>
      </c>
      <c r="C52" s="1273" t="s">
        <v>505</v>
      </c>
      <c r="D52" s="1273"/>
      <c r="E52" s="1273"/>
      <c r="F52" s="391"/>
      <c r="G52" s="414">
        <v>0</v>
      </c>
      <c r="H52" s="414"/>
      <c r="I52" s="414"/>
      <c r="J52" s="414"/>
      <c r="K52" s="414"/>
      <c r="L52" s="414">
        <v>0</v>
      </c>
      <c r="M52" s="414"/>
      <c r="N52" s="414"/>
      <c r="O52" s="414"/>
      <c r="P52" s="414">
        <v>0</v>
      </c>
      <c r="Q52" s="414"/>
      <c r="R52" s="414"/>
      <c r="S52" s="295">
        <f t="shared" si="8"/>
        <v>0</v>
      </c>
      <c r="U52" s="276"/>
      <c r="V52" s="276"/>
      <c r="W52" s="305"/>
      <c r="X52" s="305"/>
    </row>
    <row r="53" spans="1:24" ht="16.149999999999999" customHeight="1" thickTop="1" thickBot="1" x14ac:dyDescent="0.25">
      <c r="B53" s="658"/>
      <c r="C53" s="1277" t="s">
        <v>506</v>
      </c>
      <c r="D53" s="1277"/>
      <c r="E53" s="1277"/>
      <c r="F53" s="406"/>
      <c r="G53" s="407">
        <f>G19+G20+G21+G22+G23+G24+G25+G26+G27+G28+G29+G30+G31+G32+G33+G39+G40+G41+G42+G43+G44+G45+G46+G47+G48+G49+G50+G51+G52</f>
        <v>0</v>
      </c>
      <c r="H53" s="407">
        <f t="shared" ref="H53:R53" si="35">H19+H20+H21+H22+H23+H24+H25+H26+H27+H28+H29+H30+H31+H32+H33+H39+H40+H41+H42+H43+H44+H45+H46+H47+H48+H49+H50+H51+H52</f>
        <v>0</v>
      </c>
      <c r="I53" s="407">
        <f t="shared" si="35"/>
        <v>0</v>
      </c>
      <c r="J53" s="407">
        <f t="shared" si="35"/>
        <v>0</v>
      </c>
      <c r="K53" s="407">
        <f t="shared" si="35"/>
        <v>0</v>
      </c>
      <c r="L53" s="407">
        <f t="shared" si="35"/>
        <v>0</v>
      </c>
      <c r="M53" s="407">
        <f t="shared" si="35"/>
        <v>0</v>
      </c>
      <c r="N53" s="407">
        <f t="shared" si="35"/>
        <v>0</v>
      </c>
      <c r="O53" s="407">
        <f t="shared" si="35"/>
        <v>0</v>
      </c>
      <c r="P53" s="407">
        <f t="shared" si="35"/>
        <v>0</v>
      </c>
      <c r="Q53" s="407">
        <f t="shared" si="35"/>
        <v>0</v>
      </c>
      <c r="R53" s="407">
        <f t="shared" si="35"/>
        <v>0</v>
      </c>
      <c r="S53" s="407">
        <f>SUM(G53:R53)</f>
        <v>0</v>
      </c>
    </row>
    <row r="54" spans="1:24" ht="6" customHeight="1" thickTop="1" x14ac:dyDescent="0.2">
      <c r="B54" s="650"/>
      <c r="C54" s="301"/>
      <c r="D54" s="301"/>
      <c r="E54" s="301"/>
      <c r="F54" s="301"/>
      <c r="G54" s="302"/>
      <c r="H54" s="302"/>
      <c r="I54" s="302"/>
      <c r="J54" s="302"/>
      <c r="K54" s="302"/>
      <c r="L54" s="302"/>
      <c r="M54" s="302"/>
      <c r="N54" s="302"/>
      <c r="O54" s="302"/>
      <c r="P54" s="302"/>
      <c r="Q54" s="302"/>
      <c r="R54" s="302"/>
      <c r="S54" s="303"/>
    </row>
    <row r="55" spans="1:24" ht="16.149999999999999" customHeight="1" x14ac:dyDescent="0.2">
      <c r="B55" s="659">
        <v>34</v>
      </c>
      <c r="C55" s="1267" t="s">
        <v>507</v>
      </c>
      <c r="D55" s="1268"/>
      <c r="E55" s="1268"/>
      <c r="F55" s="1268"/>
      <c r="G55" s="304">
        <f>G16-G53</f>
        <v>0</v>
      </c>
      <c r="H55" s="304">
        <f t="shared" ref="H55:R55" si="36">H16-H53</f>
        <v>0</v>
      </c>
      <c r="I55" s="304">
        <f t="shared" si="36"/>
        <v>0</v>
      </c>
      <c r="J55" s="304">
        <f t="shared" si="36"/>
        <v>0</v>
      </c>
      <c r="K55" s="304">
        <f t="shared" si="36"/>
        <v>0</v>
      </c>
      <c r="L55" s="304">
        <f t="shared" si="36"/>
        <v>0</v>
      </c>
      <c r="M55" s="304">
        <f t="shared" si="36"/>
        <v>0</v>
      </c>
      <c r="N55" s="304">
        <f t="shared" si="36"/>
        <v>0</v>
      </c>
      <c r="O55" s="304">
        <f t="shared" si="36"/>
        <v>0</v>
      </c>
      <c r="P55" s="304">
        <f t="shared" si="36"/>
        <v>0</v>
      </c>
      <c r="Q55" s="304">
        <f t="shared" si="36"/>
        <v>0</v>
      </c>
      <c r="R55" s="304">
        <f t="shared" si="36"/>
        <v>0</v>
      </c>
      <c r="S55" s="1269">
        <f>SUM(G55:R55)</f>
        <v>0</v>
      </c>
    </row>
    <row r="56" spans="1:24" ht="16.149999999999999" customHeight="1" x14ac:dyDescent="0.2">
      <c r="B56" s="659">
        <v>35</v>
      </c>
      <c r="C56" s="1267" t="s">
        <v>508</v>
      </c>
      <c r="D56" s="1268"/>
      <c r="E56" s="1268"/>
      <c r="F56" s="1268"/>
      <c r="G56" s="304">
        <f>G8+G55</f>
        <v>0</v>
      </c>
      <c r="H56" s="304">
        <f t="shared" ref="H56:R56" si="37">G56+H55</f>
        <v>0</v>
      </c>
      <c r="I56" s="304">
        <f t="shared" si="37"/>
        <v>0</v>
      </c>
      <c r="J56" s="304">
        <f t="shared" si="37"/>
        <v>0</v>
      </c>
      <c r="K56" s="304">
        <f t="shared" si="37"/>
        <v>0</v>
      </c>
      <c r="L56" s="304">
        <f t="shared" si="37"/>
        <v>0</v>
      </c>
      <c r="M56" s="304">
        <f t="shared" si="37"/>
        <v>0</v>
      </c>
      <c r="N56" s="304">
        <f t="shared" si="37"/>
        <v>0</v>
      </c>
      <c r="O56" s="304">
        <f t="shared" si="37"/>
        <v>0</v>
      </c>
      <c r="P56" s="304">
        <f t="shared" si="37"/>
        <v>0</v>
      </c>
      <c r="Q56" s="304">
        <f t="shared" si="37"/>
        <v>0</v>
      </c>
      <c r="R56" s="408">
        <f t="shared" si="37"/>
        <v>0</v>
      </c>
      <c r="S56" s="1270"/>
    </row>
    <row r="57" spans="1:24" x14ac:dyDescent="0.2">
      <c r="S57" s="434"/>
    </row>
    <row r="58" spans="1:24" x14ac:dyDescent="0.2">
      <c r="C58" s="73" t="s">
        <v>509</v>
      </c>
      <c r="K58" s="1289" t="str">
        <f>Startsidan!E40</f>
        <v>Business Kristinestad | Dynamo Närpes</v>
      </c>
      <c r="L58" s="1289"/>
      <c r="M58" s="1289"/>
      <c r="N58" s="1289"/>
      <c r="O58" s="1289"/>
      <c r="P58" s="1289"/>
      <c r="Q58" s="1289"/>
      <c r="R58" s="1289"/>
      <c r="S58" s="1289"/>
    </row>
    <row r="62" spans="1:24" x14ac:dyDescent="0.2">
      <c r="B62" s="420" t="s">
        <v>224</v>
      </c>
      <c r="C62" s="421"/>
      <c r="D62" s="421"/>
      <c r="E62" s="421"/>
      <c r="F62" s="421"/>
      <c r="G62" s="421"/>
      <c r="H62" s="421"/>
      <c r="I62" s="421"/>
      <c r="J62" s="421"/>
      <c r="K62" s="421"/>
      <c r="L62" s="421"/>
      <c r="M62" s="421"/>
      <c r="N62" s="421"/>
      <c r="O62" s="421"/>
      <c r="P62" s="421"/>
      <c r="Q62" s="421"/>
      <c r="R62" s="421"/>
      <c r="S62" s="422"/>
    </row>
    <row r="63" spans="1:24" x14ac:dyDescent="0.2">
      <c r="B63" s="423"/>
      <c r="C63" s="383"/>
      <c r="D63" s="383"/>
      <c r="E63" s="383"/>
      <c r="F63" s="383"/>
      <c r="G63" s="383"/>
      <c r="H63" s="383"/>
      <c r="I63" s="383"/>
      <c r="J63" s="383"/>
      <c r="K63" s="383"/>
      <c r="L63" s="383"/>
      <c r="M63" s="383"/>
      <c r="N63" s="383"/>
      <c r="O63" s="383"/>
      <c r="P63" s="383"/>
      <c r="Q63" s="383"/>
      <c r="R63" s="383"/>
      <c r="S63" s="424"/>
    </row>
    <row r="64" spans="1:24" x14ac:dyDescent="0.2">
      <c r="B64" s="423"/>
      <c r="C64" s="383"/>
      <c r="D64" s="383"/>
      <c r="E64" s="383"/>
      <c r="F64" s="383"/>
      <c r="G64" s="383"/>
      <c r="H64" s="383"/>
      <c r="I64" s="383"/>
      <c r="J64" s="383"/>
      <c r="K64" s="383"/>
      <c r="L64" s="383"/>
      <c r="M64" s="383"/>
      <c r="N64" s="383"/>
      <c r="O64" s="383"/>
      <c r="P64" s="383"/>
      <c r="Q64" s="383"/>
      <c r="R64" s="383"/>
      <c r="S64" s="424"/>
    </row>
    <row r="65" spans="2:19" x14ac:dyDescent="0.2">
      <c r="B65" s="423"/>
      <c r="C65" s="383"/>
      <c r="D65" s="383"/>
      <c r="E65" s="383"/>
      <c r="F65" s="383"/>
      <c r="G65" s="383"/>
      <c r="H65" s="383"/>
      <c r="I65" s="383"/>
      <c r="J65" s="383"/>
      <c r="K65" s="383"/>
      <c r="L65" s="383"/>
      <c r="M65" s="383"/>
      <c r="N65" s="383"/>
      <c r="O65" s="383"/>
      <c r="P65" s="383"/>
      <c r="Q65" s="383"/>
      <c r="R65" s="383"/>
      <c r="S65" s="424"/>
    </row>
    <row r="66" spans="2:19" x14ac:dyDescent="0.2">
      <c r="B66" s="423"/>
      <c r="C66" s="383"/>
      <c r="D66" s="383"/>
      <c r="E66" s="383"/>
      <c r="F66" s="383"/>
      <c r="G66" s="383"/>
      <c r="H66" s="383"/>
      <c r="I66" s="383"/>
      <c r="J66" s="383"/>
      <c r="K66" s="383"/>
      <c r="L66" s="383"/>
      <c r="M66" s="383"/>
      <c r="N66" s="383"/>
      <c r="O66" s="383"/>
      <c r="P66" s="383"/>
      <c r="Q66" s="383"/>
      <c r="R66" s="383"/>
      <c r="S66" s="424"/>
    </row>
    <row r="67" spans="2:19" x14ac:dyDescent="0.2">
      <c r="B67" s="423"/>
      <c r="C67" s="383"/>
      <c r="D67" s="383"/>
      <c r="E67" s="383"/>
      <c r="F67" s="383"/>
      <c r="G67" s="383"/>
      <c r="H67" s="383"/>
      <c r="I67" s="383"/>
      <c r="J67" s="383"/>
      <c r="K67" s="383"/>
      <c r="L67" s="383"/>
      <c r="M67" s="383"/>
      <c r="N67" s="383"/>
      <c r="O67" s="383"/>
      <c r="P67" s="383"/>
      <c r="Q67" s="383"/>
      <c r="R67" s="383"/>
      <c r="S67" s="424"/>
    </row>
    <row r="68" spans="2:19" x14ac:dyDescent="0.2">
      <c r="B68" s="423"/>
      <c r="C68" s="383"/>
      <c r="D68" s="383"/>
      <c r="E68" s="383"/>
      <c r="F68" s="383"/>
      <c r="G68" s="383"/>
      <c r="H68" s="383"/>
      <c r="I68" s="383"/>
      <c r="J68" s="383"/>
      <c r="K68" s="383"/>
      <c r="L68" s="383"/>
      <c r="M68" s="383"/>
      <c r="N68" s="383"/>
      <c r="O68" s="383"/>
      <c r="P68" s="383"/>
      <c r="Q68" s="383"/>
      <c r="R68" s="383"/>
      <c r="S68" s="424"/>
    </row>
    <row r="69" spans="2:19" x14ac:dyDescent="0.2">
      <c r="B69" s="423"/>
      <c r="C69" s="383"/>
      <c r="D69" s="383"/>
      <c r="E69" s="383"/>
      <c r="F69" s="383"/>
      <c r="G69" s="383"/>
      <c r="H69" s="383"/>
      <c r="I69" s="383"/>
      <c r="J69" s="383"/>
      <c r="K69" s="383"/>
      <c r="L69" s="383"/>
      <c r="M69" s="383"/>
      <c r="N69" s="383"/>
      <c r="O69" s="383"/>
      <c r="P69" s="383"/>
      <c r="Q69" s="383"/>
      <c r="R69" s="383"/>
      <c r="S69" s="424"/>
    </row>
    <row r="70" spans="2:19" x14ac:dyDescent="0.2">
      <c r="B70" s="423"/>
      <c r="C70" s="383"/>
      <c r="D70" s="383"/>
      <c r="E70" s="383"/>
      <c r="F70" s="383"/>
      <c r="G70" s="383"/>
      <c r="H70" s="383"/>
      <c r="I70" s="383"/>
      <c r="J70" s="383"/>
      <c r="K70" s="383"/>
      <c r="L70" s="383"/>
      <c r="M70" s="383"/>
      <c r="N70" s="383"/>
      <c r="O70" s="383"/>
      <c r="P70" s="383"/>
      <c r="Q70" s="383"/>
      <c r="R70" s="383"/>
      <c r="S70" s="424"/>
    </row>
    <row r="71" spans="2:19" x14ac:dyDescent="0.2">
      <c r="B71" s="423"/>
      <c r="C71" s="383"/>
      <c r="D71" s="383"/>
      <c r="E71" s="383"/>
      <c r="F71" s="383"/>
      <c r="G71" s="383"/>
      <c r="H71" s="383"/>
      <c r="I71" s="383"/>
      <c r="J71" s="383"/>
      <c r="K71" s="383"/>
      <c r="L71" s="383"/>
      <c r="M71" s="383"/>
      <c r="N71" s="383"/>
      <c r="O71" s="383"/>
      <c r="P71" s="383"/>
      <c r="Q71" s="383"/>
      <c r="R71" s="383"/>
      <c r="S71" s="424"/>
    </row>
    <row r="72" spans="2:19" x14ac:dyDescent="0.2">
      <c r="B72" s="423"/>
      <c r="C72" s="383"/>
      <c r="D72" s="383"/>
      <c r="E72" s="383"/>
      <c r="F72" s="383"/>
      <c r="G72" s="383"/>
      <c r="H72" s="383"/>
      <c r="I72" s="383"/>
      <c r="J72" s="383"/>
      <c r="K72" s="383"/>
      <c r="L72" s="383"/>
      <c r="M72" s="383"/>
      <c r="N72" s="383"/>
      <c r="O72" s="383"/>
      <c r="P72" s="383"/>
      <c r="Q72" s="383"/>
      <c r="R72" s="383"/>
      <c r="S72" s="424"/>
    </row>
    <row r="73" spans="2:19" x14ac:dyDescent="0.2">
      <c r="B73" s="423"/>
      <c r="C73" s="383"/>
      <c r="D73" s="383"/>
      <c r="E73" s="383"/>
      <c r="F73" s="383"/>
      <c r="G73" s="383"/>
      <c r="H73" s="383"/>
      <c r="I73" s="383"/>
      <c r="J73" s="383"/>
      <c r="K73" s="383"/>
      <c r="L73" s="383"/>
      <c r="M73" s="383"/>
      <c r="N73" s="383"/>
      <c r="O73" s="383"/>
      <c r="P73" s="383"/>
      <c r="Q73" s="383"/>
      <c r="R73" s="383"/>
      <c r="S73" s="424"/>
    </row>
    <row r="74" spans="2:19" x14ac:dyDescent="0.2">
      <c r="B74" s="423"/>
      <c r="C74" s="383"/>
      <c r="D74" s="383"/>
      <c r="E74" s="383"/>
      <c r="F74" s="383"/>
      <c r="G74" s="383"/>
      <c r="H74" s="383"/>
      <c r="I74" s="383"/>
      <c r="J74" s="383"/>
      <c r="K74" s="383"/>
      <c r="L74" s="383"/>
      <c r="M74" s="383"/>
      <c r="N74" s="383"/>
      <c r="O74" s="383"/>
      <c r="P74" s="383"/>
      <c r="Q74" s="383"/>
      <c r="R74" s="383"/>
      <c r="S74" s="424"/>
    </row>
    <row r="75" spans="2:19" x14ac:dyDescent="0.2">
      <c r="B75" s="423"/>
      <c r="C75" s="383"/>
      <c r="D75" s="383"/>
      <c r="E75" s="383"/>
      <c r="F75" s="383"/>
      <c r="G75" s="383"/>
      <c r="H75" s="383"/>
      <c r="I75" s="383"/>
      <c r="J75" s="383"/>
      <c r="K75" s="383"/>
      <c r="L75" s="383"/>
      <c r="M75" s="383"/>
      <c r="N75" s="383"/>
      <c r="O75" s="383"/>
      <c r="P75" s="383"/>
      <c r="Q75" s="383"/>
      <c r="R75" s="383"/>
      <c r="S75" s="424"/>
    </row>
    <row r="76" spans="2:19" x14ac:dyDescent="0.2">
      <c r="B76" s="423"/>
      <c r="C76" s="383"/>
      <c r="D76" s="383"/>
      <c r="E76" s="383"/>
      <c r="F76" s="383"/>
      <c r="G76" s="383"/>
      <c r="H76" s="383"/>
      <c r="I76" s="383"/>
      <c r="J76" s="383"/>
      <c r="K76" s="383"/>
      <c r="L76" s="383"/>
      <c r="M76" s="383"/>
      <c r="N76" s="383"/>
      <c r="O76" s="383"/>
      <c r="P76" s="383"/>
      <c r="Q76" s="383"/>
      <c r="R76" s="383"/>
      <c r="S76" s="424"/>
    </row>
    <row r="77" spans="2:19" x14ac:dyDescent="0.2">
      <c r="B77" s="423"/>
      <c r="C77" s="383"/>
      <c r="D77" s="383"/>
      <c r="E77" s="383"/>
      <c r="F77" s="383"/>
      <c r="G77" s="383"/>
      <c r="H77" s="383"/>
      <c r="I77" s="383"/>
      <c r="J77" s="383"/>
      <c r="K77" s="383"/>
      <c r="L77" s="383"/>
      <c r="M77" s="383"/>
      <c r="N77" s="383"/>
      <c r="O77" s="383"/>
      <c r="P77" s="383"/>
      <c r="Q77" s="383"/>
      <c r="R77" s="383"/>
      <c r="S77" s="424"/>
    </row>
    <row r="78" spans="2:19" x14ac:dyDescent="0.2">
      <c r="B78" s="423"/>
      <c r="C78" s="383"/>
      <c r="D78" s="383"/>
      <c r="E78" s="383"/>
      <c r="F78" s="383"/>
      <c r="G78" s="383"/>
      <c r="H78" s="383"/>
      <c r="I78" s="383"/>
      <c r="J78" s="383"/>
      <c r="K78" s="383"/>
      <c r="L78" s="383"/>
      <c r="M78" s="383"/>
      <c r="N78" s="383"/>
      <c r="O78" s="383"/>
      <c r="P78" s="383"/>
      <c r="Q78" s="383"/>
      <c r="R78" s="383"/>
      <c r="S78" s="424"/>
    </row>
    <row r="79" spans="2:19" x14ac:dyDescent="0.2">
      <c r="B79" s="423"/>
      <c r="C79" s="383"/>
      <c r="D79" s="383"/>
      <c r="E79" s="383"/>
      <c r="F79" s="383"/>
      <c r="G79" s="383"/>
      <c r="H79" s="383"/>
      <c r="I79" s="383"/>
      <c r="J79" s="383"/>
      <c r="K79" s="383"/>
      <c r="L79" s="383"/>
      <c r="M79" s="383"/>
      <c r="N79" s="383"/>
      <c r="O79" s="383"/>
      <c r="P79" s="383"/>
      <c r="Q79" s="383"/>
      <c r="R79" s="383"/>
      <c r="S79" s="424"/>
    </row>
    <row r="80" spans="2:19" x14ac:dyDescent="0.2">
      <c r="B80" s="423"/>
      <c r="C80" s="383"/>
      <c r="D80" s="383"/>
      <c r="E80" s="383"/>
      <c r="F80" s="383"/>
      <c r="G80" s="383"/>
      <c r="H80" s="383"/>
      <c r="I80" s="383"/>
      <c r="J80" s="383"/>
      <c r="K80" s="383"/>
      <c r="L80" s="383"/>
      <c r="M80" s="383"/>
      <c r="N80" s="383"/>
      <c r="O80" s="383"/>
      <c r="P80" s="383"/>
      <c r="Q80" s="383"/>
      <c r="R80" s="383"/>
      <c r="S80" s="424"/>
    </row>
    <row r="81" spans="2:19" x14ac:dyDescent="0.2">
      <c r="B81" s="423"/>
      <c r="C81" s="383"/>
      <c r="D81" s="383"/>
      <c r="E81" s="383"/>
      <c r="F81" s="383"/>
      <c r="G81" s="383"/>
      <c r="H81" s="383"/>
      <c r="I81" s="383"/>
      <c r="J81" s="383"/>
      <c r="K81" s="383"/>
      <c r="L81" s="383"/>
      <c r="M81" s="383"/>
      <c r="N81" s="383"/>
      <c r="O81" s="383"/>
      <c r="P81" s="383"/>
      <c r="Q81" s="383"/>
      <c r="R81" s="383"/>
      <c r="S81" s="424"/>
    </row>
    <row r="82" spans="2:19" x14ac:dyDescent="0.2">
      <c r="B82" s="423"/>
      <c r="C82" s="383"/>
      <c r="D82" s="383"/>
      <c r="E82" s="383"/>
      <c r="F82" s="383"/>
      <c r="G82" s="383"/>
      <c r="H82" s="383"/>
      <c r="I82" s="383"/>
      <c r="J82" s="383"/>
      <c r="K82" s="383"/>
      <c r="L82" s="383"/>
      <c r="M82" s="383"/>
      <c r="N82" s="383"/>
      <c r="O82" s="383"/>
      <c r="P82" s="383"/>
      <c r="Q82" s="383"/>
      <c r="R82" s="383"/>
      <c r="S82" s="424"/>
    </row>
    <row r="83" spans="2:19" x14ac:dyDescent="0.2">
      <c r="B83" s="423"/>
      <c r="C83" s="383"/>
      <c r="D83" s="383"/>
      <c r="E83" s="383"/>
      <c r="F83" s="383"/>
      <c r="G83" s="383"/>
      <c r="H83" s="383"/>
      <c r="I83" s="383"/>
      <c r="J83" s="383"/>
      <c r="K83" s="383"/>
      <c r="L83" s="383"/>
      <c r="M83" s="383"/>
      <c r="N83" s="383"/>
      <c r="O83" s="383"/>
      <c r="P83" s="383"/>
      <c r="Q83" s="383"/>
      <c r="R83" s="383"/>
      <c r="S83" s="424"/>
    </row>
    <row r="84" spans="2:19" x14ac:dyDescent="0.2">
      <c r="B84" s="423"/>
      <c r="C84" s="383"/>
      <c r="D84" s="383"/>
      <c r="E84" s="383"/>
      <c r="F84" s="383"/>
      <c r="G84" s="383"/>
      <c r="H84" s="383"/>
      <c r="I84" s="383"/>
      <c r="J84" s="383"/>
      <c r="K84" s="383"/>
      <c r="L84" s="383"/>
      <c r="M84" s="383"/>
      <c r="N84" s="383"/>
      <c r="O84" s="383"/>
      <c r="P84" s="383"/>
      <c r="Q84" s="383"/>
      <c r="R84" s="383"/>
      <c r="S84" s="424"/>
    </row>
    <row r="85" spans="2:19" x14ac:dyDescent="0.2">
      <c r="B85" s="423"/>
      <c r="C85" s="383"/>
      <c r="D85" s="383"/>
      <c r="E85" s="383"/>
      <c r="F85" s="383"/>
      <c r="G85" s="383"/>
      <c r="H85" s="383"/>
      <c r="I85" s="383"/>
      <c r="J85" s="383"/>
      <c r="K85" s="383"/>
      <c r="L85" s="383"/>
      <c r="M85" s="383"/>
      <c r="N85" s="383"/>
      <c r="O85" s="383"/>
      <c r="P85" s="383"/>
      <c r="Q85" s="383"/>
      <c r="R85" s="383"/>
      <c r="S85" s="424"/>
    </row>
    <row r="86" spans="2:19" x14ac:dyDescent="0.2">
      <c r="B86" s="423"/>
      <c r="C86" s="383"/>
      <c r="D86" s="383"/>
      <c r="E86" s="383"/>
      <c r="F86" s="383"/>
      <c r="G86" s="383"/>
      <c r="H86" s="383"/>
      <c r="I86" s="383"/>
      <c r="J86" s="383"/>
      <c r="K86" s="383"/>
      <c r="L86" s="383"/>
      <c r="M86" s="383"/>
      <c r="N86" s="383"/>
      <c r="O86" s="383"/>
      <c r="P86" s="383"/>
      <c r="Q86" s="383"/>
      <c r="R86" s="383"/>
      <c r="S86" s="424"/>
    </row>
    <row r="87" spans="2:19" x14ac:dyDescent="0.2">
      <c r="B87" s="423"/>
      <c r="C87" s="383"/>
      <c r="D87" s="383"/>
      <c r="E87" s="383"/>
      <c r="F87" s="383"/>
      <c r="G87" s="383"/>
      <c r="H87" s="383"/>
      <c r="I87" s="383"/>
      <c r="J87" s="383"/>
      <c r="K87" s="383"/>
      <c r="L87" s="383"/>
      <c r="M87" s="383"/>
      <c r="N87" s="383"/>
      <c r="O87" s="383"/>
      <c r="P87" s="383"/>
      <c r="Q87" s="383"/>
      <c r="R87" s="383"/>
      <c r="S87" s="424"/>
    </row>
    <row r="88" spans="2:19" x14ac:dyDescent="0.2">
      <c r="B88" s="423"/>
      <c r="C88" s="383"/>
      <c r="D88" s="383"/>
      <c r="E88" s="383"/>
      <c r="F88" s="383"/>
      <c r="G88" s="383"/>
      <c r="H88" s="383"/>
      <c r="I88" s="383"/>
      <c r="J88" s="383"/>
      <c r="K88" s="383"/>
      <c r="L88" s="383"/>
      <c r="M88" s="383"/>
      <c r="N88" s="383"/>
      <c r="O88" s="383"/>
      <c r="P88" s="383"/>
      <c r="Q88" s="383"/>
      <c r="R88" s="383"/>
      <c r="S88" s="424"/>
    </row>
    <row r="89" spans="2:19" x14ac:dyDescent="0.2">
      <c r="B89" s="425"/>
      <c r="C89" s="426"/>
      <c r="D89" s="426"/>
      <c r="E89" s="426"/>
      <c r="F89" s="426"/>
      <c r="G89" s="426"/>
      <c r="H89" s="426"/>
      <c r="I89" s="426"/>
      <c r="J89" s="426"/>
      <c r="K89" s="426"/>
      <c r="L89" s="426"/>
      <c r="M89" s="426"/>
      <c r="N89" s="426"/>
      <c r="O89" s="426"/>
      <c r="P89" s="426"/>
      <c r="Q89" s="426"/>
      <c r="R89" s="426"/>
      <c r="S89" s="427"/>
    </row>
  </sheetData>
  <sheetProtection algorithmName="SHA-512" hashValue="2zm8v73AljtxETzPkVZkTjT+elU3F9cumKDY++2lFngZsgbvmEU06dfyY6x/u/5M8uhm/9zlJBQ+DlsEJ6XYlA==" saltValue="aRn+7EuBebS60T0H9AxCow==" spinCount="100000" sheet="1" objects="1" scenarios="1" selectLockedCells="1"/>
  <mergeCells count="50">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35:E35"/>
    <mergeCell ref="C37:E37"/>
    <mergeCell ref="C38:E38"/>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5" width="9.42578125" customWidth="1"/>
    <col min="16" max="16" width="9.28515625" customWidth="1"/>
    <col min="17" max="24" width="11.7109375" customWidth="1"/>
    <col min="25" max="25" width="8" customWidth="1"/>
    <col min="27" max="27" width="8.140625" customWidth="1"/>
    <col min="38" max="38" width="10.28515625" bestFit="1" customWidth="1"/>
    <col min="39" max="39" width="12.5703125" customWidth="1"/>
    <col min="40" max="41" width="9.7109375" bestFit="1" customWidth="1"/>
  </cols>
  <sheetData>
    <row r="1" spans="2:24" x14ac:dyDescent="0.2">
      <c r="K1" s="1116"/>
      <c r="L1" s="1116"/>
      <c r="M1" s="1116"/>
    </row>
    <row r="2" spans="2:24" ht="35.450000000000003" customHeight="1" x14ac:dyDescent="0.2">
      <c r="C2" s="255"/>
      <c r="D2" s="1300" t="s">
        <v>568</v>
      </c>
      <c r="E2" s="1300"/>
      <c r="F2" s="1300"/>
      <c r="G2" s="1300"/>
      <c r="H2" s="1300"/>
      <c r="I2" s="1300"/>
      <c r="J2" s="1300"/>
      <c r="K2" s="1300"/>
      <c r="L2" s="1300"/>
      <c r="M2" s="1300"/>
    </row>
    <row r="3" spans="2:24" ht="6" customHeight="1" x14ac:dyDescent="0.2">
      <c r="C3" s="255"/>
      <c r="D3" s="34"/>
      <c r="J3" s="417"/>
      <c r="K3" s="433"/>
      <c r="L3" s="433"/>
      <c r="M3" s="433"/>
    </row>
    <row r="4" spans="2:24" ht="13.5" customHeight="1" x14ac:dyDescent="0.3">
      <c r="C4" s="277" t="s">
        <v>298</v>
      </c>
      <c r="D4" s="247"/>
      <c r="E4" s="248"/>
      <c r="H4" s="73" t="s">
        <v>300</v>
      </c>
      <c r="J4" s="1299" t="str">
        <f>Startsidan!E40</f>
        <v>Business Kristinestad | Dynamo Närpes</v>
      </c>
      <c r="K4" s="1299"/>
      <c r="L4" s="1299"/>
      <c r="M4" s="1299"/>
      <c r="R4" s="249"/>
    </row>
    <row r="5" spans="2:24" ht="13.35" customHeight="1" x14ac:dyDescent="0.2">
      <c r="C5" s="1298">
        <v>0</v>
      </c>
      <c r="D5" s="1298"/>
      <c r="E5" s="1298"/>
      <c r="F5" s="282"/>
      <c r="G5" s="282"/>
      <c r="H5" s="778"/>
      <c r="J5" s="1299"/>
      <c r="K5" s="1299"/>
      <c r="L5" s="1299"/>
      <c r="M5" s="1299"/>
      <c r="O5" s="266"/>
      <c r="P5" s="266"/>
    </row>
    <row r="6" spans="2:24" ht="14.25" x14ac:dyDescent="0.2">
      <c r="C6" s="1127" t="s">
        <v>299</v>
      </c>
      <c r="D6" s="1127"/>
      <c r="E6" s="249"/>
      <c r="F6" s="250"/>
      <c r="G6" s="250"/>
      <c r="H6" s="251" t="s">
        <v>301</v>
      </c>
      <c r="I6" s="251"/>
      <c r="J6" s="252" t="s">
        <v>0</v>
      </c>
      <c r="K6" s="210"/>
      <c r="L6" s="251"/>
      <c r="M6" s="11" t="s">
        <v>0</v>
      </c>
    </row>
    <row r="7" spans="2:24" ht="13.35" customHeight="1" x14ac:dyDescent="0.2">
      <c r="C7" s="1302">
        <v>0</v>
      </c>
      <c r="D7" s="1302"/>
      <c r="E7" s="1302"/>
      <c r="F7" s="24"/>
      <c r="G7" s="24"/>
      <c r="H7" s="1302">
        <v>0</v>
      </c>
      <c r="I7" s="1302"/>
      <c r="J7" s="1302"/>
      <c r="K7" s="1302"/>
      <c r="L7" s="1302"/>
      <c r="M7" s="1302"/>
      <c r="O7" s="266"/>
    </row>
    <row r="8" spans="2:24" ht="12.75" customHeight="1" x14ac:dyDescent="0.2">
      <c r="C8" s="16"/>
      <c r="D8" s="262"/>
      <c r="E8" s="262"/>
      <c r="F8" s="262"/>
      <c r="G8" s="262"/>
      <c r="H8" s="262"/>
      <c r="I8" s="262"/>
      <c r="J8" s="262"/>
      <c r="K8" s="262"/>
      <c r="L8" s="263"/>
      <c r="M8" s="263"/>
    </row>
    <row r="9" spans="2:24" ht="23.25" customHeight="1" x14ac:dyDescent="0.2">
      <c r="B9" s="1247" t="s">
        <v>302</v>
      </c>
      <c r="C9" s="1117" t="s">
        <v>303</v>
      </c>
      <c r="D9" s="1118"/>
      <c r="E9" s="1119"/>
      <c r="F9" s="1122" t="s">
        <v>304</v>
      </c>
      <c r="G9" s="1123"/>
      <c r="H9" s="1124" t="s">
        <v>305</v>
      </c>
      <c r="I9" s="1125"/>
      <c r="J9" s="1125"/>
      <c r="K9" s="1125"/>
      <c r="L9" s="1126"/>
      <c r="M9" s="560" t="s">
        <v>304</v>
      </c>
      <c r="O9" s="715" t="s">
        <v>519</v>
      </c>
      <c r="P9" s="622"/>
      <c r="Q9" s="622"/>
      <c r="R9" s="622"/>
      <c r="S9" s="622"/>
      <c r="T9" s="622"/>
      <c r="U9" s="622"/>
      <c r="V9" s="622"/>
      <c r="W9" s="622"/>
      <c r="X9" s="623"/>
    </row>
    <row r="10" spans="2:24" ht="15" customHeight="1" x14ac:dyDescent="0.2">
      <c r="B10" s="1247"/>
      <c r="C10" s="1131" t="s">
        <v>306</v>
      </c>
      <c r="D10" s="1076"/>
      <c r="E10" s="479" t="s">
        <v>307</v>
      </c>
      <c r="F10" s="1038">
        <f>F11+F12+F13</f>
        <v>0</v>
      </c>
      <c r="G10" s="1038"/>
      <c r="H10" s="1131" t="s">
        <v>308</v>
      </c>
      <c r="I10" s="1053"/>
      <c r="J10" s="1053"/>
      <c r="K10" s="1156" t="s">
        <v>309</v>
      </c>
      <c r="L10" s="1157"/>
      <c r="M10" s="492">
        <f>M12+M13+M14</f>
        <v>0</v>
      </c>
      <c r="O10" s="699"/>
      <c r="P10" s="697"/>
      <c r="Q10" s="697"/>
      <c r="R10" s="697"/>
      <c r="S10" s="697"/>
      <c r="T10" s="697"/>
      <c r="U10" s="697"/>
      <c r="V10" s="697"/>
      <c r="W10" s="697"/>
      <c r="X10" s="698"/>
    </row>
    <row r="11" spans="2:24" ht="15" customHeight="1" x14ac:dyDescent="0.2">
      <c r="C11" s="1136" t="s">
        <v>557</v>
      </c>
      <c r="D11" s="1137"/>
      <c r="E11" s="779">
        <v>0</v>
      </c>
      <c r="F11" s="1301">
        <v>0</v>
      </c>
      <c r="G11" s="1301"/>
      <c r="H11" s="1129" t="s">
        <v>310</v>
      </c>
      <c r="I11" s="1130"/>
      <c r="J11" s="573" t="s">
        <v>311</v>
      </c>
      <c r="K11" s="1158" t="s">
        <v>312</v>
      </c>
      <c r="L11" s="1159"/>
      <c r="M11" s="493" t="s">
        <v>313</v>
      </c>
      <c r="O11" s="699"/>
      <c r="P11" s="697"/>
      <c r="Q11" s="697"/>
      <c r="R11" s="697"/>
      <c r="S11" s="697"/>
      <c r="T11" s="697"/>
      <c r="U11" s="697"/>
      <c r="V11" s="697"/>
      <c r="W11" s="697"/>
      <c r="X11" s="698"/>
    </row>
    <row r="12" spans="2:24" ht="15" customHeight="1" x14ac:dyDescent="0.2">
      <c r="C12" s="1144" t="s">
        <v>569</v>
      </c>
      <c r="D12" s="1145"/>
      <c r="E12" s="779">
        <v>0</v>
      </c>
      <c r="F12" s="1301">
        <v>0</v>
      </c>
      <c r="G12" s="1301"/>
      <c r="H12" s="1303" t="s">
        <v>314</v>
      </c>
      <c r="I12" s="1303"/>
      <c r="J12" s="782">
        <v>0</v>
      </c>
      <c r="K12" s="783">
        <v>0</v>
      </c>
      <c r="L12" s="784">
        <v>0</v>
      </c>
      <c r="M12" s="785">
        <v>0</v>
      </c>
      <c r="O12" s="699"/>
      <c r="P12" s="697"/>
      <c r="Q12" s="697"/>
      <c r="R12" s="697"/>
      <c r="S12" s="697"/>
      <c r="T12" s="697"/>
      <c r="U12" s="697"/>
      <c r="V12" s="697"/>
      <c r="W12" s="697"/>
      <c r="X12" s="698"/>
    </row>
    <row r="13" spans="2:24" ht="15" customHeight="1" x14ac:dyDescent="0.2">
      <c r="C13" s="1306"/>
      <c r="D13" s="1307"/>
      <c r="E13" s="771">
        <v>0</v>
      </c>
      <c r="F13" s="1308">
        <v>0</v>
      </c>
      <c r="G13" s="1308"/>
      <c r="H13" s="1309">
        <v>0</v>
      </c>
      <c r="I13" s="1310"/>
      <c r="J13" s="779">
        <v>0</v>
      </c>
      <c r="K13" s="786">
        <v>0</v>
      </c>
      <c r="L13" s="787">
        <v>0</v>
      </c>
      <c r="M13" s="780">
        <v>0</v>
      </c>
      <c r="O13" s="699"/>
      <c r="P13" s="697"/>
      <c r="Q13" s="697"/>
      <c r="R13" s="697"/>
      <c r="S13" s="697"/>
      <c r="T13" s="697"/>
      <c r="U13" s="697"/>
      <c r="V13" s="697"/>
      <c r="W13" s="697"/>
      <c r="X13" s="698"/>
    </row>
    <row r="14" spans="2:24" ht="15" customHeight="1" x14ac:dyDescent="0.2">
      <c r="C14" s="1142" t="s">
        <v>315</v>
      </c>
      <c r="D14" s="1143"/>
      <c r="E14" s="479" t="str">
        <f>E10</f>
        <v>Bidrag-%</v>
      </c>
      <c r="F14" s="1038">
        <f>SUM(F15:F20)</f>
        <v>0</v>
      </c>
      <c r="G14" s="1038"/>
      <c r="H14" s="1303"/>
      <c r="I14" s="1303"/>
      <c r="J14" s="779">
        <v>0</v>
      </c>
      <c r="K14" s="786">
        <v>0</v>
      </c>
      <c r="L14" s="787">
        <v>0</v>
      </c>
      <c r="M14" s="780">
        <v>0</v>
      </c>
      <c r="O14" s="699"/>
      <c r="P14" s="697"/>
      <c r="Q14" s="697"/>
      <c r="R14" s="697"/>
      <c r="S14" s="697"/>
      <c r="T14" s="697"/>
      <c r="U14" s="697"/>
      <c r="V14" s="697"/>
      <c r="W14" s="697"/>
      <c r="X14" s="698"/>
    </row>
    <row r="15" spans="2:24" ht="15" customHeight="1" x14ac:dyDescent="0.2">
      <c r="C15" s="1304">
        <v>0</v>
      </c>
      <c r="D15" s="1305"/>
      <c r="E15" s="779">
        <v>0</v>
      </c>
      <c r="F15" s="1301">
        <v>0</v>
      </c>
      <c r="G15" s="1301"/>
      <c r="H15" s="1131" t="s">
        <v>316</v>
      </c>
      <c r="I15" s="1076"/>
      <c r="J15" s="779">
        <v>0</v>
      </c>
      <c r="K15" s="1317">
        <v>0</v>
      </c>
      <c r="L15" s="1317"/>
      <c r="M15" s="780">
        <v>0</v>
      </c>
      <c r="O15" s="699"/>
      <c r="P15" s="697"/>
      <c r="Q15" s="697"/>
      <c r="R15" s="697"/>
      <c r="S15" s="697"/>
      <c r="T15" s="697"/>
      <c r="U15" s="697"/>
      <c r="V15" s="697"/>
      <c r="W15" s="697"/>
      <c r="X15" s="698"/>
    </row>
    <row r="16" spans="2:24" ht="15" customHeight="1" x14ac:dyDescent="0.2">
      <c r="C16" s="1309">
        <v>0</v>
      </c>
      <c r="D16" s="1318"/>
      <c r="E16" s="779">
        <v>0</v>
      </c>
      <c r="F16" s="1301">
        <v>0</v>
      </c>
      <c r="G16" s="1301"/>
      <c r="H16" s="1131" t="s">
        <v>317</v>
      </c>
      <c r="I16" s="1076"/>
      <c r="J16" s="779">
        <v>0</v>
      </c>
      <c r="K16" s="1317">
        <v>0</v>
      </c>
      <c r="L16" s="1317"/>
      <c r="M16" s="780">
        <v>0</v>
      </c>
      <c r="O16" s="699"/>
      <c r="P16" s="697"/>
      <c r="Q16" s="697"/>
      <c r="R16" s="697"/>
      <c r="S16" s="697"/>
      <c r="T16" s="697"/>
      <c r="U16" s="697"/>
      <c r="V16" s="697"/>
      <c r="W16" s="697"/>
      <c r="X16" s="698"/>
    </row>
    <row r="17" spans="1:24" ht="15" customHeight="1" x14ac:dyDescent="0.2">
      <c r="C17" s="1319">
        <v>0</v>
      </c>
      <c r="D17" s="1320"/>
      <c r="E17" s="779">
        <v>0</v>
      </c>
      <c r="F17" s="1301">
        <v>0</v>
      </c>
      <c r="G17" s="1301"/>
      <c r="H17" s="1087" t="s">
        <v>318</v>
      </c>
      <c r="I17" s="1087"/>
      <c r="J17" s="1087"/>
      <c r="K17" s="1087"/>
      <c r="L17" s="1087"/>
      <c r="M17" s="486">
        <f>M18+M19+M20</f>
        <v>0</v>
      </c>
      <c r="O17" s="699"/>
      <c r="P17" s="697"/>
      <c r="Q17" s="697"/>
      <c r="R17" s="697"/>
      <c r="S17" s="697"/>
      <c r="T17" s="697"/>
      <c r="U17" s="697"/>
      <c r="V17" s="697"/>
      <c r="W17" s="697"/>
      <c r="X17" s="698"/>
    </row>
    <row r="18" spans="1:24" ht="15" customHeight="1" x14ac:dyDescent="0.2">
      <c r="C18" s="1136" t="s">
        <v>570</v>
      </c>
      <c r="D18" s="1137"/>
      <c r="E18" s="480">
        <v>0</v>
      </c>
      <c r="F18" s="1301">
        <v>0</v>
      </c>
      <c r="G18" s="1301"/>
      <c r="H18" s="1303" t="s">
        <v>563</v>
      </c>
      <c r="I18" s="1303"/>
      <c r="J18" s="1303"/>
      <c r="K18" s="1303"/>
      <c r="L18" s="1303"/>
      <c r="M18" s="777">
        <f>'5 AT Lainat, avustukset ei alv '!E51</f>
        <v>0</v>
      </c>
      <c r="O18" s="699"/>
      <c r="P18" s="697"/>
      <c r="Q18" s="697"/>
      <c r="R18" s="697"/>
      <c r="S18" s="697"/>
      <c r="T18" s="697"/>
      <c r="U18" s="697"/>
      <c r="V18" s="697"/>
      <c r="W18" s="697"/>
      <c r="X18" s="698"/>
    </row>
    <row r="19" spans="1:24" ht="15" customHeight="1" x14ac:dyDescent="0.2">
      <c r="C19" s="1311"/>
      <c r="D19" s="1312"/>
      <c r="E19" s="856"/>
      <c r="F19" s="1313"/>
      <c r="G19" s="1313"/>
      <c r="H19" s="1314" t="s">
        <v>564</v>
      </c>
      <c r="I19" s="1315"/>
      <c r="J19" s="1315"/>
      <c r="K19" s="1315"/>
      <c r="L19" s="1316"/>
      <c r="M19" s="780">
        <v>0</v>
      </c>
      <c r="O19" s="699"/>
      <c r="P19" s="697"/>
      <c r="Q19" s="697"/>
      <c r="R19" s="697"/>
      <c r="S19" s="697"/>
      <c r="T19" s="697"/>
      <c r="U19" s="697"/>
      <c r="V19" s="697"/>
      <c r="W19" s="697"/>
      <c r="X19" s="698"/>
    </row>
    <row r="20" spans="1:24" ht="15" customHeight="1" x14ac:dyDescent="0.2">
      <c r="C20" s="1100" t="s">
        <v>571</v>
      </c>
      <c r="D20" s="1101"/>
      <c r="E20" s="779">
        <v>0</v>
      </c>
      <c r="F20" s="1325">
        <v>0</v>
      </c>
      <c r="G20" s="1325"/>
      <c r="H20" s="1326"/>
      <c r="I20" s="1326"/>
      <c r="J20" s="1326"/>
      <c r="K20" s="1326"/>
      <c r="L20" s="1326"/>
      <c r="M20" s="780">
        <v>0</v>
      </c>
      <c r="O20" s="699"/>
      <c r="P20" s="697"/>
      <c r="Q20" s="697"/>
      <c r="R20" s="697"/>
      <c r="S20" s="697"/>
      <c r="T20" s="697"/>
      <c r="U20" s="697"/>
      <c r="V20" s="697"/>
      <c r="W20" s="697"/>
      <c r="X20" s="698"/>
    </row>
    <row r="21" spans="1:24" ht="15" customHeight="1" x14ac:dyDescent="0.2">
      <c r="C21" s="1087" t="s">
        <v>319</v>
      </c>
      <c r="D21" s="1087"/>
      <c r="E21" s="1087"/>
      <c r="F21" s="1038">
        <f>F22+F23</f>
        <v>0</v>
      </c>
      <c r="G21" s="1038"/>
      <c r="H21" s="1327"/>
      <c r="I21" s="1327"/>
      <c r="J21" s="1327"/>
      <c r="K21" s="1327"/>
      <c r="L21" s="1328"/>
      <c r="M21" s="855">
        <v>0</v>
      </c>
      <c r="O21" s="699"/>
      <c r="P21" s="697"/>
      <c r="Q21" s="697"/>
      <c r="R21" s="697"/>
      <c r="S21" s="697"/>
      <c r="T21" s="697"/>
      <c r="U21" s="697"/>
      <c r="V21" s="697"/>
      <c r="W21" s="697"/>
      <c r="X21" s="698"/>
    </row>
    <row r="22" spans="1:24" ht="15" customHeight="1" x14ac:dyDescent="0.2">
      <c r="C22" s="1304"/>
      <c r="D22" s="1305"/>
      <c r="E22" s="1321"/>
      <c r="F22" s="1322">
        <v>0</v>
      </c>
      <c r="G22" s="1323"/>
      <c r="H22" s="488" t="s">
        <v>321</v>
      </c>
      <c r="I22" s="488"/>
      <c r="J22" s="488"/>
      <c r="K22" s="1097"/>
      <c r="L22" s="1097"/>
      <c r="M22" s="447">
        <f>M23+M24+M25+M26</f>
        <v>0</v>
      </c>
      <c r="O22" s="699"/>
      <c r="P22" s="697"/>
      <c r="Q22" s="697"/>
      <c r="R22" s="697"/>
      <c r="S22" s="697"/>
      <c r="T22" s="697"/>
      <c r="U22" s="697"/>
      <c r="V22" s="697"/>
      <c r="W22" s="697"/>
      <c r="X22" s="698"/>
    </row>
    <row r="23" spans="1:24" ht="15" customHeight="1" x14ac:dyDescent="0.2">
      <c r="C23" s="1319"/>
      <c r="D23" s="1320"/>
      <c r="E23" s="1324"/>
      <c r="F23" s="1322">
        <v>0</v>
      </c>
      <c r="G23" s="1323"/>
      <c r="H23" s="1094" t="s">
        <v>565</v>
      </c>
      <c r="I23" s="1094"/>
      <c r="J23" s="1094"/>
      <c r="K23" s="1094"/>
      <c r="L23" s="1095"/>
      <c r="M23" s="780">
        <v>0</v>
      </c>
      <c r="O23" s="699"/>
      <c r="P23" s="697"/>
      <c r="Q23" s="697"/>
      <c r="R23" s="697"/>
      <c r="S23" s="697"/>
      <c r="T23" s="697"/>
      <c r="U23" s="697"/>
      <c r="V23" s="697"/>
      <c r="W23" s="697"/>
      <c r="X23" s="698"/>
    </row>
    <row r="24" spans="1:24" ht="15" customHeight="1" x14ac:dyDescent="0.2">
      <c r="C24" s="1329"/>
      <c r="D24" s="1329"/>
      <c r="E24" s="1329"/>
      <c r="F24" s="1330">
        <v>0</v>
      </c>
      <c r="G24" s="1330"/>
      <c r="H24" s="1315"/>
      <c r="I24" s="1315"/>
      <c r="J24" s="1315"/>
      <c r="K24" s="1315"/>
      <c r="L24" s="1316"/>
      <c r="M24" s="780">
        <v>0</v>
      </c>
      <c r="O24" s="699"/>
      <c r="P24" s="697"/>
      <c r="Q24" s="697"/>
      <c r="R24" s="697"/>
      <c r="S24" s="697"/>
      <c r="T24" s="697"/>
      <c r="U24" s="697"/>
      <c r="V24" s="697"/>
      <c r="W24" s="697"/>
      <c r="X24" s="698"/>
    </row>
    <row r="25" spans="1:24" ht="15" customHeight="1" x14ac:dyDescent="0.2">
      <c r="A25" s="1260"/>
      <c r="B25" s="1260"/>
      <c r="C25" s="1087" t="s">
        <v>555</v>
      </c>
      <c r="D25" s="1087"/>
      <c r="E25" s="1087"/>
      <c r="F25" s="1331">
        <v>0</v>
      </c>
      <c r="G25" s="1331"/>
      <c r="H25" s="1315" t="s">
        <v>0</v>
      </c>
      <c r="I25" s="1315"/>
      <c r="J25" s="1315"/>
      <c r="K25" s="1315"/>
      <c r="L25" s="1316"/>
      <c r="M25" s="780">
        <v>0</v>
      </c>
      <c r="O25" s="699"/>
      <c r="P25" s="697"/>
      <c r="Q25" s="697"/>
      <c r="R25" s="697"/>
      <c r="S25" s="697"/>
      <c r="T25" s="697"/>
      <c r="U25" s="697"/>
      <c r="V25" s="697"/>
      <c r="W25" s="697"/>
      <c r="X25" s="698"/>
    </row>
    <row r="26" spans="1:24" ht="15" customHeight="1" x14ac:dyDescent="0.2">
      <c r="A26" s="1260"/>
      <c r="B26" s="1260"/>
      <c r="C26" s="1087" t="s">
        <v>324</v>
      </c>
      <c r="D26" s="1087"/>
      <c r="E26" s="1087"/>
      <c r="F26" s="1331">
        <v>0</v>
      </c>
      <c r="G26" s="1331"/>
      <c r="H26" s="1332" t="s">
        <v>0</v>
      </c>
      <c r="I26" s="1333"/>
      <c r="J26" s="1333"/>
      <c r="K26" s="1333"/>
      <c r="L26" s="1334"/>
      <c r="M26" s="780">
        <v>0</v>
      </c>
      <c r="O26" s="699"/>
      <c r="P26" s="697"/>
      <c r="Q26" s="697"/>
      <c r="R26" s="697"/>
      <c r="S26" s="697"/>
      <c r="T26" s="697"/>
      <c r="U26" s="697"/>
      <c r="V26" s="697"/>
      <c r="W26" s="697"/>
      <c r="X26" s="698"/>
    </row>
    <row r="27" spans="1:24" ht="17.25" customHeight="1" x14ac:dyDescent="0.2">
      <c r="A27" s="1260"/>
      <c r="B27" s="1260"/>
      <c r="C27" s="256"/>
      <c r="D27" s="1188" t="s">
        <v>512</v>
      </c>
      <c r="E27" s="1188"/>
      <c r="F27" s="1080">
        <f>F26+F25+F21+F14+F10</f>
        <v>0</v>
      </c>
      <c r="G27" s="1081"/>
      <c r="H27" s="1289"/>
      <c r="I27" s="1289"/>
      <c r="J27" s="1289" t="s">
        <v>309</v>
      </c>
      <c r="K27" s="1188"/>
      <c r="L27" s="1188"/>
      <c r="M27" s="482">
        <f>M22+M17+M16+M15+M10</f>
        <v>0</v>
      </c>
      <c r="O27" s="699"/>
      <c r="P27" s="697"/>
      <c r="Q27" s="697"/>
      <c r="R27" s="697"/>
      <c r="S27" s="697"/>
      <c r="T27" s="697"/>
      <c r="U27" s="697"/>
      <c r="V27" s="697"/>
      <c r="W27" s="697"/>
      <c r="X27" s="698"/>
    </row>
    <row r="28" spans="1:24" ht="3.75" customHeight="1" x14ac:dyDescent="0.2">
      <c r="A28" s="1260"/>
      <c r="B28" s="1260"/>
      <c r="C28" s="256"/>
      <c r="D28" s="258"/>
      <c r="E28" s="258"/>
      <c r="F28" s="274"/>
      <c r="G28" s="274"/>
      <c r="H28" s="258"/>
      <c r="I28" s="258"/>
      <c r="J28" s="258"/>
      <c r="K28" s="258"/>
      <c r="L28" s="259"/>
      <c r="M28" s="274"/>
      <c r="O28" s="699"/>
      <c r="P28" s="697"/>
      <c r="Q28" s="697"/>
      <c r="R28" s="697"/>
      <c r="S28" s="697"/>
      <c r="T28" s="697"/>
      <c r="U28" s="697"/>
      <c r="V28" s="697"/>
      <c r="W28" s="697"/>
      <c r="X28" s="698"/>
    </row>
    <row r="29" spans="1:24" ht="13.5" customHeight="1" x14ac:dyDescent="0.2">
      <c r="A29" s="1260"/>
      <c r="B29" s="1260"/>
      <c r="C29" s="1107" t="s">
        <v>325</v>
      </c>
      <c r="D29" s="1107"/>
      <c r="E29" s="1107"/>
      <c r="F29" s="1112">
        <f>M27-F27</f>
        <v>0</v>
      </c>
      <c r="G29" s="1113"/>
      <c r="H29" s="1107"/>
      <c r="I29" s="1107"/>
      <c r="J29" s="1107"/>
      <c r="K29" s="1107"/>
      <c r="L29" s="1107"/>
      <c r="M29" s="1023"/>
      <c r="N29" s="270"/>
      <c r="O29" s="699"/>
      <c r="P29" s="697"/>
      <c r="Q29" s="697"/>
      <c r="R29" s="697"/>
      <c r="S29" s="697"/>
      <c r="T29" s="697"/>
      <c r="U29" s="697"/>
      <c r="V29" s="697"/>
      <c r="W29" s="697"/>
      <c r="X29" s="698"/>
    </row>
    <row r="30" spans="1:24" ht="13.5" customHeight="1" x14ac:dyDescent="0.2">
      <c r="A30" s="1260"/>
      <c r="B30" s="1260"/>
      <c r="C30" s="419"/>
      <c r="D30" s="1335" t="str">
        <f>IF( F29&lt;&gt;0,"KONTROLLERA, ATT CELL F29=0 (FINANSIERINGSBEHOV - FINANSIERING, DIFFERENS = 0!)","")</f>
        <v/>
      </c>
      <c r="E30" s="1335"/>
      <c r="F30" s="1335"/>
      <c r="G30" s="1335"/>
      <c r="H30" s="1335"/>
      <c r="I30" s="1335"/>
      <c r="J30" s="1335"/>
      <c r="K30" s="1335"/>
      <c r="L30" s="1335"/>
      <c r="M30" s="1335"/>
      <c r="N30" s="270"/>
      <c r="O30" s="699"/>
      <c r="P30" s="697"/>
      <c r="Q30" s="697"/>
      <c r="R30" s="697"/>
      <c r="S30" s="697"/>
      <c r="T30" s="697"/>
      <c r="U30" s="697"/>
      <c r="V30" s="697"/>
      <c r="W30" s="697"/>
      <c r="X30" s="698"/>
    </row>
    <row r="31" spans="1:24" ht="18.600000000000001" customHeight="1" x14ac:dyDescent="0.2">
      <c r="C31" s="556" t="s">
        <v>0</v>
      </c>
      <c r="D31" s="1336" t="s">
        <v>513</v>
      </c>
      <c r="E31" s="1336"/>
      <c r="F31" s="1336"/>
      <c r="G31" s="1336"/>
      <c r="H31" s="1337"/>
      <c r="I31" s="1248" t="s">
        <v>327</v>
      </c>
      <c r="J31" s="1249"/>
      <c r="K31" s="1194" t="s">
        <v>328</v>
      </c>
      <c r="L31" s="1195"/>
      <c r="M31" s="639" t="s">
        <v>329</v>
      </c>
      <c r="N31" s="271"/>
      <c r="O31" s="699"/>
      <c r="P31" s="697"/>
      <c r="Q31" s="697"/>
      <c r="R31" s="697"/>
      <c r="S31" s="697"/>
      <c r="T31" s="697"/>
      <c r="U31" s="697"/>
      <c r="V31" s="697"/>
      <c r="W31" s="697"/>
      <c r="X31" s="698"/>
    </row>
    <row r="32" spans="1:24" ht="15.6" customHeight="1" x14ac:dyDescent="0.2">
      <c r="B32" s="287"/>
      <c r="C32" s="557" t="s">
        <v>0</v>
      </c>
      <c r="D32" s="1338"/>
      <c r="E32" s="1338"/>
      <c r="F32" s="1338"/>
      <c r="G32" s="1338"/>
      <c r="H32" s="1339"/>
      <c r="I32" s="1005" t="s">
        <v>330</v>
      </c>
      <c r="J32" s="788">
        <v>2026</v>
      </c>
      <c r="K32" s="1340">
        <f>J32+1</f>
        <v>2027</v>
      </c>
      <c r="L32" s="1341"/>
      <c r="M32" s="788">
        <f>K32+1</f>
        <v>2028</v>
      </c>
      <c r="O32" s="699"/>
      <c r="P32" s="697"/>
      <c r="Q32" s="697"/>
      <c r="R32" s="697"/>
      <c r="S32" s="697"/>
      <c r="T32" s="697"/>
      <c r="U32" s="697"/>
      <c r="V32" s="697"/>
      <c r="W32" s="697"/>
      <c r="X32" s="698"/>
    </row>
    <row r="33" spans="2:27" ht="13.5" customHeight="1" x14ac:dyDescent="0.2">
      <c r="B33" s="254"/>
      <c r="C33" s="993"/>
      <c r="D33" s="994" t="s">
        <v>331</v>
      </c>
      <c r="E33" s="994"/>
      <c r="F33" s="292"/>
      <c r="G33" s="292"/>
      <c r="H33" s="1006"/>
      <c r="I33" s="570"/>
      <c r="J33" s="922">
        <v>12</v>
      </c>
      <c r="K33" s="1189">
        <v>12</v>
      </c>
      <c r="L33" s="1190"/>
      <c r="M33" s="507">
        <v>12</v>
      </c>
      <c r="O33" s="699"/>
      <c r="P33" s="697"/>
      <c r="Q33" s="697"/>
      <c r="R33" s="697"/>
      <c r="S33" s="697"/>
      <c r="T33" s="697"/>
      <c r="U33" s="697"/>
      <c r="V33" s="697"/>
      <c r="W33" s="697"/>
      <c r="X33" s="698"/>
    </row>
    <row r="34" spans="2:27" s="2" customFormat="1" ht="12.75" customHeight="1" x14ac:dyDescent="0.2">
      <c r="B34" s="90"/>
      <c r="C34" s="513" t="s">
        <v>132</v>
      </c>
      <c r="D34" s="1140" t="s">
        <v>332</v>
      </c>
      <c r="E34" s="1140"/>
      <c r="F34" s="1140"/>
      <c r="G34" s="1140"/>
      <c r="H34" s="1141"/>
      <c r="I34" s="495">
        <f>J34/J$33</f>
        <v>0</v>
      </c>
      <c r="J34" s="498">
        <f>'5 AT Lainat, avustukset ei alv '!G27</f>
        <v>0</v>
      </c>
      <c r="K34" s="1348">
        <f>'5 AT Lainat, avustukset ei alv '!H27</f>
        <v>0</v>
      </c>
      <c r="L34" s="1349">
        <f>'5 AT Lainat, avustukset ei alv '!I27</f>
        <v>0</v>
      </c>
      <c r="M34" s="532">
        <f>'5 AT Lainat, avustukset ei alv '!I27</f>
        <v>0</v>
      </c>
      <c r="N34" s="264"/>
      <c r="O34" s="699"/>
      <c r="P34" s="697"/>
      <c r="Q34" s="697"/>
      <c r="R34" s="697"/>
      <c r="S34" s="697"/>
      <c r="T34" s="697"/>
      <c r="U34" s="697"/>
      <c r="V34" s="697"/>
      <c r="W34" s="697"/>
      <c r="X34" s="698"/>
    </row>
    <row r="35" spans="2:27" ht="12" customHeight="1" x14ac:dyDescent="0.2">
      <c r="B35" s="90"/>
      <c r="C35" s="514"/>
      <c r="D35" s="515" t="s">
        <v>333</v>
      </c>
      <c r="E35" s="515"/>
      <c r="F35" s="515"/>
      <c r="G35" s="515"/>
      <c r="H35" s="516"/>
      <c r="I35" s="496">
        <f>J35/J$33</f>
        <v>0</v>
      </c>
      <c r="J35" s="505">
        <f>'5 AT Lainat, avustukset ei alv '!G19</f>
        <v>0</v>
      </c>
      <c r="K35" s="1252">
        <f>'5 AT Lainat, avustukset ei alv '!H19</f>
        <v>0</v>
      </c>
      <c r="L35" s="1253">
        <f>'5 AT Lainat, avustukset ei alv '!I19</f>
        <v>0</v>
      </c>
      <c r="M35" s="802">
        <f>'5 AT Lainat, avustukset ei alv '!I19</f>
        <v>0</v>
      </c>
      <c r="O35" s="699"/>
      <c r="P35" s="697"/>
      <c r="Q35" s="697"/>
      <c r="R35" s="697"/>
      <c r="S35" s="697"/>
      <c r="T35" s="697"/>
      <c r="U35" s="697"/>
      <c r="V35" s="697"/>
      <c r="W35" s="697"/>
      <c r="X35" s="698"/>
    </row>
    <row r="36" spans="2:27" ht="12" customHeight="1" x14ac:dyDescent="0.2">
      <c r="B36" s="90"/>
      <c r="C36" s="517"/>
      <c r="D36" s="518" t="s">
        <v>334</v>
      </c>
      <c r="E36" s="518"/>
      <c r="F36" s="518"/>
      <c r="G36" s="518"/>
      <c r="H36" s="519"/>
      <c r="I36" s="496">
        <v>0</v>
      </c>
      <c r="J36" s="505">
        <f>'5 AT Lainat, avustukset ei alv '!S21</f>
        <v>0</v>
      </c>
      <c r="K36" s="1110">
        <f>'5 AT Lainat, avustukset ei alv '!Y21</f>
        <v>0</v>
      </c>
      <c r="L36" s="1111">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08">
        <f>'5 AT Lainat, avustukset ei alv '!AE21</f>
        <v>0</v>
      </c>
      <c r="N36" s="265"/>
      <c r="O36" s="699"/>
      <c r="P36" s="697"/>
      <c r="Q36" s="697"/>
      <c r="R36" s="697"/>
      <c r="S36" s="697"/>
      <c r="T36" s="697"/>
      <c r="U36" s="697"/>
      <c r="V36" s="697"/>
      <c r="W36" s="697"/>
      <c r="X36" s="698"/>
    </row>
    <row r="37" spans="2:27" s="2" customFormat="1" ht="12.75" customHeight="1" x14ac:dyDescent="0.2">
      <c r="B37" s="615" t="s">
        <v>69</v>
      </c>
      <c r="C37" s="462" t="s">
        <v>133</v>
      </c>
      <c r="D37" s="259" t="s">
        <v>335</v>
      </c>
      <c r="E37" s="259"/>
      <c r="F37" s="29"/>
      <c r="G37" s="29"/>
      <c r="H37" s="29"/>
      <c r="I37" s="495">
        <f>J37/J$33</f>
        <v>0</v>
      </c>
      <c r="J37" s="500">
        <f>IF($M16=0,0,-J33*PMT($J16/12,$K16*12,$M16)+J33*10)</f>
        <v>0</v>
      </c>
      <c r="K37" s="1067">
        <f>IF($M16=0,0,-K33*PMT($J16/12,$K16*12,$M16)+K33*10)</f>
        <v>0</v>
      </c>
      <c r="L37" s="1068">
        <f>IF($M16=0,0,-L33*PMT($J16/12,$K16*12,$M16)+L33*10)</f>
        <v>0</v>
      </c>
      <c r="M37" s="492">
        <f>IF($M16=0,0,-M33*PMT($J16/12,$K16*12,$M16)+M33*10)</f>
        <v>0</v>
      </c>
      <c r="O37" s="1009" t="s">
        <v>521</v>
      </c>
      <c r="P37" s="1010"/>
      <c r="Q37" s="697"/>
      <c r="R37" s="697"/>
      <c r="S37" s="697"/>
      <c r="T37" s="697"/>
      <c r="U37" s="697"/>
      <c r="V37" s="697"/>
      <c r="W37" s="697"/>
      <c r="X37" s="698"/>
    </row>
    <row r="38" spans="2:27" s="2" customFormat="1" ht="12.75" hidden="1" customHeight="1" x14ac:dyDescent="0.2">
      <c r="B38" s="253" t="s">
        <v>56</v>
      </c>
      <c r="C38" s="464" t="s">
        <v>134</v>
      </c>
      <c r="D38" s="1053" t="s">
        <v>0</v>
      </c>
      <c r="E38" s="1053"/>
      <c r="F38" s="1053"/>
      <c r="G38" s="1053"/>
      <c r="H38" s="1076"/>
      <c r="I38" s="495">
        <f>J38/J$33</f>
        <v>0</v>
      </c>
      <c r="J38" s="500">
        <f>J39*J41</f>
        <v>0</v>
      </c>
      <c r="K38" s="1067">
        <f>K39*K41</f>
        <v>0</v>
      </c>
      <c r="L38" s="1068"/>
      <c r="M38" s="492">
        <f>M39*M41</f>
        <v>0</v>
      </c>
      <c r="O38" s="862"/>
      <c r="P38" s="863"/>
      <c r="Q38" s="697"/>
      <c r="R38" s="697"/>
      <c r="S38" s="697"/>
      <c r="T38" s="697"/>
      <c r="U38" s="697"/>
      <c r="V38" s="697"/>
      <c r="W38" s="697"/>
      <c r="X38" s="698"/>
    </row>
    <row r="39" spans="2:27" s="2" customFormat="1" ht="12" hidden="1" customHeight="1" x14ac:dyDescent="0.2">
      <c r="B39" s="278"/>
      <c r="C39" s="869"/>
      <c r="D39" s="870"/>
      <c r="E39" s="870"/>
      <c r="F39" s="870"/>
      <c r="G39" s="870"/>
      <c r="H39" s="870"/>
      <c r="I39" s="857"/>
      <c r="J39" s="857"/>
      <c r="K39" s="1342"/>
      <c r="L39" s="1343"/>
      <c r="M39" s="858"/>
      <c r="N39" s="6"/>
      <c r="O39" s="864"/>
      <c r="P39" s="865"/>
      <c r="Q39" s="697"/>
      <c r="R39" s="697"/>
      <c r="S39" s="697"/>
      <c r="T39" s="697"/>
      <c r="U39" s="697"/>
      <c r="V39" s="697"/>
      <c r="W39" s="697"/>
      <c r="X39" s="698"/>
    </row>
    <row r="40" spans="2:27" s="2" customFormat="1" ht="12" hidden="1" customHeight="1" x14ac:dyDescent="0.2">
      <c r="B40" s="278"/>
      <c r="C40" s="871"/>
      <c r="D40" s="870"/>
      <c r="E40" s="870"/>
      <c r="F40" s="870"/>
      <c r="G40" s="870"/>
      <c r="H40" s="872"/>
      <c r="I40" s="857"/>
      <c r="J40" s="857"/>
      <c r="K40" s="1344"/>
      <c r="L40" s="1345"/>
      <c r="M40" s="858"/>
      <c r="N40" s="6"/>
      <c r="O40" s="866"/>
      <c r="P40" s="861"/>
      <c r="Q40" s="697"/>
      <c r="R40" s="697"/>
      <c r="S40" s="697"/>
      <c r="T40" s="697"/>
      <c r="U40" s="697"/>
      <c r="V40" s="697"/>
      <c r="W40" s="697"/>
      <c r="X40" s="698"/>
    </row>
    <row r="41" spans="2:27" s="2" customFormat="1" ht="12" hidden="1" customHeight="1" x14ac:dyDescent="0.2">
      <c r="B41" s="278"/>
      <c r="C41" s="873"/>
      <c r="D41" s="874"/>
      <c r="E41" s="874"/>
      <c r="F41" s="874"/>
      <c r="G41" s="874"/>
      <c r="H41" s="875"/>
      <c r="I41" s="857"/>
      <c r="J41" s="859"/>
      <c r="K41" s="1346"/>
      <c r="L41" s="1347"/>
      <c r="M41" s="860"/>
      <c r="N41" s="6"/>
      <c r="O41" s="867"/>
      <c r="P41" s="868"/>
      <c r="Q41" s="697"/>
      <c r="R41" s="697"/>
      <c r="S41" s="697"/>
      <c r="T41" s="697"/>
      <c r="U41" s="697"/>
      <c r="V41" s="697"/>
      <c r="W41" s="697"/>
      <c r="X41" s="698"/>
    </row>
    <row r="42" spans="2:27" s="2" customFormat="1" ht="12.75" customHeight="1" x14ac:dyDescent="0.2">
      <c r="B42" s="253" t="s">
        <v>56</v>
      </c>
      <c r="C42" s="464" t="s">
        <v>135</v>
      </c>
      <c r="D42" s="1053" t="s">
        <v>514</v>
      </c>
      <c r="E42" s="1053"/>
      <c r="F42" s="1053"/>
      <c r="G42" s="1053"/>
      <c r="H42" s="1076"/>
      <c r="I42" s="495">
        <f>J42/J$33</f>
        <v>0</v>
      </c>
      <c r="J42" s="500">
        <f>J43*J45</f>
        <v>0</v>
      </c>
      <c r="K42" s="1067">
        <f t="shared" ref="K42:L42" si="0">K43*K45+K44*K45*$Z45</f>
        <v>0</v>
      </c>
      <c r="L42" s="1068">
        <f t="shared" si="0"/>
        <v>0</v>
      </c>
      <c r="M42" s="492">
        <f>M43*M45+M44*M45*$Z45</f>
        <v>0</v>
      </c>
      <c r="O42" s="476">
        <f>K$32</f>
        <v>2027</v>
      </c>
      <c r="P42" s="476">
        <f>M$32</f>
        <v>2028</v>
      </c>
      <c r="Q42" s="697"/>
      <c r="R42" s="697"/>
      <c r="S42" s="697"/>
      <c r="T42" s="697"/>
      <c r="U42" s="697"/>
      <c r="V42" s="697"/>
      <c r="W42" s="697"/>
      <c r="X42" s="698"/>
    </row>
    <row r="43" spans="2:27" s="22" customFormat="1" ht="12" customHeight="1" x14ac:dyDescent="0.2">
      <c r="B43" s="90"/>
      <c r="C43" s="524"/>
      <c r="D43" s="515" t="s">
        <v>341</v>
      </c>
      <c r="E43" s="515" t="s">
        <v>0</v>
      </c>
      <c r="F43" s="515"/>
      <c r="G43" s="515"/>
      <c r="H43" s="515"/>
      <c r="I43" s="496">
        <v>0</v>
      </c>
      <c r="J43" s="789">
        <v>0</v>
      </c>
      <c r="K43" s="1356">
        <f>J43*O43+J43</f>
        <v>0</v>
      </c>
      <c r="L43" s="1357">
        <f>K43 +K43*O43</f>
        <v>0</v>
      </c>
      <c r="M43" s="790">
        <f>K43+K43*P43</f>
        <v>0</v>
      </c>
      <c r="O43" s="779">
        <v>0.03</v>
      </c>
      <c r="P43" s="779">
        <v>0.03</v>
      </c>
      <c r="Q43" s="697"/>
      <c r="R43" s="697"/>
      <c r="S43" s="697"/>
      <c r="T43" s="697"/>
      <c r="U43" s="697"/>
      <c r="V43" s="697"/>
      <c r="W43" s="697"/>
      <c r="X43" s="698"/>
      <c r="Z43" s="80"/>
    </row>
    <row r="44" spans="2:27" s="2" customFormat="1" ht="12" customHeight="1" x14ac:dyDescent="0.2">
      <c r="B44" s="278"/>
      <c r="C44" s="514"/>
      <c r="D44" s="515" t="s">
        <v>342</v>
      </c>
      <c r="E44" s="515"/>
      <c r="F44" s="515"/>
      <c r="G44" s="515"/>
      <c r="H44" s="516"/>
      <c r="I44" s="496"/>
      <c r="J44" s="789">
        <v>0</v>
      </c>
      <c r="K44" s="1358">
        <f>J44</f>
        <v>0</v>
      </c>
      <c r="L44" s="1359"/>
      <c r="M44" s="790">
        <f>K44</f>
        <v>0</v>
      </c>
      <c r="O44" s="959"/>
      <c r="P44" s="960"/>
      <c r="Q44" s="697"/>
      <c r="R44" s="697"/>
      <c r="S44" s="697"/>
      <c r="T44" s="697"/>
      <c r="U44" s="697"/>
      <c r="V44" s="697"/>
      <c r="W44" s="697"/>
      <c r="X44" s="698"/>
      <c r="Z44" s="293"/>
      <c r="AA44" s="29"/>
    </row>
    <row r="45" spans="2:27" s="22" customFormat="1" ht="12" customHeight="1" x14ac:dyDescent="0.2">
      <c r="B45" s="90"/>
      <c r="C45" s="520"/>
      <c r="D45" s="521" t="s">
        <v>339</v>
      </c>
      <c r="E45" s="521"/>
      <c r="F45" s="521"/>
      <c r="G45" s="521"/>
      <c r="H45" s="522"/>
      <c r="I45" s="496">
        <v>0</v>
      </c>
      <c r="J45" s="791">
        <v>0</v>
      </c>
      <c r="K45" s="1360">
        <f>J45</f>
        <v>0</v>
      </c>
      <c r="L45" s="1361"/>
      <c r="M45" s="792">
        <f>K45</f>
        <v>0</v>
      </c>
      <c r="O45" s="959"/>
      <c r="P45" s="960"/>
      <c r="Q45" s="697"/>
      <c r="R45" s="697"/>
      <c r="S45" s="697"/>
      <c r="T45" s="697"/>
      <c r="U45" s="697"/>
      <c r="V45" s="697"/>
      <c r="W45" s="697"/>
      <c r="X45" s="698"/>
      <c r="Z45" s="80"/>
    </row>
    <row r="46" spans="2:27" s="2" customFormat="1" ht="12.75" customHeight="1" x14ac:dyDescent="0.2">
      <c r="B46" s="253" t="s">
        <v>56</v>
      </c>
      <c r="C46" s="464" t="s">
        <v>136</v>
      </c>
      <c r="D46" s="1076" t="s">
        <v>343</v>
      </c>
      <c r="E46" s="1087"/>
      <c r="F46" s="1362">
        <v>0.35</v>
      </c>
      <c r="G46" s="1362"/>
      <c r="H46" s="527" t="s">
        <v>344</v>
      </c>
      <c r="I46" s="495">
        <f>J46/J$33</f>
        <v>0</v>
      </c>
      <c r="J46" s="500">
        <f>$F46*(J42+J44*J45)</f>
        <v>0</v>
      </c>
      <c r="K46" s="1250">
        <f>$F46*(K42+K44*K33)</f>
        <v>0</v>
      </c>
      <c r="L46" s="1251"/>
      <c r="M46" s="492">
        <f>$F46*(M42+M44*M33)</f>
        <v>0</v>
      </c>
      <c r="O46" s="1350"/>
      <c r="P46" s="1351"/>
      <c r="Q46" s="697"/>
      <c r="R46" s="697"/>
      <c r="S46" s="697"/>
      <c r="T46" s="697"/>
      <c r="U46" s="697"/>
      <c r="V46" s="697"/>
      <c r="W46" s="697"/>
      <c r="X46" s="698"/>
    </row>
    <row r="47" spans="2:27" s="2" customFormat="1" ht="12.75" customHeight="1" x14ac:dyDescent="0.2">
      <c r="B47" s="253" t="s">
        <v>57</v>
      </c>
      <c r="C47" s="462" t="s">
        <v>137</v>
      </c>
      <c r="D47" s="1077" t="s">
        <v>345</v>
      </c>
      <c r="E47" s="1077"/>
      <c r="F47" s="1077"/>
      <c r="G47" s="1077"/>
      <c r="H47" s="1109"/>
      <c r="I47" s="495">
        <f>J47/J$33</f>
        <v>0</v>
      </c>
      <c r="J47" s="500">
        <f>J48*J49+J50+J51</f>
        <v>0</v>
      </c>
      <c r="K47" s="1067">
        <f t="shared" ref="K47:L47" si="1">K48*K49+K50+K51</f>
        <v>0</v>
      </c>
      <c r="L47" s="1068" t="e">
        <f t="shared" si="1"/>
        <v>#VALUE!</v>
      </c>
      <c r="M47" s="492">
        <f>M48*M49+M50+M51</f>
        <v>0</v>
      </c>
      <c r="O47" s="476">
        <f>K$32</f>
        <v>2027</v>
      </c>
      <c r="P47" s="476">
        <f>M$32</f>
        <v>2028</v>
      </c>
      <c r="Q47" s="697"/>
      <c r="R47" s="697"/>
      <c r="S47" s="697"/>
      <c r="T47" s="697"/>
      <c r="U47" s="697"/>
      <c r="V47" s="697"/>
      <c r="W47" s="697"/>
      <c r="X47" s="698"/>
    </row>
    <row r="48" spans="2:27" ht="12" customHeight="1" x14ac:dyDescent="0.2">
      <c r="B48" s="90" t="s">
        <v>0</v>
      </c>
      <c r="C48" s="513"/>
      <c r="D48" s="515" t="s">
        <v>346</v>
      </c>
      <c r="E48" s="515"/>
      <c r="F48" s="515"/>
      <c r="G48" s="515"/>
      <c r="H48" s="515"/>
      <c r="I48" s="496">
        <v>0</v>
      </c>
      <c r="J48" s="1030">
        <v>0</v>
      </c>
      <c r="K48" s="1352">
        <f>J48+J48*O48</f>
        <v>0</v>
      </c>
      <c r="L48" s="1353">
        <f>K48 +K48*O48</f>
        <v>0</v>
      </c>
      <c r="M48" s="1031">
        <f>K48+K48*P48</f>
        <v>0</v>
      </c>
      <c r="O48" s="782">
        <v>0.03</v>
      </c>
      <c r="P48" s="782">
        <f>O48</f>
        <v>0.03</v>
      </c>
      <c r="Q48" s="697"/>
      <c r="R48" s="697"/>
      <c r="S48" s="697"/>
      <c r="T48" s="697"/>
      <c r="U48" s="697"/>
      <c r="V48" s="697"/>
      <c r="W48" s="697"/>
      <c r="X48" s="698"/>
    </row>
    <row r="49" spans="2:24" ht="12" customHeight="1" x14ac:dyDescent="0.2">
      <c r="B49" s="90"/>
      <c r="C49" s="514"/>
      <c r="D49" s="515" t="s">
        <v>347</v>
      </c>
      <c r="E49" s="515"/>
      <c r="F49" s="515"/>
      <c r="G49" s="515"/>
      <c r="H49" s="516"/>
      <c r="I49" s="496">
        <v>0</v>
      </c>
      <c r="J49" s="793">
        <v>0.1903</v>
      </c>
      <c r="K49" s="1354">
        <f>J49</f>
        <v>0.1903</v>
      </c>
      <c r="L49" s="1355"/>
      <c r="M49" s="794">
        <f>K49</f>
        <v>0.1903</v>
      </c>
      <c r="O49" s="963"/>
      <c r="P49" s="964"/>
      <c r="Q49" s="697"/>
      <c r="R49" s="697"/>
      <c r="S49" s="697"/>
      <c r="T49" s="697"/>
      <c r="U49" s="697"/>
      <c r="V49" s="697"/>
      <c r="W49" s="697"/>
      <c r="X49" s="698"/>
    </row>
    <row r="50" spans="2:24" ht="12" customHeight="1" x14ac:dyDescent="0.2">
      <c r="B50" s="90"/>
      <c r="C50" s="517"/>
      <c r="D50" s="518" t="s">
        <v>348</v>
      </c>
      <c r="E50" s="518"/>
      <c r="F50" s="518"/>
      <c r="G50" s="518"/>
      <c r="H50" s="519"/>
      <c r="I50" s="497">
        <v>0</v>
      </c>
      <c r="J50" s="789">
        <v>0</v>
      </c>
      <c r="K50" s="1356">
        <f>J50</f>
        <v>0</v>
      </c>
      <c r="L50" s="1357" t="e">
        <f>K50*12/K$11</f>
        <v>#VALUE!</v>
      </c>
      <c r="M50" s="790">
        <f>K50</f>
        <v>0</v>
      </c>
      <c r="O50" s="965"/>
      <c r="P50" s="966"/>
      <c r="Q50" s="697"/>
      <c r="R50" s="697"/>
      <c r="S50" s="697"/>
      <c r="T50" s="697"/>
      <c r="U50" s="697"/>
      <c r="V50" s="697"/>
      <c r="W50" s="697"/>
      <c r="X50" s="698"/>
    </row>
    <row r="51" spans="2:24" s="22" customFormat="1" ht="12" customHeight="1" x14ac:dyDescent="0.2">
      <c r="B51" s="90"/>
      <c r="C51" s="513"/>
      <c r="D51" s="515" t="s">
        <v>349</v>
      </c>
      <c r="E51" s="515"/>
      <c r="F51" s="997"/>
      <c r="G51" s="997"/>
      <c r="H51" s="515"/>
      <c r="I51" s="496">
        <v>0</v>
      </c>
      <c r="J51" s="505">
        <f>J33*((1.7%*J48+1.91%*(J38+J40*12))+0.008*$M10)/12</f>
        <v>0</v>
      </c>
      <c r="K51" s="1252">
        <f>K33*((1.7%*K48+1.91%*(K38+K40*12))+0.008*$M10)/12</f>
        <v>0</v>
      </c>
      <c r="L51" s="1253">
        <f t="shared" ref="L51" si="2">L33*((1.7%*L48+1.16%*(L38+L40*12))+0.008*$M10)/12</f>
        <v>0</v>
      </c>
      <c r="M51" s="508">
        <f>M33*((1.7%*M48+1.91%*(M38+M40*12))+0.008*$M10)/12</f>
        <v>0</v>
      </c>
      <c r="O51" s="967">
        <v>0</v>
      </c>
      <c r="P51" s="968">
        <v>0</v>
      </c>
      <c r="Q51" s="697"/>
      <c r="R51" s="697"/>
      <c r="S51" s="697"/>
      <c r="T51" s="697"/>
      <c r="U51" s="697"/>
      <c r="V51" s="697"/>
      <c r="W51" s="697"/>
      <c r="X51" s="698"/>
    </row>
    <row r="52" spans="2:24" s="2" customFormat="1" ht="12.75" customHeight="1" x14ac:dyDescent="0.2">
      <c r="B52" s="253" t="s">
        <v>70</v>
      </c>
      <c r="C52" s="464" t="s">
        <v>138</v>
      </c>
      <c r="D52" s="1053" t="s">
        <v>350</v>
      </c>
      <c r="E52" s="1053"/>
      <c r="F52" s="1185"/>
      <c r="G52" s="1185"/>
      <c r="H52" s="1076"/>
      <c r="I52" s="486">
        <f>J52/J$33</f>
        <v>0</v>
      </c>
      <c r="J52" s="506">
        <f>J53+J54</f>
        <v>0</v>
      </c>
      <c r="K52" s="1191">
        <f>K53+K54</f>
        <v>0</v>
      </c>
      <c r="L52" s="1192" t="e">
        <f>SUM(L53:L54)</f>
        <v>#VALUE!</v>
      </c>
      <c r="M52" s="574">
        <f>M53+M54</f>
        <v>0</v>
      </c>
      <c r="O52" s="476">
        <f>K$32</f>
        <v>2027</v>
      </c>
      <c r="P52" s="476">
        <f>M$32</f>
        <v>2028</v>
      </c>
      <c r="Q52" s="697"/>
      <c r="R52" s="697"/>
      <c r="S52" s="697"/>
      <c r="T52" s="697"/>
      <c r="U52" s="697"/>
      <c r="V52" s="697"/>
      <c r="W52" s="697"/>
      <c r="X52" s="698"/>
    </row>
    <row r="53" spans="2:24" s="30" customFormat="1" ht="12" customHeight="1" x14ac:dyDescent="0.2">
      <c r="B53" s="90"/>
      <c r="C53" s="524"/>
      <c r="D53" s="566" t="s">
        <v>351</v>
      </c>
      <c r="E53" s="566"/>
      <c r="F53" s="998"/>
      <c r="G53" s="998"/>
      <c r="H53" s="566"/>
      <c r="I53" s="565">
        <v>0</v>
      </c>
      <c r="J53" s="795">
        <v>0</v>
      </c>
      <c r="K53" s="1363">
        <f>(J53+J53*O53)*12/J$33</f>
        <v>0</v>
      </c>
      <c r="L53" s="1364" t="e">
        <f>K53*12/K$11</f>
        <v>#VALUE!</v>
      </c>
      <c r="M53" s="790">
        <f>K53+K53*P53</f>
        <v>0</v>
      </c>
      <c r="O53" s="782">
        <v>0.03</v>
      </c>
      <c r="P53" s="782">
        <f>O53</f>
        <v>0.03</v>
      </c>
      <c r="Q53" s="697"/>
      <c r="R53" s="697"/>
      <c r="S53" s="697"/>
      <c r="T53" s="697"/>
      <c r="U53" s="697"/>
      <c r="V53" s="697"/>
      <c r="W53" s="697"/>
      <c r="X53" s="698"/>
    </row>
    <row r="54" spans="2:24" s="30" customFormat="1" ht="12" customHeight="1" x14ac:dyDescent="0.2">
      <c r="B54" s="90"/>
      <c r="C54" s="514"/>
      <c r="D54" s="515" t="s">
        <v>352</v>
      </c>
      <c r="E54" s="515"/>
      <c r="F54" s="997"/>
      <c r="G54" s="997"/>
      <c r="H54" s="516"/>
      <c r="I54" s="496">
        <v>0</v>
      </c>
      <c r="J54" s="789">
        <v>0</v>
      </c>
      <c r="K54" s="1356">
        <f>(J54+J54*O54)*12/J$33</f>
        <v>0</v>
      </c>
      <c r="L54" s="1357" t="e">
        <f>K54*12/K$11</f>
        <v>#VALUE!</v>
      </c>
      <c r="M54" s="790">
        <f>K54+K54*P54</f>
        <v>0</v>
      </c>
      <c r="O54" s="779">
        <v>0.03</v>
      </c>
      <c r="P54" s="779">
        <f>O54</f>
        <v>0.03</v>
      </c>
      <c r="Q54" s="697"/>
      <c r="R54" s="697"/>
      <c r="S54" s="697"/>
      <c r="T54" s="697"/>
      <c r="U54" s="697"/>
      <c r="V54" s="697"/>
      <c r="W54" s="697"/>
      <c r="X54" s="698"/>
    </row>
    <row r="55" spans="2:24" s="2" customFormat="1" ht="12.75" customHeight="1" x14ac:dyDescent="0.2">
      <c r="B55" s="253" t="s">
        <v>71</v>
      </c>
      <c r="C55" s="464" t="s">
        <v>139</v>
      </c>
      <c r="D55" s="1053" t="s">
        <v>353</v>
      </c>
      <c r="E55" s="1053"/>
      <c r="F55" s="1053"/>
      <c r="G55" s="1053"/>
      <c r="H55" s="1076"/>
      <c r="I55" s="495">
        <f t="shared" ref="I55" si="3">J55/J$33</f>
        <v>0</v>
      </c>
      <c r="J55" s="500">
        <f>J58+J57+J56</f>
        <v>0</v>
      </c>
      <c r="K55" s="1067">
        <f>SUM(K56:K58)</f>
        <v>0</v>
      </c>
      <c r="L55" s="1068"/>
      <c r="M55" s="492">
        <f>M58+M57+M56</f>
        <v>0</v>
      </c>
      <c r="O55" s="476">
        <f>K$32</f>
        <v>2027</v>
      </c>
      <c r="P55" s="476">
        <f>M$32</f>
        <v>2028</v>
      </c>
      <c r="Q55" s="697"/>
      <c r="R55" s="697"/>
      <c r="S55" s="697"/>
      <c r="T55" s="697"/>
      <c r="U55" s="697"/>
      <c r="V55" s="697"/>
      <c r="W55" s="697"/>
      <c r="X55" s="698"/>
    </row>
    <row r="56" spans="2:24" s="22" customFormat="1" ht="12" customHeight="1" x14ac:dyDescent="0.2">
      <c r="B56" s="90"/>
      <c r="C56" s="513"/>
      <c r="D56" s="515" t="s">
        <v>354</v>
      </c>
      <c r="E56" s="515"/>
      <c r="F56" s="515"/>
      <c r="G56" s="515"/>
      <c r="H56" s="515"/>
      <c r="I56" s="496">
        <v>0</v>
      </c>
      <c r="J56" s="789">
        <v>0</v>
      </c>
      <c r="K56" s="1356">
        <f>(J56+J56*O56)*12/J$33</f>
        <v>0</v>
      </c>
      <c r="L56" s="1357" t="e">
        <f>K56*12/K$11</f>
        <v>#VALUE!</v>
      </c>
      <c r="M56" s="790">
        <f>K56+K56*P56</f>
        <v>0</v>
      </c>
      <c r="O56" s="779">
        <v>0.03</v>
      </c>
      <c r="P56" s="779">
        <f>O56</f>
        <v>0.03</v>
      </c>
      <c r="Q56" s="697"/>
      <c r="R56" s="697"/>
      <c r="S56" s="697"/>
      <c r="T56" s="697"/>
      <c r="U56" s="697"/>
      <c r="V56" s="697"/>
      <c r="W56" s="697"/>
      <c r="X56" s="698"/>
    </row>
    <row r="57" spans="2:24" s="22" customFormat="1" ht="12" customHeight="1" x14ac:dyDescent="0.2">
      <c r="B57" s="90"/>
      <c r="C57" s="514"/>
      <c r="D57" s="515" t="s">
        <v>355</v>
      </c>
      <c r="E57" s="515"/>
      <c r="F57" s="515"/>
      <c r="G57" s="515"/>
      <c r="H57" s="516"/>
      <c r="I57" s="496">
        <v>0</v>
      </c>
      <c r="J57" s="789">
        <v>0</v>
      </c>
      <c r="K57" s="1356">
        <f>(J57+J57*O57)*12/J$33</f>
        <v>0</v>
      </c>
      <c r="L57" s="1357" t="e">
        <f>K57*12/K$11</f>
        <v>#VALUE!</v>
      </c>
      <c r="M57" s="790">
        <f>K57+K57*P57</f>
        <v>0</v>
      </c>
      <c r="O57" s="779">
        <v>0.03</v>
      </c>
      <c r="P57" s="779">
        <f>O57</f>
        <v>0.03</v>
      </c>
      <c r="Q57" s="697"/>
      <c r="R57" s="697"/>
      <c r="S57" s="697"/>
      <c r="T57" s="697" t="s">
        <v>0</v>
      </c>
      <c r="U57" s="697"/>
      <c r="V57" s="697"/>
      <c r="W57" s="697"/>
      <c r="X57" s="698"/>
    </row>
    <row r="58" spans="2:24" s="22" customFormat="1" ht="12" customHeight="1" x14ac:dyDescent="0.2">
      <c r="B58" s="90"/>
      <c r="C58" s="520"/>
      <c r="D58" s="521" t="s">
        <v>356</v>
      </c>
      <c r="E58" s="521"/>
      <c r="F58" s="521"/>
      <c r="G58" s="521"/>
      <c r="H58" s="522"/>
      <c r="I58" s="496">
        <v>0</v>
      </c>
      <c r="J58" s="789">
        <v>0</v>
      </c>
      <c r="K58" s="1356">
        <f>(J58+J58*O58)*12/J$33</f>
        <v>0</v>
      </c>
      <c r="L58" s="1357" t="e">
        <f>K58*12/K$11</f>
        <v>#VALUE!</v>
      </c>
      <c r="M58" s="790">
        <f>K58+K58*P58</f>
        <v>0</v>
      </c>
      <c r="O58" s="779">
        <v>0.03</v>
      </c>
      <c r="P58" s="779">
        <f>O58</f>
        <v>0.03</v>
      </c>
      <c r="Q58" s="697"/>
      <c r="R58" s="697"/>
      <c r="S58" s="697"/>
      <c r="T58" s="697"/>
      <c r="U58" s="697"/>
      <c r="V58" s="697"/>
      <c r="W58" s="697"/>
      <c r="X58" s="698"/>
    </row>
    <row r="59" spans="2:24" s="2" customFormat="1" ht="12.75" customHeight="1" x14ac:dyDescent="0.2">
      <c r="B59" s="253" t="s">
        <v>58</v>
      </c>
      <c r="C59" s="464" t="s">
        <v>140</v>
      </c>
      <c r="D59" s="1053" t="s">
        <v>357</v>
      </c>
      <c r="E59" s="1053"/>
      <c r="F59" s="1053"/>
      <c r="G59" s="1053"/>
      <c r="H59" s="1076"/>
      <c r="I59" s="495">
        <f>J59/J$33</f>
        <v>0</v>
      </c>
      <c r="J59" s="500">
        <f>J60+J63+J64+J65+J66+J67+J68+J33*J69*0.003/12+J70</f>
        <v>0</v>
      </c>
      <c r="K59" s="1067">
        <f>K60+K63+K64+K65+K66+K67+K68+K33*K69*0.003/12+K70</f>
        <v>0</v>
      </c>
      <c r="L59" s="1068" t="e">
        <f>L60+L63+L64+L65+L66+L67+L68+L33*L69*0.003/12+L70</f>
        <v>#VALUE!</v>
      </c>
      <c r="M59" s="492">
        <f>M60+M63+M64+M65+M66+M67+M68+M33*M69*0.003/12+M70</f>
        <v>0</v>
      </c>
      <c r="O59" s="670"/>
      <c r="P59" s="671"/>
      <c r="Q59" s="697"/>
      <c r="R59" s="697"/>
      <c r="S59" s="697"/>
      <c r="T59" s="697"/>
      <c r="U59" s="697"/>
      <c r="V59" s="697"/>
      <c r="W59" s="697"/>
      <c r="X59" s="698"/>
    </row>
    <row r="60" spans="2:24" s="22" customFormat="1" ht="12" customHeight="1" x14ac:dyDescent="0.2">
      <c r="B60" s="90"/>
      <c r="C60" s="524"/>
      <c r="D60" s="515" t="s">
        <v>358</v>
      </c>
      <c r="E60" s="515"/>
      <c r="F60" s="515"/>
      <c r="G60" s="515"/>
      <c r="H60" s="515"/>
      <c r="I60" s="496">
        <v>0</v>
      </c>
      <c r="J60" s="505">
        <f>J62*J61</f>
        <v>0</v>
      </c>
      <c r="K60" s="1110">
        <f t="shared" ref="K60:L60" si="4">K62*K61</f>
        <v>0</v>
      </c>
      <c r="L60" s="1111">
        <f t="shared" si="4"/>
        <v>0</v>
      </c>
      <c r="M60" s="508">
        <f>M62*M61</f>
        <v>0</v>
      </c>
      <c r="O60" s="476">
        <f>K$32</f>
        <v>2027</v>
      </c>
      <c r="P60" s="476">
        <f>M$32</f>
        <v>2028</v>
      </c>
      <c r="Q60" s="697"/>
      <c r="R60" s="697"/>
      <c r="S60" s="697"/>
      <c r="T60" s="697"/>
      <c r="U60" s="697"/>
      <c r="V60" s="697"/>
      <c r="W60" s="697"/>
      <c r="X60" s="698"/>
    </row>
    <row r="61" spans="2:24" s="22" customFormat="1" ht="12" customHeight="1" x14ac:dyDescent="0.2">
      <c r="B61" s="90"/>
      <c r="C61" s="514"/>
      <c r="D61" s="515" t="s">
        <v>359</v>
      </c>
      <c r="E61" s="515"/>
      <c r="F61" s="515"/>
      <c r="G61" s="515"/>
      <c r="H61" s="516"/>
      <c r="I61" s="496">
        <f>J61</f>
        <v>0</v>
      </c>
      <c r="J61" s="789">
        <v>0</v>
      </c>
      <c r="K61" s="1356">
        <f>I61+I61*O61</f>
        <v>0</v>
      </c>
      <c r="L61" s="1357">
        <f t="shared" ref="L61" si="5">J61+J61*O61</f>
        <v>0</v>
      </c>
      <c r="M61" s="790">
        <f>K61+K61*P61</f>
        <v>0</v>
      </c>
      <c r="O61" s="782">
        <v>0.03</v>
      </c>
      <c r="P61" s="782">
        <f t="shared" ref="P61:P67" si="6">O61</f>
        <v>0.03</v>
      </c>
      <c r="Q61" s="697"/>
      <c r="R61" s="697"/>
      <c r="S61" s="697"/>
      <c r="T61" s="697"/>
      <c r="U61" s="697"/>
      <c r="V61" s="697"/>
      <c r="W61" s="697"/>
      <c r="X61" s="698"/>
    </row>
    <row r="62" spans="2:24" s="22" customFormat="1" ht="12" customHeight="1" x14ac:dyDescent="0.2">
      <c r="B62" s="90"/>
      <c r="C62" s="514"/>
      <c r="D62" s="515" t="s">
        <v>360</v>
      </c>
      <c r="E62" s="515"/>
      <c r="F62" s="515"/>
      <c r="G62" s="515"/>
      <c r="H62" s="516"/>
      <c r="I62" s="496">
        <v>0</v>
      </c>
      <c r="J62" s="789">
        <v>0</v>
      </c>
      <c r="K62" s="1356">
        <f>J62</f>
        <v>0</v>
      </c>
      <c r="L62" s="1357">
        <f>L33</f>
        <v>0</v>
      </c>
      <c r="M62" s="790">
        <f>K62</f>
        <v>0</v>
      </c>
      <c r="O62" s="682"/>
      <c r="P62" s="683"/>
      <c r="Q62" s="697"/>
      <c r="R62" s="697"/>
      <c r="S62" s="697"/>
      <c r="T62" s="697"/>
      <c r="U62" s="697"/>
      <c r="V62" s="697"/>
      <c r="W62" s="697"/>
      <c r="X62" s="698"/>
    </row>
    <row r="63" spans="2:24" s="22" customFormat="1" ht="12" customHeight="1" x14ac:dyDescent="0.2">
      <c r="B63" s="90"/>
      <c r="C63" s="561"/>
      <c r="D63" s="515" t="s">
        <v>361</v>
      </c>
      <c r="E63" s="515"/>
      <c r="F63" s="515"/>
      <c r="G63" s="515"/>
      <c r="H63" s="516"/>
      <c r="I63" s="496">
        <f t="shared" ref="I63:I70" si="7">J63/J$33</f>
        <v>0</v>
      </c>
      <c r="J63" s="789">
        <v>0</v>
      </c>
      <c r="K63" s="1356">
        <f t="shared" ref="K63:K68" si="8">(J63+J63*O63)*12/J$33</f>
        <v>0</v>
      </c>
      <c r="L63" s="1357" t="e">
        <f t="shared" ref="L63:L68" si="9">K63*12/K$11</f>
        <v>#VALUE!</v>
      </c>
      <c r="M63" s="790">
        <f t="shared" ref="M63:M70" si="10">K63+K63*P63</f>
        <v>0</v>
      </c>
      <c r="O63" s="779">
        <v>0.03</v>
      </c>
      <c r="P63" s="779">
        <f t="shared" si="6"/>
        <v>0.03</v>
      </c>
      <c r="Q63" s="697"/>
      <c r="R63" s="697"/>
      <c r="S63" s="697"/>
      <c r="T63" s="697"/>
      <c r="U63" s="697"/>
      <c r="V63" s="697"/>
      <c r="W63" s="697"/>
      <c r="X63" s="698"/>
    </row>
    <row r="64" spans="2:24" s="22" customFormat="1" ht="12" customHeight="1" x14ac:dyDescent="0.2">
      <c r="B64" s="90"/>
      <c r="C64" s="514"/>
      <c r="D64" s="515" t="s">
        <v>362</v>
      </c>
      <c r="E64" s="515"/>
      <c r="F64" s="515"/>
      <c r="G64" s="515"/>
      <c r="H64" s="516"/>
      <c r="I64" s="496">
        <f t="shared" si="7"/>
        <v>0</v>
      </c>
      <c r="J64" s="789">
        <v>0</v>
      </c>
      <c r="K64" s="1356">
        <f t="shared" si="8"/>
        <v>0</v>
      </c>
      <c r="L64" s="1357" t="e">
        <f t="shared" si="9"/>
        <v>#VALUE!</v>
      </c>
      <c r="M64" s="790">
        <f t="shared" si="10"/>
        <v>0</v>
      </c>
      <c r="O64" s="779">
        <v>0.03</v>
      </c>
      <c r="P64" s="779">
        <f t="shared" si="6"/>
        <v>0.03</v>
      </c>
      <c r="Q64" s="697"/>
      <c r="R64" s="697"/>
      <c r="S64" s="697"/>
      <c r="T64" s="697"/>
      <c r="U64" s="697"/>
      <c r="V64" s="697"/>
      <c r="W64" s="697"/>
      <c r="X64" s="698"/>
    </row>
    <row r="65" spans="1:24" s="22" customFormat="1" ht="12" customHeight="1" x14ac:dyDescent="0.2">
      <c r="B65" s="90"/>
      <c r="C65" s="514"/>
      <c r="D65" s="515" t="s">
        <v>363</v>
      </c>
      <c r="E65" s="515"/>
      <c r="F65" s="515"/>
      <c r="G65" s="515"/>
      <c r="H65" s="516"/>
      <c r="I65" s="496">
        <f t="shared" si="7"/>
        <v>0</v>
      </c>
      <c r="J65" s="789">
        <v>0</v>
      </c>
      <c r="K65" s="1356">
        <f t="shared" si="8"/>
        <v>0</v>
      </c>
      <c r="L65" s="1357" t="e">
        <f t="shared" si="9"/>
        <v>#VALUE!</v>
      </c>
      <c r="M65" s="790">
        <f t="shared" si="10"/>
        <v>0</v>
      </c>
      <c r="O65" s="779">
        <v>0.03</v>
      </c>
      <c r="P65" s="779">
        <f t="shared" si="6"/>
        <v>0.03</v>
      </c>
      <c r="Q65" s="697"/>
      <c r="R65" s="697"/>
      <c r="S65" s="697"/>
      <c r="T65" s="697"/>
      <c r="U65" s="697"/>
      <c r="V65" s="697"/>
      <c r="W65" s="697"/>
      <c r="X65" s="698"/>
    </row>
    <row r="66" spans="1:24" s="22" customFormat="1" ht="12" customHeight="1" x14ac:dyDescent="0.2">
      <c r="B66" s="90"/>
      <c r="C66" s="561"/>
      <c r="D66" s="515" t="s">
        <v>364</v>
      </c>
      <c r="E66" s="515"/>
      <c r="F66" s="515"/>
      <c r="G66" s="515"/>
      <c r="H66" s="516"/>
      <c r="I66" s="496">
        <f t="shared" si="7"/>
        <v>0</v>
      </c>
      <c r="J66" s="789">
        <v>0</v>
      </c>
      <c r="K66" s="1356">
        <f t="shared" si="8"/>
        <v>0</v>
      </c>
      <c r="L66" s="1357" t="e">
        <f t="shared" si="9"/>
        <v>#VALUE!</v>
      </c>
      <c r="M66" s="790">
        <f t="shared" si="10"/>
        <v>0</v>
      </c>
      <c r="O66" s="779">
        <v>0.03</v>
      </c>
      <c r="P66" s="779">
        <f t="shared" si="6"/>
        <v>0.03</v>
      </c>
      <c r="Q66" s="697"/>
      <c r="R66" s="697"/>
      <c r="S66" s="697"/>
      <c r="T66" s="697"/>
      <c r="U66" s="697"/>
      <c r="V66" s="697"/>
      <c r="W66" s="697"/>
      <c r="X66" s="698"/>
    </row>
    <row r="67" spans="1:24" s="22" customFormat="1" ht="12" customHeight="1" x14ac:dyDescent="0.2">
      <c r="B67" s="90"/>
      <c r="C67" s="514"/>
      <c r="D67" s="515" t="s">
        <v>365</v>
      </c>
      <c r="E67" s="515"/>
      <c r="F67" s="515"/>
      <c r="G67" s="515"/>
      <c r="H67" s="516"/>
      <c r="I67" s="496">
        <f t="shared" si="7"/>
        <v>0</v>
      </c>
      <c r="J67" s="789">
        <v>0</v>
      </c>
      <c r="K67" s="1356">
        <f t="shared" si="8"/>
        <v>0</v>
      </c>
      <c r="L67" s="1357" t="e">
        <f t="shared" si="9"/>
        <v>#VALUE!</v>
      </c>
      <c r="M67" s="790">
        <f t="shared" si="10"/>
        <v>0</v>
      </c>
      <c r="O67" s="779">
        <v>0.03</v>
      </c>
      <c r="P67" s="779">
        <f t="shared" si="6"/>
        <v>0.03</v>
      </c>
      <c r="Q67" s="697"/>
      <c r="R67" s="697"/>
      <c r="S67" s="697"/>
      <c r="T67" s="697"/>
      <c r="U67" s="697"/>
      <c r="V67" s="697"/>
      <c r="W67" s="697"/>
      <c r="X67" s="698"/>
    </row>
    <row r="68" spans="1:24" ht="12" customHeight="1" x14ac:dyDescent="0.2">
      <c r="A68" s="22"/>
      <c r="B68" s="90"/>
      <c r="C68" s="514"/>
      <c r="D68" s="515" t="s">
        <v>366</v>
      </c>
      <c r="E68" s="515"/>
      <c r="F68" s="515"/>
      <c r="G68" s="515"/>
      <c r="H68" s="516"/>
      <c r="I68" s="496">
        <f t="shared" si="7"/>
        <v>0</v>
      </c>
      <c r="J68" s="789">
        <v>0</v>
      </c>
      <c r="K68" s="1356">
        <f t="shared" si="8"/>
        <v>0</v>
      </c>
      <c r="L68" s="1357" t="e">
        <f t="shared" si="9"/>
        <v>#VALUE!</v>
      </c>
      <c r="M68" s="790">
        <f t="shared" si="10"/>
        <v>0</v>
      </c>
      <c r="O68" s="779">
        <v>0.03</v>
      </c>
      <c r="P68" s="779">
        <f>O68</f>
        <v>0.03</v>
      </c>
      <c r="Q68" s="697"/>
      <c r="R68" s="697"/>
      <c r="S68" s="697"/>
      <c r="T68" s="697"/>
      <c r="U68" s="697"/>
      <c r="V68" s="697"/>
      <c r="W68" s="697"/>
      <c r="X68" s="698"/>
    </row>
    <row r="69" spans="1:24" ht="12" customHeight="1" x14ac:dyDescent="0.2">
      <c r="B69" s="90"/>
      <c r="C69" s="561"/>
      <c r="D69" s="515" t="s">
        <v>367</v>
      </c>
      <c r="E69" s="515"/>
      <c r="F69" s="515"/>
      <c r="G69" s="515"/>
      <c r="H69" s="516"/>
      <c r="I69" s="496"/>
      <c r="J69" s="789">
        <v>0</v>
      </c>
      <c r="K69" s="1356">
        <f t="shared" ref="K69" si="11">J69+J69*O69</f>
        <v>0</v>
      </c>
      <c r="L69" s="1357">
        <f t="shared" ref="L69" si="12">K69 +K69*O69</f>
        <v>0</v>
      </c>
      <c r="M69" s="790">
        <f t="shared" si="10"/>
        <v>0</v>
      </c>
      <c r="O69" s="779">
        <v>0.03</v>
      </c>
      <c r="P69" s="779">
        <f>O69</f>
        <v>0.03</v>
      </c>
      <c r="Q69" s="699"/>
      <c r="R69" s="697"/>
      <c r="S69" s="697"/>
      <c r="T69" s="697"/>
      <c r="U69" s="697"/>
      <c r="V69" s="697"/>
      <c r="W69" s="697"/>
      <c r="X69" s="698"/>
    </row>
    <row r="70" spans="1:24" ht="12" customHeight="1" x14ac:dyDescent="0.2">
      <c r="B70" s="90"/>
      <c r="C70" s="517"/>
      <c r="D70" s="518" t="s">
        <v>368</v>
      </c>
      <c r="E70" s="518"/>
      <c r="F70" s="518"/>
      <c r="G70" s="518"/>
      <c r="H70" s="519"/>
      <c r="I70" s="496">
        <f t="shared" si="7"/>
        <v>0</v>
      </c>
      <c r="J70" s="789">
        <v>0</v>
      </c>
      <c r="K70" s="1356">
        <f>(J70+J70*O70)*12/J$33</f>
        <v>0</v>
      </c>
      <c r="L70" s="1357" t="e">
        <f>K70*12/K$11</f>
        <v>#VALUE!</v>
      </c>
      <c r="M70" s="790">
        <f t="shared" si="10"/>
        <v>0</v>
      </c>
      <c r="O70" s="779">
        <v>0.03</v>
      </c>
      <c r="P70" s="779">
        <f>O70</f>
        <v>0.03</v>
      </c>
      <c r="Q70" s="700"/>
      <c r="R70" s="700"/>
      <c r="S70" s="700"/>
      <c r="T70" s="700"/>
      <c r="U70" s="700"/>
      <c r="V70" s="700"/>
      <c r="W70" s="700"/>
      <c r="X70" s="701"/>
    </row>
    <row r="71" spans="1:24" ht="12.75" customHeight="1" x14ac:dyDescent="0.2">
      <c r="B71" s="1261" t="s">
        <v>302</v>
      </c>
      <c r="C71" s="558" t="s">
        <v>0</v>
      </c>
      <c r="D71" s="1177" t="str">
        <f>D31</f>
        <v>VERKSAMHETSKOSTNADER UNDER RÄKENSKAPSPERIODEN
(inklusive moms)</v>
      </c>
      <c r="E71" s="1177"/>
      <c r="F71" s="1177"/>
      <c r="G71" s="1177"/>
      <c r="H71" s="1178"/>
      <c r="I71" s="1181" t="str">
        <f>I31</f>
        <v>1. PERIODEN</v>
      </c>
      <c r="J71" s="1052"/>
      <c r="K71" s="1166" t="str">
        <f>K31</f>
        <v>2. PERIODEN</v>
      </c>
      <c r="L71" s="1167"/>
      <c r="M71" s="554" t="str">
        <f>M31</f>
        <v>3. PERIODEN</v>
      </c>
      <c r="N71" s="271"/>
      <c r="O71" s="969"/>
      <c r="P71" s="964"/>
      <c r="Q71" s="716" t="s">
        <v>519</v>
      </c>
      <c r="R71" s="614"/>
      <c r="S71" s="614"/>
      <c r="T71" s="614"/>
      <c r="U71" s="614"/>
      <c r="V71" s="614"/>
      <c r="W71" s="614"/>
      <c r="X71" s="666"/>
    </row>
    <row r="72" spans="1:24" ht="17.45" customHeight="1" x14ac:dyDescent="0.2">
      <c r="B72" s="1261"/>
      <c r="C72" s="559" t="s">
        <v>0</v>
      </c>
      <c r="D72" s="1179"/>
      <c r="E72" s="1179"/>
      <c r="F72" s="1179"/>
      <c r="G72" s="1179"/>
      <c r="H72" s="1180"/>
      <c r="I72" s="1007" t="str">
        <f>I32</f>
        <v>Per månad</v>
      </c>
      <c r="J72" s="555">
        <f>J32</f>
        <v>2026</v>
      </c>
      <c r="K72" s="1182">
        <f>K32</f>
        <v>2027</v>
      </c>
      <c r="L72" s="1183"/>
      <c r="M72" s="555">
        <f>M32</f>
        <v>2028</v>
      </c>
      <c r="O72" s="959"/>
      <c r="P72" s="960"/>
      <c r="Q72" s="697"/>
      <c r="R72" s="697"/>
      <c r="S72" s="697"/>
      <c r="T72" s="697"/>
      <c r="U72" s="697"/>
      <c r="V72" s="697"/>
      <c r="W72" s="697"/>
      <c r="X72" s="698"/>
    </row>
    <row r="73" spans="1:24" ht="12.75" customHeight="1" x14ac:dyDescent="0.2">
      <c r="B73" s="254"/>
      <c r="C73" s="993"/>
      <c r="D73" s="1058" t="str">
        <f>D33</f>
        <v xml:space="preserve"> Längd av  räkenskapsperioden (månader)</v>
      </c>
      <c r="E73" s="1058"/>
      <c r="F73" s="1058"/>
      <c r="G73" s="1058"/>
      <c r="H73" s="1365"/>
      <c r="I73" s="530"/>
      <c r="J73" s="476">
        <f>J33</f>
        <v>12</v>
      </c>
      <c r="K73" s="1169">
        <f>K33</f>
        <v>12</v>
      </c>
      <c r="L73" s="1169"/>
      <c r="M73" s="476">
        <f>M33</f>
        <v>12</v>
      </c>
      <c r="O73" s="959"/>
      <c r="P73" s="960"/>
      <c r="Q73" s="697"/>
      <c r="R73" s="697"/>
      <c r="S73" s="697"/>
      <c r="T73" s="697"/>
      <c r="U73" s="697"/>
      <c r="V73" s="697"/>
      <c r="W73" s="697"/>
      <c r="X73" s="698"/>
    </row>
    <row r="74" spans="1:24" s="2" customFormat="1" ht="12.75" customHeight="1" x14ac:dyDescent="0.2">
      <c r="A74"/>
      <c r="B74" s="253" t="s">
        <v>59</v>
      </c>
      <c r="C74" s="464" t="s">
        <v>141</v>
      </c>
      <c r="D74" s="1053" t="s">
        <v>370</v>
      </c>
      <c r="E74" s="1053"/>
      <c r="F74" s="1053"/>
      <c r="G74" s="1076"/>
      <c r="H74" s="796">
        <v>0.2</v>
      </c>
      <c r="I74" s="447">
        <v>0</v>
      </c>
      <c r="J74" s="447">
        <f>IF($M$15=0,0,'5 AT Lainat, avustukset ei alv '!G58)</f>
        <v>0</v>
      </c>
      <c r="K74" s="1038">
        <f>IF($M$15=0,0,'5 AT Lainat, avustukset ei alv '!G58)</f>
        <v>0</v>
      </c>
      <c r="L74" s="1038"/>
      <c r="M74" s="447">
        <f>IF($M$15=0,0,IF($K$15&gt;2,'5 AT Lainat, avustukset ei alv '!G58,0))</f>
        <v>0</v>
      </c>
      <c r="O74" s="970"/>
      <c r="P74" s="971"/>
      <c r="Q74" s="697"/>
      <c r="R74" s="697"/>
      <c r="S74" s="697"/>
      <c r="T74" s="697"/>
      <c r="U74" s="697"/>
      <c r="V74" s="697"/>
      <c r="W74" s="697"/>
      <c r="X74" s="698"/>
    </row>
    <row r="75" spans="1:24" s="2" customFormat="1" ht="12.75" customHeight="1" x14ac:dyDescent="0.2">
      <c r="B75" s="253" t="s">
        <v>60</v>
      </c>
      <c r="C75" s="464" t="s">
        <v>142</v>
      </c>
      <c r="D75" s="1053" t="s">
        <v>371</v>
      </c>
      <c r="E75" s="1053"/>
      <c r="F75" s="1053"/>
      <c r="G75" s="1053"/>
      <c r="H75" s="1053"/>
      <c r="I75" s="486">
        <f>J75/12</f>
        <v>0</v>
      </c>
      <c r="J75" s="447">
        <f>J76*J77*J78+J79+J80+J81+J82</f>
        <v>0</v>
      </c>
      <c r="K75" s="1038">
        <f t="shared" ref="K75:L75" si="13">K76*K77*K78+K79+K80+K82+K81</f>
        <v>0</v>
      </c>
      <c r="L75" s="1038" t="e">
        <f t="shared" si="13"/>
        <v>#VALUE!</v>
      </c>
      <c r="M75" s="447">
        <f>M76*M77*M78+M79+M80+M82+M81</f>
        <v>0</v>
      </c>
      <c r="O75" s="457">
        <f>K$32</f>
        <v>2027</v>
      </c>
      <c r="P75" s="457">
        <f>M$32</f>
        <v>2028</v>
      </c>
      <c r="Q75" s="697"/>
      <c r="R75" s="697"/>
      <c r="S75" s="697"/>
      <c r="T75" s="697"/>
      <c r="U75" s="697"/>
      <c r="V75" s="697"/>
      <c r="W75" s="697"/>
      <c r="X75" s="698"/>
    </row>
    <row r="76" spans="1:24" s="2" customFormat="1" ht="12" customHeight="1" x14ac:dyDescent="0.2">
      <c r="B76" s="25"/>
      <c r="C76" s="552"/>
      <c r="D76" s="291" t="s">
        <v>372</v>
      </c>
      <c r="E76" s="537"/>
      <c r="F76" s="537"/>
      <c r="G76" s="537"/>
      <c r="H76" s="537"/>
      <c r="I76" s="531">
        <v>0</v>
      </c>
      <c r="J76" s="797">
        <v>0</v>
      </c>
      <c r="K76" s="1366">
        <f>(J76+J76*O76)*12/J$33</f>
        <v>0</v>
      </c>
      <c r="L76" s="1366" t="e">
        <f>K76*12/K$11</f>
        <v>#VALUE!</v>
      </c>
      <c r="M76" s="797">
        <f>K76+K76*P76</f>
        <v>0</v>
      </c>
      <c r="O76" s="779">
        <v>0</v>
      </c>
      <c r="P76" s="779">
        <f>O76</f>
        <v>0</v>
      </c>
      <c r="Q76" s="697"/>
      <c r="R76" s="697"/>
      <c r="S76" s="697"/>
      <c r="T76" s="697"/>
      <c r="U76" s="697"/>
      <c r="V76" s="697"/>
      <c r="W76" s="697"/>
      <c r="X76" s="698"/>
    </row>
    <row r="77" spans="1:24" s="2" customFormat="1" ht="12" customHeight="1" x14ac:dyDescent="0.2">
      <c r="B77" s="25"/>
      <c r="C77" s="542"/>
      <c r="D77" s="543" t="s">
        <v>373</v>
      </c>
      <c r="E77" s="544"/>
      <c r="F77" s="544"/>
      <c r="G77" s="544"/>
      <c r="H77" s="545"/>
      <c r="I77" s="531">
        <v>0</v>
      </c>
      <c r="J77" s="1008">
        <v>0</v>
      </c>
      <c r="K77" s="1367">
        <f>J77</f>
        <v>0</v>
      </c>
      <c r="L77" s="1367"/>
      <c r="M77" s="798">
        <f>K77</f>
        <v>0</v>
      </c>
      <c r="O77" s="458">
        <f>K$32</f>
        <v>2027</v>
      </c>
      <c r="P77" s="458">
        <f>M$32</f>
        <v>2028</v>
      </c>
      <c r="Q77" s="697"/>
      <c r="R77" s="697"/>
      <c r="S77" s="697"/>
      <c r="T77" s="697"/>
      <c r="U77" s="697"/>
      <c r="V77" s="697"/>
      <c r="W77" s="697"/>
      <c r="X77" s="698"/>
    </row>
    <row r="78" spans="1:24" s="2" customFormat="1" ht="12" customHeight="1" x14ac:dyDescent="0.2">
      <c r="B78" s="25"/>
      <c r="C78" s="542"/>
      <c r="D78" s="543" t="s">
        <v>374</v>
      </c>
      <c r="E78" s="544"/>
      <c r="F78" s="544"/>
      <c r="G78" s="544"/>
      <c r="H78" s="545"/>
      <c r="I78" s="531">
        <v>0</v>
      </c>
      <c r="J78" s="798">
        <v>0</v>
      </c>
      <c r="K78" s="1367">
        <f t="shared" ref="K78" si="14">J78+J78*O78</f>
        <v>0</v>
      </c>
      <c r="L78" s="1367">
        <f t="shared" ref="L78" si="15">K78 +K78*O78</f>
        <v>0</v>
      </c>
      <c r="M78" s="798">
        <f>K78+K78*P78</f>
        <v>0</v>
      </c>
      <c r="O78" s="779">
        <v>0</v>
      </c>
      <c r="P78" s="779">
        <f>O78</f>
        <v>0</v>
      </c>
      <c r="Q78" s="697"/>
      <c r="R78" s="697"/>
      <c r="S78" s="697"/>
      <c r="T78" s="697"/>
      <c r="U78" s="697"/>
      <c r="V78" s="697"/>
      <c r="W78" s="697"/>
      <c r="X78" s="698"/>
    </row>
    <row r="79" spans="1:24" s="22" customFormat="1" ht="12" customHeight="1" x14ac:dyDescent="0.2">
      <c r="A79" s="2"/>
      <c r="B79" s="90"/>
      <c r="C79" s="546"/>
      <c r="D79" s="515" t="s">
        <v>375</v>
      </c>
      <c r="E79" s="547"/>
      <c r="F79" s="515"/>
      <c r="G79" s="515"/>
      <c r="H79" s="548"/>
      <c r="I79" s="531">
        <f>J79/12</f>
        <v>0</v>
      </c>
      <c r="J79" s="797">
        <v>0</v>
      </c>
      <c r="K79" s="1366">
        <f>(J79+J79*O79)*12/J$33</f>
        <v>0</v>
      </c>
      <c r="L79" s="1366" t="e">
        <f>K79*12/K$11</f>
        <v>#VALUE!</v>
      </c>
      <c r="M79" s="797">
        <f>K79+K79*P79</f>
        <v>0</v>
      </c>
      <c r="O79" s="779">
        <v>0</v>
      </c>
      <c r="P79" s="779">
        <f>O79</f>
        <v>0</v>
      </c>
      <c r="Q79" s="697"/>
      <c r="R79" s="697"/>
      <c r="S79" s="697"/>
      <c r="T79" s="697"/>
      <c r="U79" s="697"/>
      <c r="V79" s="697"/>
      <c r="W79" s="697"/>
      <c r="X79" s="698"/>
    </row>
    <row r="80" spans="1:24" s="22" customFormat="1" ht="12" customHeight="1" x14ac:dyDescent="0.2">
      <c r="B80" s="90"/>
      <c r="C80" s="546"/>
      <c r="D80" s="515" t="s">
        <v>376</v>
      </c>
      <c r="E80" s="547"/>
      <c r="F80" s="515"/>
      <c r="G80" s="515"/>
      <c r="H80" s="548"/>
      <c r="I80" s="531">
        <f t="shared" ref="I80:I92" si="16">J80/12</f>
        <v>0</v>
      </c>
      <c r="J80" s="797">
        <v>0</v>
      </c>
      <c r="K80" s="1366">
        <f>(J80+J80*O80)*12/J$33</f>
        <v>0</v>
      </c>
      <c r="L80" s="1366" t="e">
        <f>K80*12/K$11</f>
        <v>#VALUE!</v>
      </c>
      <c r="M80" s="797">
        <f>K80+K80*P80</f>
        <v>0</v>
      </c>
      <c r="O80" s="779">
        <v>0</v>
      </c>
      <c r="P80" s="779">
        <f>O80</f>
        <v>0</v>
      </c>
      <c r="Q80" s="697"/>
      <c r="R80" s="697"/>
      <c r="S80" s="697"/>
      <c r="T80" s="697"/>
      <c r="U80" s="697"/>
      <c r="V80" s="697"/>
      <c r="W80" s="697"/>
      <c r="X80" s="698"/>
    </row>
    <row r="81" spans="1:24" s="22" customFormat="1" ht="12" customHeight="1" x14ac:dyDescent="0.2">
      <c r="B81" s="90"/>
      <c r="C81" s="546"/>
      <c r="D81" s="515" t="s">
        <v>377</v>
      </c>
      <c r="E81" s="547"/>
      <c r="F81" s="515"/>
      <c r="G81" s="515"/>
      <c r="H81" s="548"/>
      <c r="I81" s="531">
        <f t="shared" si="16"/>
        <v>0</v>
      </c>
      <c r="J81" s="797">
        <v>0</v>
      </c>
      <c r="K81" s="1366">
        <f>(J81+J81*O81)*12/J$33</f>
        <v>0</v>
      </c>
      <c r="L81" s="1366" t="e">
        <f>K81*12/K$11</f>
        <v>#VALUE!</v>
      </c>
      <c r="M81" s="797">
        <f>K81+K81*P81</f>
        <v>0</v>
      </c>
      <c r="O81" s="779">
        <v>0</v>
      </c>
      <c r="P81" s="779">
        <f>O81</f>
        <v>0</v>
      </c>
      <c r="Q81" s="697"/>
      <c r="R81" s="697"/>
      <c r="S81" s="697"/>
      <c r="T81" s="697"/>
      <c r="U81" s="697"/>
      <c r="V81" s="697"/>
      <c r="W81" s="697"/>
      <c r="X81" s="698"/>
    </row>
    <row r="82" spans="1:24" s="22" customFormat="1" ht="12" customHeight="1" x14ac:dyDescent="0.2">
      <c r="B82" s="90"/>
      <c r="C82" s="538"/>
      <c r="D82" s="539" t="s">
        <v>378</v>
      </c>
      <c r="E82" s="540"/>
      <c r="F82" s="539"/>
      <c r="G82" s="539"/>
      <c r="H82" s="541"/>
      <c r="I82" s="531">
        <f t="shared" si="16"/>
        <v>0</v>
      </c>
      <c r="J82" s="797">
        <v>0</v>
      </c>
      <c r="K82" s="1366">
        <f>(J82+J82*O82)*12/J$33</f>
        <v>0</v>
      </c>
      <c r="L82" s="1366" t="e">
        <f>K82*12/K$11</f>
        <v>#VALUE!</v>
      </c>
      <c r="M82" s="797">
        <f>K82+K82*P82</f>
        <v>0</v>
      </c>
      <c r="O82" s="779">
        <v>0</v>
      </c>
      <c r="P82" s="779">
        <f>O82</f>
        <v>0</v>
      </c>
      <c r="Q82" s="697"/>
      <c r="R82" s="697"/>
      <c r="S82" s="697"/>
      <c r="T82" s="697"/>
      <c r="U82" s="697"/>
      <c r="V82" s="697"/>
      <c r="W82" s="697"/>
      <c r="X82" s="698"/>
    </row>
    <row r="83" spans="1:24" s="2" customFormat="1" ht="12.75" customHeight="1" x14ac:dyDescent="0.2">
      <c r="A83" s="22"/>
      <c r="B83" s="253" t="s">
        <v>61</v>
      </c>
      <c r="C83" s="462" t="s">
        <v>143</v>
      </c>
      <c r="D83" s="1077" t="s">
        <v>379</v>
      </c>
      <c r="E83" s="1077"/>
      <c r="F83" s="1077"/>
      <c r="G83" s="1077"/>
      <c r="H83" s="1077"/>
      <c r="I83" s="531">
        <f t="shared" si="16"/>
        <v>0</v>
      </c>
      <c r="J83" s="532">
        <f>J84+J85+J86</f>
        <v>0</v>
      </c>
      <c r="K83" s="1176">
        <f t="shared" ref="K83:L83" si="17">SUM(K84:K86)</f>
        <v>0</v>
      </c>
      <c r="L83" s="1176" t="e">
        <f t="shared" si="17"/>
        <v>#VALUE!</v>
      </c>
      <c r="M83" s="532">
        <f>SUM(M84:M86)</f>
        <v>0</v>
      </c>
      <c r="O83" s="965"/>
      <c r="P83" s="966"/>
      <c r="Q83" s="697"/>
      <c r="R83" s="697"/>
      <c r="S83" s="697"/>
      <c r="T83" s="697"/>
      <c r="U83" s="697"/>
      <c r="V83" s="697"/>
      <c r="W83" s="697"/>
      <c r="X83" s="698"/>
    </row>
    <row r="84" spans="1:24" s="22" customFormat="1" ht="12" customHeight="1" x14ac:dyDescent="0.2">
      <c r="A84" s="2"/>
      <c r="B84" s="90"/>
      <c r="C84" s="513"/>
      <c r="D84" s="1054" t="s">
        <v>380</v>
      </c>
      <c r="E84" s="1054"/>
      <c r="F84" s="1054"/>
      <c r="G84" s="1054"/>
      <c r="H84" s="1055"/>
      <c r="I84" s="531">
        <f t="shared" si="16"/>
        <v>0</v>
      </c>
      <c r="J84" s="797">
        <v>0</v>
      </c>
      <c r="K84" s="1366">
        <f>(J84+J84*O84)*12/J$33</f>
        <v>0</v>
      </c>
      <c r="L84" s="1366" t="e">
        <f>K84*12/K$11</f>
        <v>#VALUE!</v>
      </c>
      <c r="M84" s="797">
        <f>K84+K84*P84</f>
        <v>0</v>
      </c>
      <c r="O84" s="779">
        <v>0.03</v>
      </c>
      <c r="P84" s="779">
        <f>O84</f>
        <v>0.03</v>
      </c>
      <c r="Q84" s="697"/>
      <c r="R84" s="697"/>
      <c r="S84" s="697"/>
      <c r="T84" s="697"/>
      <c r="U84" s="697"/>
      <c r="V84" s="697"/>
      <c r="W84" s="697"/>
      <c r="X84" s="698"/>
    </row>
    <row r="85" spans="1:24" s="22" customFormat="1" ht="12" customHeight="1" x14ac:dyDescent="0.2">
      <c r="B85" s="90"/>
      <c r="C85" s="520"/>
      <c r="D85" s="521" t="s">
        <v>381</v>
      </c>
      <c r="E85" s="521"/>
      <c r="F85" s="521"/>
      <c r="G85" s="521"/>
      <c r="H85" s="1000"/>
      <c r="I85" s="531">
        <f t="shared" si="16"/>
        <v>0</v>
      </c>
      <c r="J85" s="797">
        <v>0</v>
      </c>
      <c r="K85" s="1366">
        <f>(J85+J85*O85)*12/J$33</f>
        <v>0</v>
      </c>
      <c r="L85" s="1366" t="e">
        <f>K85*12/K$11</f>
        <v>#VALUE!</v>
      </c>
      <c r="M85" s="797">
        <f>K85+K85*P85</f>
        <v>0</v>
      </c>
      <c r="O85" s="779">
        <v>0.03</v>
      </c>
      <c r="P85" s="779">
        <f>O85</f>
        <v>0.03</v>
      </c>
      <c r="Q85" s="697"/>
      <c r="R85" s="697"/>
      <c r="S85" s="697"/>
      <c r="T85" s="697"/>
      <c r="U85" s="697"/>
      <c r="V85" s="697"/>
      <c r="W85" s="697"/>
      <c r="X85" s="698"/>
    </row>
    <row r="86" spans="1:24" s="22" customFormat="1" ht="12" customHeight="1" x14ac:dyDescent="0.2">
      <c r="B86" s="90"/>
      <c r="C86" s="520"/>
      <c r="D86" s="521" t="s">
        <v>382</v>
      </c>
      <c r="E86" s="521"/>
      <c r="F86" s="521"/>
      <c r="G86" s="521"/>
      <c r="H86" s="1000"/>
      <c r="I86" s="531">
        <f t="shared" si="16"/>
        <v>0</v>
      </c>
      <c r="J86" s="797">
        <v>0</v>
      </c>
      <c r="K86" s="1366">
        <f>(J86+J86*O86)*12/J$33</f>
        <v>0</v>
      </c>
      <c r="L86" s="1366" t="e">
        <f>K86*12/K$11</f>
        <v>#VALUE!</v>
      </c>
      <c r="M86" s="797">
        <f>K86+K86*P86</f>
        <v>0</v>
      </c>
      <c r="O86" s="779">
        <v>0.03</v>
      </c>
      <c r="P86" s="779">
        <f>O86</f>
        <v>0.03</v>
      </c>
      <c r="Q86" s="697"/>
      <c r="R86" s="697"/>
      <c r="S86" s="697"/>
      <c r="T86" s="697"/>
      <c r="U86" s="697"/>
      <c r="V86" s="697"/>
      <c r="W86" s="697"/>
      <c r="X86" s="698"/>
    </row>
    <row r="87" spans="1:24" s="2" customFormat="1" ht="12.75" customHeight="1" x14ac:dyDescent="0.2">
      <c r="A87" s="22"/>
      <c r="B87" s="253" t="s">
        <v>62</v>
      </c>
      <c r="C87" s="464" t="s">
        <v>144</v>
      </c>
      <c r="D87" s="1053" t="s">
        <v>383</v>
      </c>
      <c r="E87" s="1053"/>
      <c r="F87" s="1053"/>
      <c r="G87" s="1053"/>
      <c r="H87" s="1053"/>
      <c r="I87" s="531">
        <f t="shared" si="16"/>
        <v>0</v>
      </c>
      <c r="J87" s="447">
        <f>J88+J89+J90+J91</f>
        <v>0</v>
      </c>
      <c r="K87" s="1038">
        <f>SUM(K88:K91)</f>
        <v>0</v>
      </c>
      <c r="L87" s="1038"/>
      <c r="M87" s="447">
        <f>M91+M90+M89+M88</f>
        <v>0</v>
      </c>
      <c r="O87" s="965"/>
      <c r="P87" s="966"/>
      <c r="Q87" s="697"/>
      <c r="R87" s="697"/>
      <c r="S87" s="697"/>
      <c r="T87" s="697"/>
      <c r="U87" s="697"/>
      <c r="V87" s="697"/>
      <c r="W87" s="697"/>
      <c r="X87" s="698"/>
    </row>
    <row r="88" spans="1:24" s="2" customFormat="1" ht="12" customHeight="1" x14ac:dyDescent="0.2">
      <c r="A88" s="22"/>
      <c r="B88" s="25"/>
      <c r="C88" s="524"/>
      <c r="D88" s="1047" t="s">
        <v>384</v>
      </c>
      <c r="E88" s="1047"/>
      <c r="F88" s="1047"/>
      <c r="G88" s="1047"/>
      <c r="H88" s="1047"/>
      <c r="I88" s="531">
        <f t="shared" si="16"/>
        <v>0</v>
      </c>
      <c r="J88" s="797">
        <v>0</v>
      </c>
      <c r="K88" s="1366">
        <f>(J88+J88*O88)*12/J$33</f>
        <v>0</v>
      </c>
      <c r="L88" s="1366" t="e">
        <f>K88*12/K$11</f>
        <v>#VALUE!</v>
      </c>
      <c r="M88" s="797">
        <f>K88+K88*P88</f>
        <v>0</v>
      </c>
      <c r="N88" s="22"/>
      <c r="O88" s="779">
        <v>0.03</v>
      </c>
      <c r="P88" s="779">
        <f t="shared" ref="P88:P92" si="18">O88</f>
        <v>0.03</v>
      </c>
      <c r="Q88" s="697"/>
      <c r="R88" s="697"/>
      <c r="S88" s="697"/>
      <c r="T88" s="697"/>
      <c r="U88" s="697"/>
      <c r="V88" s="697"/>
      <c r="W88" s="697"/>
      <c r="X88" s="698"/>
    </row>
    <row r="89" spans="1:24" s="22" customFormat="1" ht="12" customHeight="1" x14ac:dyDescent="0.2">
      <c r="A89" s="2"/>
      <c r="B89" s="90"/>
      <c r="C89" s="514"/>
      <c r="D89" s="515" t="s">
        <v>385</v>
      </c>
      <c r="E89" s="515"/>
      <c r="F89" s="515"/>
      <c r="G89" s="515"/>
      <c r="H89" s="997"/>
      <c r="I89" s="531">
        <f t="shared" si="16"/>
        <v>0</v>
      </c>
      <c r="J89" s="797">
        <v>0</v>
      </c>
      <c r="K89" s="1366">
        <f>(J89+J89*O89)*12/J$33</f>
        <v>0</v>
      </c>
      <c r="L89" s="1366" t="e">
        <f>K89*12/K$11</f>
        <v>#VALUE!</v>
      </c>
      <c r="M89" s="797">
        <f>K89+K89*P89</f>
        <v>0</v>
      </c>
      <c r="O89" s="779">
        <v>0.03</v>
      </c>
      <c r="P89" s="779">
        <f t="shared" si="18"/>
        <v>0.03</v>
      </c>
      <c r="Q89" s="697"/>
      <c r="R89" s="697"/>
      <c r="S89" s="697"/>
      <c r="T89" s="697"/>
      <c r="U89" s="697"/>
      <c r="V89" s="697"/>
      <c r="W89" s="697"/>
      <c r="X89" s="698"/>
    </row>
    <row r="90" spans="1:24" s="22" customFormat="1" ht="12" customHeight="1" x14ac:dyDescent="0.2">
      <c r="B90" s="90"/>
      <c r="C90" s="520"/>
      <c r="D90" s="521" t="s">
        <v>386</v>
      </c>
      <c r="E90" s="521"/>
      <c r="F90" s="521"/>
      <c r="G90" s="521"/>
      <c r="H90" s="1000"/>
      <c r="I90" s="531">
        <f t="shared" si="16"/>
        <v>0</v>
      </c>
      <c r="J90" s="797">
        <v>0</v>
      </c>
      <c r="K90" s="1366">
        <f>(J90+J90*O90)*12/J$33</f>
        <v>0</v>
      </c>
      <c r="L90" s="1366" t="e">
        <f>K90*12/K$11</f>
        <v>#VALUE!</v>
      </c>
      <c r="M90" s="797">
        <f>K90+K90*P90</f>
        <v>0</v>
      </c>
      <c r="O90" s="779">
        <v>0.03</v>
      </c>
      <c r="P90" s="779">
        <f t="shared" si="18"/>
        <v>0.03</v>
      </c>
      <c r="Q90" s="697"/>
      <c r="R90" s="697"/>
      <c r="S90" s="697"/>
      <c r="T90" s="697"/>
      <c r="U90" s="697"/>
      <c r="V90" s="697"/>
      <c r="W90" s="697"/>
      <c r="X90" s="698"/>
    </row>
    <row r="91" spans="1:24" s="22" customFormat="1" ht="12" customHeight="1" x14ac:dyDescent="0.2">
      <c r="B91" s="90"/>
      <c r="C91" s="528"/>
      <c r="D91" s="1050" t="s">
        <v>387</v>
      </c>
      <c r="E91" s="1050"/>
      <c r="F91" s="1050"/>
      <c r="G91" s="1050"/>
      <c r="H91" s="1221"/>
      <c r="I91" s="531">
        <f t="shared" si="16"/>
        <v>0</v>
      </c>
      <c r="J91" s="797">
        <v>0</v>
      </c>
      <c r="K91" s="1366">
        <f>(J91+J91*O91)*12/J$33</f>
        <v>0</v>
      </c>
      <c r="L91" s="1366" t="e">
        <f>K91*12/K$11</f>
        <v>#VALUE!</v>
      </c>
      <c r="M91" s="797">
        <f>K91+K91*P91</f>
        <v>0</v>
      </c>
      <c r="O91" s="779">
        <v>0.03</v>
      </c>
      <c r="P91" s="779">
        <f t="shared" si="18"/>
        <v>0.03</v>
      </c>
      <c r="Q91" s="697"/>
      <c r="R91" s="697"/>
      <c r="S91" s="697"/>
      <c r="T91" s="697"/>
      <c r="U91" s="697"/>
      <c r="V91" s="697"/>
      <c r="W91" s="697"/>
      <c r="X91" s="698"/>
    </row>
    <row r="92" spans="1:24" s="2" customFormat="1" ht="12.75" customHeight="1" x14ac:dyDescent="0.2">
      <c r="A92" s="22"/>
      <c r="B92" s="25"/>
      <c r="C92" s="464" t="s">
        <v>145</v>
      </c>
      <c r="D92" s="465" t="s">
        <v>388</v>
      </c>
      <c r="E92" s="465"/>
      <c r="F92" s="465"/>
      <c r="G92" s="465"/>
      <c r="H92" s="536"/>
      <c r="I92" s="531">
        <f t="shared" si="16"/>
        <v>0</v>
      </c>
      <c r="J92" s="781">
        <v>0</v>
      </c>
      <c r="K92" s="1331">
        <f>(J92+J92*O92)*12/J$33</f>
        <v>0</v>
      </c>
      <c r="L92" s="1331" t="e">
        <f>K92*12/K$11</f>
        <v>#VALUE!</v>
      </c>
      <c r="M92" s="781">
        <f>K92+K92*P92</f>
        <v>0</v>
      </c>
      <c r="O92" s="779">
        <v>0.03</v>
      </c>
      <c r="P92" s="779">
        <f t="shared" si="18"/>
        <v>0.03</v>
      </c>
      <c r="Q92" s="697"/>
      <c r="R92" s="697"/>
      <c r="S92" s="697"/>
      <c r="T92" s="697"/>
      <c r="U92" s="697"/>
      <c r="V92" s="697"/>
      <c r="W92" s="697"/>
      <c r="X92" s="698"/>
    </row>
    <row r="93" spans="1:24" s="2" customFormat="1" ht="12.75" customHeight="1" x14ac:dyDescent="0.2">
      <c r="B93" s="253" t="s">
        <v>75</v>
      </c>
      <c r="C93" s="464" t="s">
        <v>146</v>
      </c>
      <c r="D93" s="525" t="s">
        <v>389</v>
      </c>
      <c r="E93" s="525"/>
      <c r="F93" s="525"/>
      <c r="G93" s="525"/>
      <c r="H93" s="526"/>
      <c r="I93" s="486">
        <f>J93/12</f>
        <v>0</v>
      </c>
      <c r="J93" s="447">
        <f>J95*J94+J96*J97</f>
        <v>0</v>
      </c>
      <c r="K93" s="1038">
        <f t="shared" ref="K93:L93" si="19">K94*K95+K97*K96</f>
        <v>0</v>
      </c>
      <c r="L93" s="1038" t="e">
        <f t="shared" si="19"/>
        <v>#VALUE!</v>
      </c>
      <c r="M93" s="447">
        <f>M94*M95+M97*M96</f>
        <v>0</v>
      </c>
      <c r="O93" s="959"/>
      <c r="P93" s="960"/>
      <c r="Q93" s="697"/>
      <c r="R93" s="697"/>
      <c r="S93" s="697"/>
      <c r="T93" s="697"/>
      <c r="U93" s="697"/>
      <c r="V93" s="697"/>
      <c r="W93" s="697"/>
      <c r="X93" s="698"/>
    </row>
    <row r="94" spans="1:24" s="2" customFormat="1" ht="12" customHeight="1" x14ac:dyDescent="0.2">
      <c r="B94" s="25"/>
      <c r="C94" s="513"/>
      <c r="D94" s="1054" t="s">
        <v>390</v>
      </c>
      <c r="E94" s="1054"/>
      <c r="F94" s="1054"/>
      <c r="G94" s="1054"/>
      <c r="H94" s="1054"/>
      <c r="I94" s="534"/>
      <c r="J94" s="797">
        <v>0</v>
      </c>
      <c r="K94" s="1366">
        <f>J94*12/J$33</f>
        <v>0</v>
      </c>
      <c r="L94" s="1366"/>
      <c r="M94" s="797">
        <f>K94</f>
        <v>0</v>
      </c>
      <c r="O94" s="972"/>
      <c r="P94" s="973"/>
      <c r="Q94" s="697"/>
      <c r="R94" s="697"/>
      <c r="S94" s="697"/>
      <c r="T94" s="697"/>
      <c r="U94" s="697"/>
      <c r="V94" s="697"/>
      <c r="W94" s="697"/>
      <c r="X94" s="698"/>
    </row>
    <row r="95" spans="1:24" s="2" customFormat="1" ht="12" customHeight="1" x14ac:dyDescent="0.2">
      <c r="B95" s="25"/>
      <c r="C95" s="514"/>
      <c r="D95" s="515" t="s">
        <v>391</v>
      </c>
      <c r="E95" s="515"/>
      <c r="F95" s="515"/>
      <c r="G95" s="515"/>
      <c r="H95" s="515"/>
      <c r="I95" s="531">
        <v>0</v>
      </c>
      <c r="J95" s="799">
        <v>0.55000000000000004</v>
      </c>
      <c r="K95" s="1368">
        <f>J95</f>
        <v>0.55000000000000004</v>
      </c>
      <c r="L95" s="1368"/>
      <c r="M95" s="799">
        <f>K95</f>
        <v>0.55000000000000004</v>
      </c>
      <c r="O95" s="972"/>
      <c r="P95" s="973"/>
      <c r="Q95" s="697"/>
      <c r="R95" s="697"/>
      <c r="S95" s="697"/>
      <c r="T95" s="697"/>
      <c r="U95" s="697"/>
      <c r="V95" s="697"/>
      <c r="W95" s="697"/>
      <c r="X95" s="698"/>
    </row>
    <row r="96" spans="1:24" s="2" customFormat="1" ht="12" customHeight="1" x14ac:dyDescent="0.2">
      <c r="B96" s="25"/>
      <c r="C96" s="520"/>
      <c r="D96" s="521" t="s">
        <v>392</v>
      </c>
      <c r="E96" s="521"/>
      <c r="F96" s="521"/>
      <c r="G96" s="521"/>
      <c r="H96" s="521"/>
      <c r="I96" s="531">
        <v>0</v>
      </c>
      <c r="J96" s="797">
        <v>0</v>
      </c>
      <c r="K96" s="1366">
        <f>(J96*12/J$33)</f>
        <v>0</v>
      </c>
      <c r="L96" s="1366" t="e">
        <f>K96*12/K$10</f>
        <v>#VALUE!</v>
      </c>
      <c r="M96" s="797">
        <f>K96</f>
        <v>0</v>
      </c>
      <c r="O96" s="972"/>
      <c r="P96" s="973"/>
      <c r="Q96" s="697"/>
      <c r="R96" s="697"/>
      <c r="S96" s="697"/>
      <c r="T96" s="697"/>
      <c r="U96" s="697"/>
      <c r="V96" s="697"/>
      <c r="W96" s="697"/>
      <c r="X96" s="698"/>
    </row>
    <row r="97" spans="1:26" s="2" customFormat="1" ht="12" customHeight="1" x14ac:dyDescent="0.2">
      <c r="B97" s="25"/>
      <c r="C97" s="528"/>
      <c r="D97" s="1050" t="s">
        <v>393</v>
      </c>
      <c r="E97" s="1050"/>
      <c r="F97" s="1050"/>
      <c r="G97" s="1050"/>
      <c r="H97" s="1051"/>
      <c r="I97" s="531">
        <v>0</v>
      </c>
      <c r="J97" s="798">
        <v>0</v>
      </c>
      <c r="K97" s="1367">
        <f>J97</f>
        <v>0</v>
      </c>
      <c r="L97" s="1367"/>
      <c r="M97" s="798">
        <f>K97</f>
        <v>0</v>
      </c>
      <c r="O97" s="972"/>
      <c r="P97" s="973"/>
      <c r="Q97" s="697"/>
      <c r="R97" s="697"/>
      <c r="S97" s="697"/>
      <c r="T97" s="697"/>
      <c r="U97" s="697"/>
      <c r="V97" s="697"/>
      <c r="W97" s="697"/>
      <c r="X97" s="698"/>
    </row>
    <row r="98" spans="1:26" s="2" customFormat="1" ht="12.75" customHeight="1" x14ac:dyDescent="0.2">
      <c r="B98" s="253" t="s">
        <v>76</v>
      </c>
      <c r="C98" s="464" t="s">
        <v>147</v>
      </c>
      <c r="D98" s="465" t="s">
        <v>394</v>
      </c>
      <c r="E98" s="465"/>
      <c r="F98" s="465"/>
      <c r="G98" s="465"/>
      <c r="H98" s="465"/>
      <c r="I98" s="486">
        <f>J98/12</f>
        <v>0</v>
      </c>
      <c r="J98" s="447">
        <f>J99+J100</f>
        <v>0</v>
      </c>
      <c r="K98" s="1038">
        <f>K99+K100</f>
        <v>0</v>
      </c>
      <c r="L98" s="1038"/>
      <c r="M98" s="447">
        <f>SUM(M99:M100)</f>
        <v>0</v>
      </c>
      <c r="O98" s="959"/>
      <c r="P98" s="960"/>
      <c r="Q98" s="697"/>
      <c r="R98" s="697"/>
      <c r="S98" s="697"/>
      <c r="T98" s="697"/>
      <c r="U98" s="697"/>
      <c r="V98" s="697"/>
      <c r="W98" s="697"/>
      <c r="X98" s="698"/>
      <c r="Z98" s="2" t="s">
        <v>0</v>
      </c>
    </row>
    <row r="99" spans="1:26" ht="12" customHeight="1" x14ac:dyDescent="0.2">
      <c r="A99" s="2"/>
      <c r="B99" s="90" t="s">
        <v>0</v>
      </c>
      <c r="C99" s="513"/>
      <c r="D99" s="1054" t="s">
        <v>395</v>
      </c>
      <c r="E99" s="1054"/>
      <c r="F99" s="1054"/>
      <c r="G99" s="1054"/>
      <c r="H99" s="1054"/>
      <c r="I99" s="486">
        <f t="shared" ref="I99:I100" si="20">J99/12</f>
        <v>0</v>
      </c>
      <c r="J99" s="797">
        <v>0</v>
      </c>
      <c r="K99" s="1366">
        <f>(J99+J99*O99)*12/J$33</f>
        <v>0</v>
      </c>
      <c r="L99" s="1366" t="e">
        <f>K99*12/K$11</f>
        <v>#VALUE!</v>
      </c>
      <c r="M99" s="797">
        <f>K99+K99*P99</f>
        <v>0</v>
      </c>
      <c r="O99" s="779">
        <v>0.03</v>
      </c>
      <c r="P99" s="779">
        <f>O99</f>
        <v>0.03</v>
      </c>
      <c r="Q99" s="697"/>
      <c r="R99" s="697"/>
      <c r="S99" s="697"/>
      <c r="T99" s="697"/>
      <c r="U99" s="697"/>
      <c r="V99" s="697"/>
      <c r="W99" s="697"/>
      <c r="X99" s="698"/>
    </row>
    <row r="100" spans="1:26" ht="12" customHeight="1" x14ac:dyDescent="0.2">
      <c r="B100" s="90" t="s">
        <v>0</v>
      </c>
      <c r="C100" s="520"/>
      <c r="D100" s="521" t="s">
        <v>396</v>
      </c>
      <c r="E100" s="521"/>
      <c r="F100" s="521"/>
      <c r="G100" s="521"/>
      <c r="H100" s="521"/>
      <c r="I100" s="486">
        <f t="shared" si="20"/>
        <v>0</v>
      </c>
      <c r="J100" s="797">
        <v>0</v>
      </c>
      <c r="K100" s="1366">
        <f>(J100+J100*O100)*12/J$33</f>
        <v>0</v>
      </c>
      <c r="L100" s="1366" t="e">
        <f>K100*12/K$11</f>
        <v>#VALUE!</v>
      </c>
      <c r="M100" s="797">
        <f>K100+K100*P100</f>
        <v>0</v>
      </c>
      <c r="O100" s="779">
        <v>0.03</v>
      </c>
      <c r="P100" s="779">
        <f>O100</f>
        <v>0.03</v>
      </c>
      <c r="Q100" s="697"/>
      <c r="R100" s="697"/>
      <c r="S100" s="697"/>
      <c r="T100" s="697"/>
      <c r="U100" s="697"/>
      <c r="V100" s="697"/>
      <c r="W100" s="697"/>
      <c r="X100" s="698"/>
    </row>
    <row r="101" spans="1:26" s="2" customFormat="1" ht="12.75" customHeight="1" x14ac:dyDescent="0.2">
      <c r="A101"/>
      <c r="B101" s="253" t="s">
        <v>63</v>
      </c>
      <c r="C101" s="464" t="s">
        <v>148</v>
      </c>
      <c r="D101" s="1053" t="s">
        <v>397</v>
      </c>
      <c r="E101" s="1053"/>
      <c r="F101" s="1053"/>
      <c r="G101" s="1053"/>
      <c r="H101" s="1076"/>
      <c r="I101" s="486">
        <f>J101/12</f>
        <v>0</v>
      </c>
      <c r="J101" s="447">
        <f>J102+J103</f>
        <v>0</v>
      </c>
      <c r="K101" s="1038">
        <f>SUM(K102:K103)</f>
        <v>0</v>
      </c>
      <c r="L101" s="1038"/>
      <c r="M101" s="447">
        <f>SUM(M102:M103)</f>
        <v>0</v>
      </c>
      <c r="O101" s="965"/>
      <c r="P101" s="966"/>
      <c r="Q101" s="697"/>
      <c r="R101" s="697"/>
      <c r="S101" s="697"/>
      <c r="T101" s="697"/>
      <c r="U101" s="697"/>
      <c r="V101" s="697"/>
      <c r="W101" s="697"/>
      <c r="X101" s="698"/>
    </row>
    <row r="102" spans="1:26" s="22" customFormat="1" ht="12" customHeight="1" x14ac:dyDescent="0.2">
      <c r="A102" s="2"/>
      <c r="B102" s="90"/>
      <c r="C102" s="524"/>
      <c r="D102" s="1074" t="s">
        <v>515</v>
      </c>
      <c r="E102" s="1074"/>
      <c r="F102" s="1074"/>
      <c r="G102" s="1074"/>
      <c r="H102" s="1074"/>
      <c r="I102" s="486">
        <f t="shared" ref="I102:I107" si="21">J102/12</f>
        <v>0</v>
      </c>
      <c r="J102" s="797">
        <v>0</v>
      </c>
      <c r="K102" s="1366">
        <f>(J102+J102*O102)*12/J$33</f>
        <v>0</v>
      </c>
      <c r="L102" s="1366" t="e">
        <f>K102*12/K$11</f>
        <v>#VALUE!</v>
      </c>
      <c r="M102" s="797">
        <f>K102+K102*P102</f>
        <v>0</v>
      </c>
      <c r="O102" s="779">
        <v>0.03</v>
      </c>
      <c r="P102" s="779">
        <f>O102</f>
        <v>0.03</v>
      </c>
      <c r="Q102" s="697"/>
      <c r="R102" s="697"/>
      <c r="S102" s="697"/>
      <c r="T102" s="697">
        <v>0</v>
      </c>
      <c r="U102" s="697"/>
      <c r="V102" s="697"/>
      <c r="W102" s="697"/>
      <c r="X102" s="698"/>
    </row>
    <row r="103" spans="1:26" s="22" customFormat="1" ht="12" customHeight="1" x14ac:dyDescent="0.2">
      <c r="B103" s="90"/>
      <c r="C103" s="520"/>
      <c r="D103" s="521" t="s">
        <v>516</v>
      </c>
      <c r="E103" s="521"/>
      <c r="F103" s="521"/>
      <c r="G103" s="521"/>
      <c r="H103" s="521"/>
      <c r="I103" s="486">
        <f t="shared" si="21"/>
        <v>0</v>
      </c>
      <c r="J103" s="797">
        <v>0</v>
      </c>
      <c r="K103" s="1366">
        <f>(J103+J103*O103)*12/J$33</f>
        <v>0</v>
      </c>
      <c r="L103" s="1366" t="e">
        <f>K103*12/K$11</f>
        <v>#VALUE!</v>
      </c>
      <c r="M103" s="797">
        <f>K103+K103*P103</f>
        <v>0</v>
      </c>
      <c r="O103" s="779">
        <v>0.03</v>
      </c>
      <c r="P103" s="779">
        <f>O103</f>
        <v>0.03</v>
      </c>
      <c r="Q103" s="697"/>
      <c r="R103" s="697"/>
      <c r="S103" s="697"/>
      <c r="T103" s="697"/>
      <c r="U103" s="697"/>
      <c r="V103" s="697"/>
      <c r="W103" s="697"/>
      <c r="X103" s="698"/>
    </row>
    <row r="104" spans="1:26" s="29" customFormat="1" ht="12.75" customHeight="1" x14ac:dyDescent="0.2">
      <c r="A104" s="22"/>
      <c r="B104" s="253" t="s">
        <v>64</v>
      </c>
      <c r="C104" s="464" t="s">
        <v>149</v>
      </c>
      <c r="D104" s="465" t="s">
        <v>517</v>
      </c>
      <c r="E104" s="465"/>
      <c r="F104" s="465"/>
      <c r="G104" s="465"/>
      <c r="H104" s="536"/>
      <c r="I104" s="486">
        <f t="shared" si="21"/>
        <v>0</v>
      </c>
      <c r="J104" s="447">
        <f>J105+J106+J107</f>
        <v>0</v>
      </c>
      <c r="K104" s="1038">
        <f t="shared" ref="K104:L104" si="22">SUM(K105:K107)</f>
        <v>0</v>
      </c>
      <c r="L104" s="1038" t="e">
        <f t="shared" si="22"/>
        <v>#VALUE!</v>
      </c>
      <c r="M104" s="447">
        <f>SUM(M105:M106)</f>
        <v>0</v>
      </c>
      <c r="O104" s="965"/>
      <c r="P104" s="966"/>
      <c r="Q104" s="697"/>
      <c r="R104" s="697"/>
      <c r="S104" s="697"/>
      <c r="T104" s="697"/>
      <c r="U104" s="697"/>
      <c r="V104" s="697"/>
      <c r="W104" s="697"/>
      <c r="X104" s="698"/>
    </row>
    <row r="105" spans="1:26" s="29" customFormat="1" ht="12.75" customHeight="1" x14ac:dyDescent="0.2">
      <c r="A105" s="22"/>
      <c r="B105" s="253"/>
      <c r="C105" s="737"/>
      <c r="D105" s="30" t="s">
        <v>410</v>
      </c>
      <c r="E105" s="417"/>
      <c r="F105" s="417"/>
      <c r="G105" s="417"/>
      <c r="H105" s="417"/>
      <c r="I105" s="486">
        <f t="shared" si="21"/>
        <v>0</v>
      </c>
      <c r="J105" s="797">
        <v>0</v>
      </c>
      <c r="K105" s="1366">
        <f>(J105+J105*O105)*12/J$33</f>
        <v>0</v>
      </c>
      <c r="L105" s="1366" t="e">
        <f>K105*12/K$11</f>
        <v>#VALUE!</v>
      </c>
      <c r="M105" s="797">
        <f>K105+K105*P105</f>
        <v>0</v>
      </c>
      <c r="O105" s="779">
        <v>0.03</v>
      </c>
      <c r="P105" s="779">
        <f>O105</f>
        <v>0.03</v>
      </c>
      <c r="Q105" s="697"/>
      <c r="R105" s="697">
        <v>0</v>
      </c>
      <c r="S105" s="697"/>
      <c r="T105" s="697"/>
      <c r="U105" s="697"/>
      <c r="V105" s="697"/>
      <c r="W105" s="697"/>
      <c r="X105" s="698"/>
    </row>
    <row r="106" spans="1:26" s="29" customFormat="1" ht="12.75" customHeight="1" x14ac:dyDescent="0.2">
      <c r="A106" s="22"/>
      <c r="B106" s="253"/>
      <c r="C106" s="734"/>
      <c r="D106" s="735" t="s">
        <v>411</v>
      </c>
      <c r="E106" s="735"/>
      <c r="F106" s="735"/>
      <c r="G106" s="735"/>
      <c r="H106" s="736"/>
      <c r="I106" s="486">
        <f t="shared" si="21"/>
        <v>0</v>
      </c>
      <c r="J106" s="797">
        <v>0</v>
      </c>
      <c r="K106" s="1366">
        <f>(J106+J106*O106)*12/J$33</f>
        <v>0</v>
      </c>
      <c r="L106" s="1366" t="e">
        <f>K106*12/K$11</f>
        <v>#VALUE!</v>
      </c>
      <c r="M106" s="797">
        <f>K106+K106*P106</f>
        <v>0</v>
      </c>
      <c r="O106" s="779">
        <v>0</v>
      </c>
      <c r="P106" s="779">
        <f t="shared" ref="P106:P107" si="23">O106</f>
        <v>0</v>
      </c>
      <c r="Q106" s="697"/>
      <c r="R106" s="697"/>
      <c r="S106" s="697"/>
      <c r="T106" s="697"/>
      <c r="U106" s="697"/>
      <c r="V106" s="697"/>
      <c r="W106" s="697"/>
      <c r="X106" s="698"/>
    </row>
    <row r="107" spans="1:26" s="29" customFormat="1" ht="12.75" customHeight="1" x14ac:dyDescent="0.2">
      <c r="A107" s="22"/>
      <c r="B107" s="253"/>
      <c r="C107" s="737"/>
      <c r="D107" s="30" t="s">
        <v>412</v>
      </c>
      <c r="E107" s="417"/>
      <c r="F107" s="417"/>
      <c r="G107" s="417"/>
      <c r="H107" s="417"/>
      <c r="I107" s="486">
        <f t="shared" si="21"/>
        <v>0</v>
      </c>
      <c r="J107" s="797">
        <v>0</v>
      </c>
      <c r="K107" s="1366">
        <f>(J107+J107*O107)*12/J$33</f>
        <v>0</v>
      </c>
      <c r="L107" s="1366" t="e">
        <f>K107*12/K$11</f>
        <v>#VALUE!</v>
      </c>
      <c r="M107" s="797">
        <f>K107+K107*P107</f>
        <v>0</v>
      </c>
      <c r="O107" s="779">
        <v>0.03</v>
      </c>
      <c r="P107" s="779">
        <f t="shared" si="23"/>
        <v>0.03</v>
      </c>
      <c r="Q107" s="697"/>
      <c r="R107" s="697"/>
      <c r="S107" s="697"/>
      <c r="T107" s="697"/>
      <c r="U107" s="697"/>
      <c r="V107" s="697"/>
      <c r="W107" s="697"/>
      <c r="X107" s="698"/>
    </row>
    <row r="108" spans="1:26" s="2" customFormat="1" ht="12.75" customHeight="1" x14ac:dyDescent="0.2">
      <c r="A108" s="29"/>
      <c r="B108" s="253" t="s">
        <v>72</v>
      </c>
      <c r="C108" s="464" t="s">
        <v>150</v>
      </c>
      <c r="D108" s="465" t="s">
        <v>398</v>
      </c>
      <c r="E108" s="465"/>
      <c r="F108" s="465"/>
      <c r="G108" s="465"/>
      <c r="H108" s="536"/>
      <c r="I108" s="486">
        <f t="shared" ref="I108:I115" si="24">J108/J$33</f>
        <v>0</v>
      </c>
      <c r="J108" s="447">
        <f>SUM(J109:J111)</f>
        <v>0</v>
      </c>
      <c r="K108" s="1038">
        <f>SUM(K109:K111)</f>
        <v>0</v>
      </c>
      <c r="L108" s="1038"/>
      <c r="M108" s="447">
        <f>SUM(M109:M111)</f>
        <v>0</v>
      </c>
      <c r="O108" s="965" t="s">
        <v>0</v>
      </c>
      <c r="P108" s="966" t="s">
        <v>0</v>
      </c>
      <c r="Q108" s="697"/>
      <c r="R108" s="697">
        <v>0</v>
      </c>
      <c r="S108" s="697"/>
      <c r="T108" s="697"/>
      <c r="U108" s="697"/>
      <c r="V108" s="697"/>
      <c r="W108" s="697"/>
      <c r="X108" s="698"/>
    </row>
    <row r="109" spans="1:26" ht="12" customHeight="1" x14ac:dyDescent="0.2">
      <c r="A109" s="2"/>
      <c r="B109" s="90"/>
      <c r="C109" s="513"/>
      <c r="D109" s="1054" t="s">
        <v>399</v>
      </c>
      <c r="E109" s="1054"/>
      <c r="F109" s="1054"/>
      <c r="G109" s="1054"/>
      <c r="H109" s="1054"/>
      <c r="I109" s="534">
        <f t="shared" si="24"/>
        <v>0</v>
      </c>
      <c r="J109" s="797">
        <v>0</v>
      </c>
      <c r="K109" s="1366">
        <f t="shared" ref="K109:K110" si="25">(J109+J109*O109)*12/J$33</f>
        <v>0</v>
      </c>
      <c r="L109" s="1366" t="e">
        <f t="shared" ref="L109:L110" si="26">K109*12/K$11</f>
        <v>#VALUE!</v>
      </c>
      <c r="M109" s="797">
        <f t="shared" ref="M109:M115" si="27">K109+K109*P109</f>
        <v>0</v>
      </c>
      <c r="O109" s="779">
        <v>0.03</v>
      </c>
      <c r="P109" s="779">
        <f t="shared" ref="P109:P115" si="28">O109</f>
        <v>0.03</v>
      </c>
      <c r="Q109" s="697"/>
      <c r="R109" s="697"/>
      <c r="S109" s="697"/>
      <c r="T109" s="697"/>
      <c r="U109" s="697"/>
      <c r="V109" s="697"/>
      <c r="W109" s="697"/>
      <c r="X109" s="698"/>
    </row>
    <row r="110" spans="1:26" ht="12" customHeight="1" x14ac:dyDescent="0.2">
      <c r="B110" s="90"/>
      <c r="C110" s="514"/>
      <c r="D110" s="515" t="s">
        <v>400</v>
      </c>
      <c r="E110" s="515"/>
      <c r="F110" s="515"/>
      <c r="G110" s="515"/>
      <c r="H110" s="515"/>
      <c r="I110" s="534">
        <f t="shared" si="24"/>
        <v>0</v>
      </c>
      <c r="J110" s="797">
        <v>0</v>
      </c>
      <c r="K110" s="1366">
        <f t="shared" si="25"/>
        <v>0</v>
      </c>
      <c r="L110" s="1366" t="e">
        <f t="shared" si="26"/>
        <v>#VALUE!</v>
      </c>
      <c r="M110" s="797">
        <f t="shared" si="27"/>
        <v>0</v>
      </c>
      <c r="O110" s="779">
        <v>0.03</v>
      </c>
      <c r="P110" s="779">
        <f t="shared" si="28"/>
        <v>0.03</v>
      </c>
      <c r="Q110" s="697"/>
      <c r="R110" s="697"/>
      <c r="S110" s="697"/>
      <c r="T110" s="697"/>
      <c r="U110" s="697"/>
      <c r="V110" s="697"/>
      <c r="W110" s="697"/>
      <c r="X110" s="698"/>
    </row>
    <row r="111" spans="1:26" ht="12" customHeight="1" x14ac:dyDescent="0.2">
      <c r="B111" s="90"/>
      <c r="C111" s="520"/>
      <c r="D111" s="1050" t="s">
        <v>401</v>
      </c>
      <c r="E111" s="1050"/>
      <c r="F111" s="1050"/>
      <c r="G111" s="1050"/>
      <c r="H111" s="1051">
        <v>0</v>
      </c>
      <c r="I111" s="534">
        <f t="shared" si="24"/>
        <v>0</v>
      </c>
      <c r="J111" s="797">
        <v>0</v>
      </c>
      <c r="K111" s="1366">
        <f>(J111+J111*O111)*12/J$33</f>
        <v>0</v>
      </c>
      <c r="L111" s="1366" t="e">
        <f>K111*12/K$11</f>
        <v>#VALUE!</v>
      </c>
      <c r="M111" s="797">
        <f t="shared" si="27"/>
        <v>0</v>
      </c>
      <c r="O111" s="779">
        <v>0.03</v>
      </c>
      <c r="P111" s="779">
        <f t="shared" si="28"/>
        <v>0.03</v>
      </c>
      <c r="Q111" s="697"/>
      <c r="R111" s="697"/>
      <c r="S111" s="697"/>
      <c r="T111" s="697"/>
      <c r="U111" s="697"/>
      <c r="V111" s="697"/>
      <c r="W111" s="697"/>
      <c r="X111" s="698"/>
    </row>
    <row r="112" spans="1:26" s="2" customFormat="1" ht="12.75" customHeight="1" x14ac:dyDescent="0.2">
      <c r="A112"/>
      <c r="B112" s="253" t="s">
        <v>73</v>
      </c>
      <c r="C112" s="464" t="s">
        <v>151</v>
      </c>
      <c r="D112" s="1053" t="s">
        <v>402</v>
      </c>
      <c r="E112" s="1053"/>
      <c r="F112" s="1053"/>
      <c r="G112" s="1053"/>
      <c r="H112" s="1053"/>
      <c r="I112" s="534">
        <f t="shared" si="24"/>
        <v>0</v>
      </c>
      <c r="J112" s="781">
        <v>0</v>
      </c>
      <c r="K112" s="1331">
        <f>(J112+J112*O112)*12/J$33</f>
        <v>0</v>
      </c>
      <c r="L112" s="1331" t="e">
        <f>K112*12/K$11</f>
        <v>#VALUE!</v>
      </c>
      <c r="M112" s="781">
        <f>K112+K112*P112</f>
        <v>0</v>
      </c>
      <c r="O112" s="779">
        <v>0.03</v>
      </c>
      <c r="P112" s="779">
        <f t="shared" si="28"/>
        <v>0.03</v>
      </c>
      <c r="Q112" s="697"/>
      <c r="R112" s="697"/>
      <c r="S112" s="697"/>
      <c r="T112" s="697"/>
      <c r="U112" s="697"/>
      <c r="V112" s="697"/>
      <c r="W112" s="697"/>
      <c r="X112" s="698"/>
    </row>
    <row r="113" spans="1:24" s="2" customFormat="1" ht="12.75" customHeight="1" x14ac:dyDescent="0.2">
      <c r="B113" s="253" t="s">
        <v>77</v>
      </c>
      <c r="C113" s="464" t="s">
        <v>155</v>
      </c>
      <c r="D113" s="1053" t="s">
        <v>403</v>
      </c>
      <c r="E113" s="1053"/>
      <c r="F113" s="1053"/>
      <c r="G113" s="1053"/>
      <c r="H113" s="1053"/>
      <c r="I113" s="486">
        <f t="shared" si="24"/>
        <v>0</v>
      </c>
      <c r="J113" s="781">
        <v>0</v>
      </c>
      <c r="K113" s="1331">
        <f>(J113+J113*O113)*12/J$33</f>
        <v>0</v>
      </c>
      <c r="L113" s="1331" t="e">
        <f>K113*12/K$11</f>
        <v>#VALUE!</v>
      </c>
      <c r="M113" s="781">
        <f t="shared" si="27"/>
        <v>0</v>
      </c>
      <c r="O113" s="779">
        <v>0.03</v>
      </c>
      <c r="P113" s="779">
        <f t="shared" si="28"/>
        <v>0.03</v>
      </c>
      <c r="Q113" s="697"/>
      <c r="R113" s="697"/>
      <c r="S113" s="697"/>
      <c r="T113" s="697"/>
      <c r="U113" s="697"/>
      <c r="V113" s="697"/>
      <c r="W113" s="697"/>
      <c r="X113" s="698"/>
    </row>
    <row r="114" spans="1:24" s="2" customFormat="1" ht="12.75" customHeight="1" x14ac:dyDescent="0.2">
      <c r="B114" s="253" t="s">
        <v>214</v>
      </c>
      <c r="C114" s="464" t="s">
        <v>156</v>
      </c>
      <c r="D114" s="465" t="s">
        <v>404</v>
      </c>
      <c r="E114" s="523"/>
      <c r="F114" s="523"/>
      <c r="G114" s="523"/>
      <c r="H114" s="523"/>
      <c r="I114" s="486">
        <f t="shared" si="24"/>
        <v>0</v>
      </c>
      <c r="J114" s="781">
        <v>0</v>
      </c>
      <c r="K114" s="1331">
        <f>(J114+J114*O114)*12/J$33</f>
        <v>0</v>
      </c>
      <c r="L114" s="1331" t="e">
        <f>K114*12/K$11</f>
        <v>#VALUE!</v>
      </c>
      <c r="M114" s="781">
        <f t="shared" si="27"/>
        <v>0</v>
      </c>
      <c r="O114" s="779">
        <v>0.03</v>
      </c>
      <c r="P114" s="779">
        <f t="shared" si="28"/>
        <v>0.03</v>
      </c>
      <c r="Q114" s="697"/>
      <c r="R114" s="697"/>
      <c r="S114" s="697"/>
      <c r="T114" s="697"/>
      <c r="U114" s="697"/>
      <c r="V114" s="697"/>
      <c r="W114" s="697"/>
      <c r="X114" s="698"/>
    </row>
    <row r="115" spans="1:24" s="2" customFormat="1" ht="12.75" customHeight="1" x14ac:dyDescent="0.2">
      <c r="B115" s="253" t="s">
        <v>215</v>
      </c>
      <c r="C115" s="609" t="s">
        <v>157</v>
      </c>
      <c r="D115" s="610" t="s">
        <v>405</v>
      </c>
      <c r="E115" s="477"/>
      <c r="F115" s="477"/>
      <c r="G115" s="477"/>
      <c r="H115" s="477"/>
      <c r="I115" s="611">
        <f t="shared" si="24"/>
        <v>0</v>
      </c>
      <c r="J115" s="800">
        <v>0</v>
      </c>
      <c r="K115" s="1331">
        <f>(J115+J115*O115)*12/J$33</f>
        <v>0</v>
      </c>
      <c r="L115" s="1331" t="e">
        <f>K115*12/K$11</f>
        <v>#VALUE!</v>
      </c>
      <c r="M115" s="781">
        <f t="shared" si="27"/>
        <v>0</v>
      </c>
      <c r="O115" s="779">
        <v>0.03</v>
      </c>
      <c r="P115" s="779">
        <f t="shared" si="28"/>
        <v>0.03</v>
      </c>
      <c r="Q115" s="697"/>
      <c r="R115" s="697"/>
      <c r="S115" s="697"/>
      <c r="T115" s="697"/>
      <c r="U115" s="697"/>
      <c r="V115" s="697"/>
      <c r="W115" s="697"/>
      <c r="X115" s="698"/>
    </row>
    <row r="116" spans="1:24" ht="12.75" customHeight="1" x14ac:dyDescent="0.2">
      <c r="A116" s="2"/>
      <c r="B116" s="667" t="s">
        <v>244</v>
      </c>
      <c r="C116" s="464" t="s">
        <v>158</v>
      </c>
      <c r="D116" s="1053" t="s">
        <v>406</v>
      </c>
      <c r="E116" s="1053"/>
      <c r="F116" s="1053"/>
      <c r="G116" s="1053"/>
      <c r="H116" s="1076"/>
      <c r="I116" s="613"/>
      <c r="J116" s="958">
        <v>0</v>
      </c>
      <c r="K116" s="1172">
        <v>0</v>
      </c>
      <c r="L116" s="1172"/>
      <c r="M116" s="608">
        <v>0</v>
      </c>
      <c r="N116" s="272"/>
      <c r="O116" s="974"/>
      <c r="P116" s="975"/>
      <c r="Q116" s="697"/>
      <c r="R116" s="697"/>
      <c r="S116" s="697"/>
      <c r="T116" s="697"/>
      <c r="U116" s="697"/>
      <c r="V116" s="697"/>
      <c r="W116" s="697"/>
      <c r="X116" s="698"/>
    </row>
    <row r="117" spans="1:24" ht="14.25" customHeight="1" x14ac:dyDescent="0.2">
      <c r="A117" s="2"/>
      <c r="B117" s="90"/>
      <c r="C117" s="256"/>
      <c r="D117" s="429"/>
      <c r="E117" s="430"/>
      <c r="F117" s="430"/>
      <c r="G117" s="430"/>
      <c r="H117" s="430"/>
      <c r="I117" s="430"/>
      <c r="N117" s="272"/>
      <c r="O117" s="959"/>
      <c r="P117" s="960"/>
      <c r="Q117" s="697"/>
      <c r="R117" s="697"/>
      <c r="S117" s="697"/>
      <c r="T117" s="697"/>
      <c r="U117" s="697"/>
      <c r="V117" s="697"/>
      <c r="W117" s="697"/>
      <c r="X117" s="698"/>
    </row>
    <row r="118" spans="1:24" ht="4.5" customHeight="1" x14ac:dyDescent="0.2">
      <c r="A118" s="2"/>
      <c r="B118" s="90"/>
      <c r="C118" s="256"/>
      <c r="D118" s="26"/>
      <c r="E118" s="26"/>
      <c r="F118" s="26"/>
      <c r="G118" s="26"/>
      <c r="H118" s="26"/>
      <c r="I118" s="26"/>
      <c r="J118" s="27"/>
      <c r="K118" s="28"/>
      <c r="L118" s="28"/>
      <c r="M118" s="29"/>
      <c r="N118" s="272"/>
      <c r="O118" s="959"/>
      <c r="P118" s="960"/>
      <c r="Q118" s="697"/>
      <c r="R118" s="697"/>
      <c r="S118" s="697"/>
      <c r="T118" s="697"/>
      <c r="U118" s="697"/>
      <c r="V118" s="697"/>
      <c r="W118" s="697"/>
      <c r="X118" s="698"/>
    </row>
    <row r="119" spans="1:24" ht="12" customHeight="1" x14ac:dyDescent="0.2">
      <c r="C119" s="1201" t="s">
        <v>416</v>
      </c>
      <c r="D119" s="1202"/>
      <c r="E119" s="1202"/>
      <c r="F119" s="1202"/>
      <c r="G119" s="1202"/>
      <c r="H119" s="1202"/>
      <c r="I119" s="1052" t="str">
        <f>I31</f>
        <v>1. PERIODEN</v>
      </c>
      <c r="J119" s="1052"/>
      <c r="K119" s="1166" t="str">
        <f>K31</f>
        <v>2. PERIODEN</v>
      </c>
      <c r="L119" s="1167"/>
      <c r="M119" s="554" t="str">
        <f>M31</f>
        <v>3. PERIODEN</v>
      </c>
      <c r="O119" s="961"/>
      <c r="P119" s="960"/>
      <c r="Q119" s="697"/>
      <c r="R119" s="697"/>
      <c r="S119" s="697"/>
      <c r="T119" s="697"/>
      <c r="U119" s="697"/>
      <c r="V119" s="697"/>
      <c r="W119" s="697"/>
      <c r="X119" s="698"/>
    </row>
    <row r="120" spans="1:24" ht="15" customHeight="1" x14ac:dyDescent="0.2">
      <c r="C120" s="1203"/>
      <c r="D120" s="1204"/>
      <c r="E120" s="1204"/>
      <c r="F120" s="1204"/>
      <c r="G120" s="1204"/>
      <c r="H120" s="1204"/>
      <c r="I120" s="1002" t="str">
        <f>I32</f>
        <v>Per månad</v>
      </c>
      <c r="J120" s="555">
        <f>J32</f>
        <v>2026</v>
      </c>
      <c r="K120" s="1182">
        <f>J120+1</f>
        <v>2027</v>
      </c>
      <c r="L120" s="1183"/>
      <c r="M120" s="555">
        <f>K120+1</f>
        <v>2028</v>
      </c>
      <c r="O120" s="976"/>
      <c r="P120" s="977"/>
      <c r="Q120" s="697"/>
      <c r="R120" s="697"/>
      <c r="S120" s="697"/>
      <c r="T120" s="697"/>
      <c r="U120" s="697"/>
      <c r="V120" s="697"/>
      <c r="W120" s="697"/>
      <c r="X120" s="698"/>
    </row>
    <row r="121" spans="1:24" s="32" customFormat="1" ht="14.25" customHeight="1" x14ac:dyDescent="0.2">
      <c r="B121" s="624"/>
      <c r="C121" s="1057" t="s">
        <v>331</v>
      </c>
      <c r="D121" s="1058"/>
      <c r="E121" s="1058"/>
      <c r="F121" s="549"/>
      <c r="G121" s="549"/>
      <c r="H121" s="625"/>
      <c r="I121" s="583"/>
      <c r="J121" s="476">
        <f>J73</f>
        <v>12</v>
      </c>
      <c r="K121" s="1169">
        <f>K73</f>
        <v>12</v>
      </c>
      <c r="L121" s="1169"/>
      <c r="M121" s="589">
        <f>M73</f>
        <v>12</v>
      </c>
      <c r="O121" s="1350"/>
      <c r="P121" s="1351"/>
      <c r="Q121" s="697"/>
      <c r="R121" s="697"/>
      <c r="S121" s="697"/>
      <c r="T121" s="697"/>
      <c r="U121" s="697"/>
      <c r="V121" s="697"/>
      <c r="W121" s="697"/>
      <c r="X121" s="698"/>
    </row>
    <row r="122" spans="1:24" s="32" customFormat="1" ht="14.25" customHeight="1" x14ac:dyDescent="0.2">
      <c r="B122" s="624"/>
      <c r="C122" s="626"/>
      <c r="D122" s="551"/>
      <c r="E122" s="551"/>
      <c r="F122" s="1241"/>
      <c r="G122" s="1242"/>
      <c r="H122" s="627"/>
      <c r="I122" s="584"/>
      <c r="J122" s="458"/>
      <c r="K122" s="1170"/>
      <c r="L122" s="1170"/>
      <c r="M122" s="463"/>
      <c r="O122" s="1369" t="s">
        <v>520</v>
      </c>
      <c r="P122" s="1370"/>
      <c r="Q122" s="697"/>
      <c r="R122" s="697"/>
      <c r="S122" s="697"/>
      <c r="T122" s="697"/>
      <c r="U122" s="697"/>
      <c r="V122" s="697"/>
      <c r="W122" s="697"/>
      <c r="X122" s="698"/>
    </row>
    <row r="123" spans="1:24" s="32" customFormat="1" ht="12" customHeight="1" x14ac:dyDescent="0.2">
      <c r="B123" s="253" t="s">
        <v>243</v>
      </c>
      <c r="C123" s="1371" t="s">
        <v>418</v>
      </c>
      <c r="D123" s="1372"/>
      <c r="E123" s="1372"/>
      <c r="F123" s="1373">
        <v>0</v>
      </c>
      <c r="G123" s="1374"/>
      <c r="H123" s="628" t="s">
        <v>419</v>
      </c>
      <c r="I123" s="454">
        <f>J123/J$33</f>
        <v>0</v>
      </c>
      <c r="J123" s="447">
        <f>J125*J126</f>
        <v>0</v>
      </c>
      <c r="K123" s="1038">
        <f>K125*K126</f>
        <v>0</v>
      </c>
      <c r="L123" s="1038"/>
      <c r="M123" s="447">
        <f>M125*M126</f>
        <v>0</v>
      </c>
      <c r="O123" s="458">
        <f>K$32</f>
        <v>2027</v>
      </c>
      <c r="P123" s="458">
        <f>M$32</f>
        <v>2028</v>
      </c>
      <c r="Q123" s="697"/>
      <c r="R123" s="697"/>
      <c r="S123" s="697"/>
      <c r="T123" s="697"/>
      <c r="U123" s="697"/>
      <c r="V123" s="697"/>
      <c r="W123" s="697"/>
      <c r="X123" s="698"/>
    </row>
    <row r="124" spans="1:24" s="32" customFormat="1" ht="12" customHeight="1" x14ac:dyDescent="0.2">
      <c r="C124" s="1039" t="s">
        <v>522</v>
      </c>
      <c r="D124" s="1040"/>
      <c r="E124" s="1040"/>
      <c r="F124" s="1040"/>
      <c r="G124" s="1041"/>
      <c r="H124" s="1042"/>
      <c r="I124" s="448"/>
      <c r="J124" s="798">
        <v>0</v>
      </c>
      <c r="K124" s="1367">
        <f>J124+J124*O124</f>
        <v>0</v>
      </c>
      <c r="L124" s="1367">
        <f>K124 +K124*O124</f>
        <v>0</v>
      </c>
      <c r="M124" s="798">
        <f>K124+K124*P124</f>
        <v>0</v>
      </c>
      <c r="O124" s="782">
        <v>0.03</v>
      </c>
      <c r="P124" s="782">
        <f>O124</f>
        <v>0.03</v>
      </c>
      <c r="Q124" s="697"/>
      <c r="R124" s="697"/>
      <c r="S124" s="697"/>
      <c r="T124" s="697"/>
      <c r="U124" s="697"/>
      <c r="V124" s="697"/>
      <c r="W124" s="697"/>
      <c r="X124" s="698"/>
    </row>
    <row r="125" spans="1:24" s="32" customFormat="1" ht="12" customHeight="1" x14ac:dyDescent="0.2">
      <c r="C125" s="1043"/>
      <c r="D125" s="1044"/>
      <c r="E125" s="1044"/>
      <c r="F125" s="1044"/>
      <c r="G125" s="1045"/>
      <c r="H125" s="1046"/>
      <c r="I125" s="531">
        <v>0</v>
      </c>
      <c r="J125" s="772">
        <f>J124/(1+$F123)</f>
        <v>0</v>
      </c>
      <c r="K125" s="1375">
        <f>K124/(1+F123)</f>
        <v>0</v>
      </c>
      <c r="L125" s="1375"/>
      <c r="M125" s="773">
        <f>M124/(1+F123)</f>
        <v>0</v>
      </c>
      <c r="O125" s="959"/>
      <c r="P125" s="960"/>
      <c r="Q125" s="697"/>
      <c r="R125" s="697"/>
      <c r="S125" s="697"/>
      <c r="T125" s="697"/>
      <c r="U125" s="697"/>
      <c r="V125" s="697"/>
      <c r="W125" s="697"/>
      <c r="X125" s="698"/>
    </row>
    <row r="126" spans="1:24" s="32" customFormat="1" ht="12" customHeight="1" x14ac:dyDescent="0.2">
      <c r="C126" s="1376" t="s">
        <v>426</v>
      </c>
      <c r="D126" s="1377"/>
      <c r="E126" s="1377"/>
      <c r="F126" s="1377"/>
      <c r="G126" s="1378"/>
      <c r="H126" s="1379"/>
      <c r="I126" s="446">
        <f>J126/J$33</f>
        <v>0</v>
      </c>
      <c r="J126" s="797">
        <v>0</v>
      </c>
      <c r="K126" s="1366">
        <f>(J126+J126*O126)*12/J$33</f>
        <v>0</v>
      </c>
      <c r="L126" s="1366" t="e">
        <f>K126*12/K$11</f>
        <v>#VALUE!</v>
      </c>
      <c r="M126" s="797">
        <f>K126+K126*P126</f>
        <v>0</v>
      </c>
      <c r="O126" s="779">
        <v>0</v>
      </c>
      <c r="P126" s="779">
        <f>O126</f>
        <v>0</v>
      </c>
      <c r="Q126" s="697"/>
      <c r="R126" s="697"/>
      <c r="S126" s="697"/>
      <c r="T126" s="697"/>
      <c r="U126" s="697"/>
      <c r="V126" s="697"/>
      <c r="W126" s="697"/>
      <c r="X126" s="698"/>
    </row>
    <row r="127" spans="1:24" s="32" customFormat="1" ht="6" customHeight="1" x14ac:dyDescent="0.2">
      <c r="C127" s="59"/>
      <c r="D127" s="30"/>
      <c r="E127" s="30"/>
      <c r="F127" s="30"/>
      <c r="G127" s="30"/>
      <c r="H127" s="30"/>
      <c r="I127" s="661"/>
      <c r="J127" s="660"/>
      <c r="K127" s="285"/>
      <c r="L127" s="662"/>
      <c r="M127" s="285"/>
      <c r="O127" s="980"/>
      <c r="P127" s="981"/>
      <c r="Q127" s="702"/>
      <c r="R127" s="702"/>
      <c r="S127" s="702"/>
      <c r="T127" s="702"/>
      <c r="U127" s="702"/>
      <c r="V127" s="702"/>
      <c r="W127" s="702"/>
      <c r="X127" s="703"/>
    </row>
    <row r="128" spans="1:24" s="32" customFormat="1" ht="12" customHeight="1" x14ac:dyDescent="0.2">
      <c r="C128" s="1371">
        <v>0</v>
      </c>
      <c r="D128" s="1372"/>
      <c r="E128" s="1372"/>
      <c r="F128" s="1373">
        <v>0</v>
      </c>
      <c r="G128" s="1374"/>
      <c r="H128" s="628" t="str">
        <f>H123</f>
        <v>Omsättning</v>
      </c>
      <c r="I128" s="454">
        <f>J128/J$33</f>
        <v>0</v>
      </c>
      <c r="J128" s="447">
        <f>J130*J131</f>
        <v>0</v>
      </c>
      <c r="K128" s="1038">
        <f>K130*K131</f>
        <v>0</v>
      </c>
      <c r="L128" s="1038"/>
      <c r="M128" s="447">
        <f>M130*M131</f>
        <v>0</v>
      </c>
      <c r="O128" s="978"/>
      <c r="P128" s="979"/>
      <c r="Q128" s="697"/>
      <c r="R128" s="697"/>
      <c r="S128" s="697"/>
      <c r="T128" s="697"/>
      <c r="U128" s="697"/>
      <c r="V128" s="697"/>
      <c r="W128" s="697"/>
      <c r="X128" s="698"/>
    </row>
    <row r="129" spans="3:24" s="32" customFormat="1" ht="12" customHeight="1" x14ac:dyDescent="0.2">
      <c r="C129" s="1039" t="s">
        <v>522</v>
      </c>
      <c r="D129" s="1040"/>
      <c r="E129" s="1040"/>
      <c r="F129" s="1040"/>
      <c r="G129" s="1041"/>
      <c r="H129" s="1042"/>
      <c r="I129" s="448"/>
      <c r="J129" s="798">
        <v>0</v>
      </c>
      <c r="K129" s="1367">
        <f>J129+J129*O129</f>
        <v>0</v>
      </c>
      <c r="L129" s="1367">
        <f>K129 +K129*O129</f>
        <v>0</v>
      </c>
      <c r="M129" s="798">
        <f>K129+K129*P129</f>
        <v>0</v>
      </c>
      <c r="O129" s="779">
        <v>0.03</v>
      </c>
      <c r="P129" s="779">
        <f>O129</f>
        <v>0.03</v>
      </c>
      <c r="Q129" s="697"/>
      <c r="R129" s="697"/>
      <c r="S129" s="697"/>
      <c r="T129" s="697"/>
      <c r="U129" s="697"/>
      <c r="V129" s="697"/>
      <c r="W129" s="697"/>
      <c r="X129" s="698"/>
    </row>
    <row r="130" spans="3:24" s="32" customFormat="1" ht="12" customHeight="1" x14ac:dyDescent="0.2">
      <c r="C130" s="1043"/>
      <c r="D130" s="1044"/>
      <c r="E130" s="1044"/>
      <c r="F130" s="1044"/>
      <c r="G130" s="1045"/>
      <c r="H130" s="1046"/>
      <c r="I130" s="531">
        <v>0</v>
      </c>
      <c r="J130" s="772">
        <f>J129/(1+$F128)</f>
        <v>0</v>
      </c>
      <c r="K130" s="1375">
        <f>K129/(1+F128)</f>
        <v>0</v>
      </c>
      <c r="L130" s="1375"/>
      <c r="M130" s="773">
        <f>M129/(1+F128)</f>
        <v>0</v>
      </c>
      <c r="O130" s="959"/>
      <c r="P130" s="960"/>
      <c r="Q130" s="697"/>
      <c r="R130" s="697"/>
      <c r="S130" s="697"/>
      <c r="T130" s="697"/>
      <c r="U130" s="697"/>
      <c r="V130" s="697"/>
      <c r="W130" s="697"/>
      <c r="X130" s="698"/>
    </row>
    <row r="131" spans="3:24" s="32" customFormat="1" ht="12" customHeight="1" x14ac:dyDescent="0.2">
      <c r="C131" s="1376" t="s">
        <v>426</v>
      </c>
      <c r="D131" s="1377"/>
      <c r="E131" s="1377"/>
      <c r="F131" s="1377"/>
      <c r="G131" s="1378"/>
      <c r="H131" s="1379"/>
      <c r="I131" s="446">
        <f>J131/J$33</f>
        <v>0</v>
      </c>
      <c r="J131" s="797">
        <v>0</v>
      </c>
      <c r="K131" s="1366">
        <f>(J131+J131*O131)*12/J$33</f>
        <v>0</v>
      </c>
      <c r="L131" s="1366" t="e">
        <f>K131*12/K$11</f>
        <v>#VALUE!</v>
      </c>
      <c r="M131" s="797">
        <f>K131+K131*P131</f>
        <v>0</v>
      </c>
      <c r="O131" s="779">
        <v>0</v>
      </c>
      <c r="P131" s="779">
        <f>O131</f>
        <v>0</v>
      </c>
      <c r="Q131" s="697"/>
      <c r="R131" s="697"/>
      <c r="S131" s="697"/>
      <c r="T131" s="697"/>
      <c r="U131" s="697"/>
      <c r="V131" s="697"/>
      <c r="W131" s="697"/>
      <c r="X131" s="698"/>
    </row>
    <row r="132" spans="3:24" s="32" customFormat="1" ht="6" customHeight="1" x14ac:dyDescent="0.2">
      <c r="C132" s="59"/>
      <c r="D132" s="444"/>
      <c r="E132" s="444"/>
      <c r="F132" s="444"/>
      <c r="G132" s="444"/>
      <c r="H132" s="444"/>
      <c r="I132" s="663"/>
      <c r="J132" s="660"/>
      <c r="K132" s="660"/>
      <c r="L132" s="660"/>
      <c r="M132" s="284"/>
      <c r="O132" s="980"/>
      <c r="P132" s="981"/>
      <c r="Q132" s="702"/>
      <c r="R132" s="702"/>
      <c r="S132" s="702"/>
      <c r="T132" s="702"/>
      <c r="U132" s="702"/>
      <c r="V132" s="702"/>
      <c r="W132" s="702"/>
      <c r="X132" s="703"/>
    </row>
    <row r="133" spans="3:24" s="32" customFormat="1" ht="12" customHeight="1" x14ac:dyDescent="0.2">
      <c r="C133" s="1371">
        <v>0</v>
      </c>
      <c r="D133" s="1372"/>
      <c r="E133" s="1372"/>
      <c r="F133" s="1373">
        <v>0</v>
      </c>
      <c r="G133" s="1374"/>
      <c r="H133" s="628" t="str">
        <f>H128</f>
        <v>Omsättning</v>
      </c>
      <c r="I133" s="454">
        <f>J133/J$33</f>
        <v>0</v>
      </c>
      <c r="J133" s="447">
        <f>J135*J136</f>
        <v>0</v>
      </c>
      <c r="K133" s="1038">
        <f>K135*K136</f>
        <v>0</v>
      </c>
      <c r="L133" s="1038"/>
      <c r="M133" s="447">
        <f>M135*M136</f>
        <v>0</v>
      </c>
      <c r="O133" s="978"/>
      <c r="P133" s="979"/>
      <c r="Q133" s="697"/>
      <c r="R133" s="697"/>
      <c r="S133" s="697"/>
      <c r="T133" s="697"/>
      <c r="U133" s="697"/>
      <c r="V133" s="697"/>
      <c r="W133" s="697"/>
      <c r="X133" s="698"/>
    </row>
    <row r="134" spans="3:24" s="32" customFormat="1" ht="12" customHeight="1" x14ac:dyDescent="0.2">
      <c r="C134" s="1039" t="s">
        <v>522</v>
      </c>
      <c r="D134" s="1040"/>
      <c r="E134" s="1040"/>
      <c r="F134" s="1040"/>
      <c r="G134" s="1041"/>
      <c r="H134" s="1042"/>
      <c r="I134" s="448"/>
      <c r="J134" s="798">
        <v>0</v>
      </c>
      <c r="K134" s="1367">
        <f>J134+J134*O134</f>
        <v>0</v>
      </c>
      <c r="L134" s="1367">
        <f>K134 +K134*O134</f>
        <v>0</v>
      </c>
      <c r="M134" s="798">
        <f>K134+K134*P134</f>
        <v>0</v>
      </c>
      <c r="O134" s="779">
        <v>0.03</v>
      </c>
      <c r="P134" s="779">
        <f>O134</f>
        <v>0.03</v>
      </c>
      <c r="Q134" s="697"/>
      <c r="R134" s="697"/>
      <c r="S134" s="697"/>
      <c r="T134" s="697"/>
      <c r="U134" s="697"/>
      <c r="V134" s="697"/>
      <c r="W134" s="697"/>
      <c r="X134" s="698"/>
    </row>
    <row r="135" spans="3:24" s="32" customFormat="1" ht="12" customHeight="1" x14ac:dyDescent="0.2">
      <c r="C135" s="1043"/>
      <c r="D135" s="1044"/>
      <c r="E135" s="1044"/>
      <c r="F135" s="1044"/>
      <c r="G135" s="1045"/>
      <c r="H135" s="1046"/>
      <c r="I135" s="531">
        <v>0</v>
      </c>
      <c r="J135" s="772">
        <f>J134/(1+$F133)</f>
        <v>0</v>
      </c>
      <c r="K135" s="1375">
        <f>K134/(1+F133)</f>
        <v>0</v>
      </c>
      <c r="L135" s="1375"/>
      <c r="M135" s="773">
        <f>M134/(1+F133)</f>
        <v>0</v>
      </c>
      <c r="O135" s="974"/>
      <c r="P135" s="975"/>
      <c r="Q135" s="697"/>
      <c r="R135" s="697"/>
      <c r="S135" s="697"/>
      <c r="T135" s="697"/>
      <c r="U135" s="697"/>
      <c r="V135" s="697"/>
      <c r="W135" s="697"/>
      <c r="X135" s="698"/>
    </row>
    <row r="136" spans="3:24" s="32" customFormat="1" ht="12" customHeight="1" x14ac:dyDescent="0.2">
      <c r="C136" s="1376" t="s">
        <v>426</v>
      </c>
      <c r="D136" s="1377"/>
      <c r="E136" s="1377"/>
      <c r="F136" s="1377"/>
      <c r="G136" s="1378"/>
      <c r="H136" s="1379"/>
      <c r="I136" s="446">
        <f>J136/J$33</f>
        <v>0</v>
      </c>
      <c r="J136" s="797">
        <v>0</v>
      </c>
      <c r="K136" s="1366">
        <f>(J136+J136*O136)*12/J$33</f>
        <v>0</v>
      </c>
      <c r="L136" s="1366" t="e">
        <f>K136*12/K$11</f>
        <v>#VALUE!</v>
      </c>
      <c r="M136" s="797">
        <f>K136+K136*P136</f>
        <v>0</v>
      </c>
      <c r="O136" s="779">
        <v>0</v>
      </c>
      <c r="P136" s="779">
        <f>O136</f>
        <v>0</v>
      </c>
      <c r="Q136" s="697"/>
      <c r="R136" s="697"/>
      <c r="S136" s="697"/>
      <c r="T136" s="697"/>
      <c r="U136" s="697"/>
      <c r="V136" s="697"/>
      <c r="W136" s="697"/>
      <c r="X136" s="698"/>
    </row>
    <row r="137" spans="3:24" s="32" customFormat="1" ht="6" customHeight="1" x14ac:dyDescent="0.2">
      <c r="C137" s="59"/>
      <c r="D137" s="444"/>
      <c r="E137" s="444"/>
      <c r="F137" s="444"/>
      <c r="G137" s="444"/>
      <c r="H137" s="444"/>
      <c r="I137" s="663"/>
      <c r="J137" s="660"/>
      <c r="K137" s="660"/>
      <c r="L137" s="660"/>
      <c r="M137" s="284"/>
      <c r="O137" s="980"/>
      <c r="P137" s="981"/>
      <c r="Q137" s="702"/>
      <c r="R137" s="702"/>
      <c r="S137" s="702"/>
      <c r="T137" s="702"/>
      <c r="U137" s="702"/>
      <c r="V137" s="702"/>
      <c r="W137" s="702"/>
      <c r="X137" s="703"/>
    </row>
    <row r="138" spans="3:24" s="32" customFormat="1" ht="12" customHeight="1" x14ac:dyDescent="0.2">
      <c r="C138" s="1371">
        <v>0</v>
      </c>
      <c r="D138" s="1372"/>
      <c r="E138" s="1372"/>
      <c r="F138" s="1373">
        <v>0</v>
      </c>
      <c r="G138" s="1374"/>
      <c r="H138" s="628" t="str">
        <f>H133</f>
        <v>Omsättning</v>
      </c>
      <c r="I138" s="454">
        <f>J138/J$33</f>
        <v>0</v>
      </c>
      <c r="J138" s="447">
        <f>J140*J141</f>
        <v>0</v>
      </c>
      <c r="K138" s="1038">
        <f>K140*K141</f>
        <v>0</v>
      </c>
      <c r="L138" s="1038"/>
      <c r="M138" s="447">
        <f>M140*M141</f>
        <v>0</v>
      </c>
      <c r="O138" s="961"/>
      <c r="P138" s="962"/>
      <c r="Q138" s="697"/>
      <c r="R138" s="697"/>
      <c r="S138" s="697"/>
      <c r="T138" s="697"/>
      <c r="U138" s="697"/>
      <c r="V138" s="697"/>
      <c r="W138" s="697"/>
      <c r="X138" s="698"/>
    </row>
    <row r="139" spans="3:24" s="32" customFormat="1" ht="12" customHeight="1" x14ac:dyDescent="0.2">
      <c r="C139" s="1039" t="s">
        <v>522</v>
      </c>
      <c r="D139" s="1040"/>
      <c r="E139" s="1040"/>
      <c r="F139" s="1040"/>
      <c r="G139" s="1041"/>
      <c r="H139" s="1042"/>
      <c r="I139" s="448"/>
      <c r="J139" s="798">
        <v>0</v>
      </c>
      <c r="K139" s="1367">
        <f>J139+J139*O139</f>
        <v>0</v>
      </c>
      <c r="L139" s="1367">
        <f>K139 +K139*O139</f>
        <v>0</v>
      </c>
      <c r="M139" s="798">
        <f>K139+K139*P139</f>
        <v>0</v>
      </c>
      <c r="O139" s="779">
        <v>0.03</v>
      </c>
      <c r="P139" s="779">
        <f>O139</f>
        <v>0.03</v>
      </c>
      <c r="Q139" s="697"/>
      <c r="R139" s="697"/>
      <c r="S139" s="697"/>
      <c r="T139" s="697"/>
      <c r="U139" s="697"/>
      <c r="V139" s="697"/>
      <c r="W139" s="697"/>
      <c r="X139" s="698"/>
    </row>
    <row r="140" spans="3:24" s="32" customFormat="1" ht="12" customHeight="1" x14ac:dyDescent="0.2">
      <c r="C140" s="1043"/>
      <c r="D140" s="1044"/>
      <c r="E140" s="1044"/>
      <c r="F140" s="1044"/>
      <c r="G140" s="1045"/>
      <c r="H140" s="1046"/>
      <c r="I140" s="531">
        <v>0</v>
      </c>
      <c r="J140" s="772">
        <f>J139/(1+$F138)</f>
        <v>0</v>
      </c>
      <c r="K140" s="1375">
        <f>K139/(1+F138)</f>
        <v>0</v>
      </c>
      <c r="L140" s="1375"/>
      <c r="M140" s="773">
        <f>M139/(1+F138)</f>
        <v>0</v>
      </c>
      <c r="O140" s="959"/>
      <c r="P140" s="960"/>
      <c r="Q140" s="697"/>
      <c r="R140" s="697"/>
      <c r="S140" s="697"/>
      <c r="T140" s="697"/>
      <c r="U140" s="697"/>
      <c r="V140" s="697"/>
      <c r="W140" s="697"/>
      <c r="X140" s="698"/>
    </row>
    <row r="141" spans="3:24" s="32" customFormat="1" ht="12" customHeight="1" x14ac:dyDescent="0.2">
      <c r="C141" s="1376" t="s">
        <v>426</v>
      </c>
      <c r="D141" s="1377"/>
      <c r="E141" s="1377"/>
      <c r="F141" s="1377"/>
      <c r="G141" s="1378"/>
      <c r="H141" s="1379"/>
      <c r="I141" s="446">
        <f>J141/J$33</f>
        <v>0</v>
      </c>
      <c r="J141" s="797">
        <v>0</v>
      </c>
      <c r="K141" s="1366">
        <f>(J141+J141*O141)*12/J$33</f>
        <v>0</v>
      </c>
      <c r="L141" s="1366" t="e">
        <f>K141*12/K$11</f>
        <v>#VALUE!</v>
      </c>
      <c r="M141" s="797">
        <f>K141+K141*P141</f>
        <v>0</v>
      </c>
      <c r="O141" s="779">
        <v>0</v>
      </c>
      <c r="P141" s="779">
        <f>O141</f>
        <v>0</v>
      </c>
      <c r="Q141" s="697"/>
      <c r="R141" s="697"/>
      <c r="S141" s="697"/>
      <c r="T141" s="697"/>
      <c r="U141" s="697"/>
      <c r="V141" s="697"/>
      <c r="W141" s="697"/>
      <c r="X141" s="698"/>
    </row>
    <row r="142" spans="3:24" s="32" customFormat="1" ht="6" customHeight="1" x14ac:dyDescent="0.2">
      <c r="C142" s="59"/>
      <c r="D142" s="30"/>
      <c r="E142" s="30"/>
      <c r="F142" s="30"/>
      <c r="G142" s="30"/>
      <c r="H142" s="30"/>
      <c r="I142" s="661"/>
      <c r="J142" s="660"/>
      <c r="K142" s="285"/>
      <c r="L142" s="662"/>
      <c r="M142" s="285"/>
      <c r="O142" s="980"/>
      <c r="P142" s="981"/>
      <c r="Q142" s="702"/>
      <c r="R142" s="702"/>
      <c r="S142" s="702"/>
      <c r="T142" s="702"/>
      <c r="U142" s="702"/>
      <c r="V142" s="702"/>
      <c r="W142" s="702"/>
      <c r="X142" s="703"/>
    </row>
    <row r="143" spans="3:24" s="32" customFormat="1" ht="12" customHeight="1" x14ac:dyDescent="0.2">
      <c r="C143" s="1371">
        <v>0</v>
      </c>
      <c r="D143" s="1372"/>
      <c r="E143" s="1372"/>
      <c r="F143" s="1373">
        <v>0</v>
      </c>
      <c r="G143" s="1374"/>
      <c r="H143" s="628" t="str">
        <f>H138</f>
        <v>Omsättning</v>
      </c>
      <c r="I143" s="454">
        <f>J143/J$33</f>
        <v>0</v>
      </c>
      <c r="J143" s="447">
        <f>J145*J146</f>
        <v>0</v>
      </c>
      <c r="K143" s="1038">
        <f>K145*K146</f>
        <v>0</v>
      </c>
      <c r="L143" s="1038"/>
      <c r="M143" s="447">
        <f>M145*M146</f>
        <v>0</v>
      </c>
      <c r="O143" s="959"/>
      <c r="P143" s="960"/>
      <c r="Q143" s="697"/>
      <c r="R143" s="697"/>
      <c r="S143" s="697"/>
      <c r="T143" s="697"/>
      <c r="U143" s="697"/>
      <c r="V143" s="697"/>
      <c r="W143" s="697"/>
      <c r="X143" s="698"/>
    </row>
    <row r="144" spans="3:24" s="32" customFormat="1" ht="12" customHeight="1" x14ac:dyDescent="0.2">
      <c r="C144" s="1039" t="s">
        <v>522</v>
      </c>
      <c r="D144" s="1040"/>
      <c r="E144" s="1040"/>
      <c r="F144" s="1040"/>
      <c r="G144" s="1041"/>
      <c r="H144" s="1042"/>
      <c r="I144" s="448"/>
      <c r="J144" s="798">
        <v>0</v>
      </c>
      <c r="K144" s="1367">
        <f>J144+J144*O144</f>
        <v>0</v>
      </c>
      <c r="L144" s="1367">
        <f>K144 +K144*O144</f>
        <v>0</v>
      </c>
      <c r="M144" s="798">
        <f>K144+K144*P144</f>
        <v>0</v>
      </c>
      <c r="O144" s="779">
        <v>0.03</v>
      </c>
      <c r="P144" s="779">
        <f>O144</f>
        <v>0.03</v>
      </c>
      <c r="Q144" s="697"/>
      <c r="R144" s="697"/>
      <c r="S144" s="697"/>
      <c r="T144" s="697"/>
      <c r="U144" s="697"/>
      <c r="V144" s="697"/>
      <c r="W144" s="697"/>
      <c r="X144" s="698"/>
    </row>
    <row r="145" spans="2:24" s="32" customFormat="1" ht="12" customHeight="1" x14ac:dyDescent="0.2">
      <c r="C145" s="1043"/>
      <c r="D145" s="1044"/>
      <c r="E145" s="1044"/>
      <c r="F145" s="1044"/>
      <c r="G145" s="1045"/>
      <c r="H145" s="1046"/>
      <c r="I145" s="531">
        <v>0</v>
      </c>
      <c r="J145" s="772">
        <f>J144/(1+$F143)</f>
        <v>0</v>
      </c>
      <c r="K145" s="1375">
        <f>K144/(1+F143)</f>
        <v>0</v>
      </c>
      <c r="L145" s="1375"/>
      <c r="M145" s="773">
        <f>M144/(1+F143)</f>
        <v>0</v>
      </c>
      <c r="O145" s="959"/>
      <c r="P145" s="960"/>
      <c r="Q145" s="697"/>
      <c r="R145" s="697"/>
      <c r="S145" s="697"/>
      <c r="T145" s="697"/>
      <c r="U145" s="697"/>
      <c r="V145" s="697"/>
      <c r="W145" s="697"/>
      <c r="X145" s="698"/>
    </row>
    <row r="146" spans="2:24" s="32" customFormat="1" ht="12" customHeight="1" x14ac:dyDescent="0.2">
      <c r="C146" s="1376" t="s">
        <v>426</v>
      </c>
      <c r="D146" s="1377"/>
      <c r="E146" s="1377"/>
      <c r="F146" s="1377"/>
      <c r="G146" s="1378"/>
      <c r="H146" s="1379"/>
      <c r="I146" s="446">
        <f>J146/J$33</f>
        <v>0</v>
      </c>
      <c r="J146" s="797">
        <v>0</v>
      </c>
      <c r="K146" s="1366">
        <f>(J146+J146*O146)*12/J$33</f>
        <v>0</v>
      </c>
      <c r="L146" s="1366" t="e">
        <f>K146*12/K$11</f>
        <v>#VALUE!</v>
      </c>
      <c r="M146" s="797">
        <f>K146+K146*P146</f>
        <v>0</v>
      </c>
      <c r="O146" s="779">
        <v>0</v>
      </c>
      <c r="P146" s="779">
        <f>O146</f>
        <v>0</v>
      </c>
      <c r="Q146" s="697"/>
      <c r="R146" s="697"/>
      <c r="S146" s="697"/>
      <c r="T146" s="697"/>
      <c r="U146" s="697"/>
      <c r="V146" s="697"/>
      <c r="W146" s="697"/>
      <c r="X146" s="698"/>
    </row>
    <row r="147" spans="2:24" s="32" customFormat="1" ht="6" customHeight="1" x14ac:dyDescent="0.2">
      <c r="C147" s="59"/>
      <c r="D147" s="444"/>
      <c r="E147" s="444"/>
      <c r="F147" s="444"/>
      <c r="G147" s="444"/>
      <c r="H147" s="444"/>
      <c r="I147" s="663"/>
      <c r="J147" s="660"/>
      <c r="K147" s="660"/>
      <c r="L147" s="660"/>
      <c r="M147" s="284"/>
      <c r="O147" s="980"/>
      <c r="P147" s="981"/>
      <c r="Q147" s="702"/>
      <c r="R147" s="702"/>
      <c r="S147" s="702"/>
      <c r="T147" s="702"/>
      <c r="U147" s="702"/>
      <c r="V147" s="702"/>
      <c r="W147" s="702"/>
      <c r="X147" s="703"/>
    </row>
    <row r="148" spans="2:24" s="32" customFormat="1" ht="12" customHeight="1" x14ac:dyDescent="0.2">
      <c r="C148" s="1371">
        <v>0</v>
      </c>
      <c r="D148" s="1372"/>
      <c r="E148" s="1372"/>
      <c r="F148" s="1373">
        <v>0</v>
      </c>
      <c r="G148" s="1374"/>
      <c r="H148" s="628" t="str">
        <f>H143</f>
        <v>Omsättning</v>
      </c>
      <c r="I148" s="454">
        <f>J148/J$33</f>
        <v>0</v>
      </c>
      <c r="J148" s="447">
        <f>J150*J151</f>
        <v>0</v>
      </c>
      <c r="K148" s="1038">
        <f>K150*K151</f>
        <v>0</v>
      </c>
      <c r="L148" s="1038"/>
      <c r="M148" s="447">
        <f>M150*M151</f>
        <v>0</v>
      </c>
      <c r="O148" s="959"/>
      <c r="P148" s="960"/>
      <c r="Q148" s="697"/>
      <c r="R148" s="697"/>
      <c r="S148" s="697"/>
      <c r="T148" s="697"/>
      <c r="U148" s="697"/>
      <c r="V148" s="697"/>
      <c r="W148" s="697"/>
      <c r="X148" s="698"/>
    </row>
    <row r="149" spans="2:24" s="32" customFormat="1" ht="12" customHeight="1" x14ac:dyDescent="0.2">
      <c r="C149" s="1039" t="s">
        <v>522</v>
      </c>
      <c r="D149" s="1040"/>
      <c r="E149" s="1040"/>
      <c r="F149" s="1040"/>
      <c r="G149" s="1041"/>
      <c r="H149" s="1042"/>
      <c r="I149" s="448"/>
      <c r="J149" s="798">
        <v>0</v>
      </c>
      <c r="K149" s="1367">
        <f>J149+J149*O149</f>
        <v>0</v>
      </c>
      <c r="L149" s="1367">
        <f>K149 +K149*O149</f>
        <v>0</v>
      </c>
      <c r="M149" s="798">
        <f>K149+K149*P149</f>
        <v>0</v>
      </c>
      <c r="O149" s="779">
        <v>0.03</v>
      </c>
      <c r="P149" s="779">
        <f>O149</f>
        <v>0.03</v>
      </c>
      <c r="Q149" s="697"/>
      <c r="R149" s="697"/>
      <c r="S149" s="697"/>
      <c r="T149" s="697"/>
      <c r="U149" s="697"/>
      <c r="V149" s="697"/>
      <c r="W149" s="697"/>
      <c r="X149" s="698"/>
    </row>
    <row r="150" spans="2:24" s="32" customFormat="1" ht="12" customHeight="1" x14ac:dyDescent="0.2">
      <c r="C150" s="1043"/>
      <c r="D150" s="1044"/>
      <c r="E150" s="1044"/>
      <c r="F150" s="1044"/>
      <c r="G150" s="1045"/>
      <c r="H150" s="1046"/>
      <c r="I150" s="531">
        <v>0</v>
      </c>
      <c r="J150" s="772">
        <f>J149/(1+$F148)</f>
        <v>0</v>
      </c>
      <c r="K150" s="1375">
        <f>K149/(1+F148)</f>
        <v>0</v>
      </c>
      <c r="L150" s="1375"/>
      <c r="M150" s="773">
        <f>M149/(1+F148)</f>
        <v>0</v>
      </c>
      <c r="O150" s="959"/>
      <c r="P150" s="960"/>
      <c r="Q150" s="697"/>
      <c r="R150" s="697"/>
      <c r="S150" s="697"/>
      <c r="T150" s="697"/>
      <c r="U150" s="697"/>
      <c r="V150" s="697"/>
      <c r="W150" s="697"/>
      <c r="X150" s="698"/>
    </row>
    <row r="151" spans="2:24" s="32" customFormat="1" ht="12" customHeight="1" x14ac:dyDescent="0.2">
      <c r="C151" s="1376" t="s">
        <v>426</v>
      </c>
      <c r="D151" s="1377"/>
      <c r="E151" s="1377"/>
      <c r="F151" s="1377"/>
      <c r="G151" s="1378"/>
      <c r="H151" s="1379"/>
      <c r="I151" s="446">
        <f>J151/J$33</f>
        <v>0</v>
      </c>
      <c r="J151" s="797">
        <v>0</v>
      </c>
      <c r="K151" s="1366">
        <f>(J151+J151*O151)*12/J$33</f>
        <v>0</v>
      </c>
      <c r="L151" s="1366" t="e">
        <f>K151*12/K$11</f>
        <v>#VALUE!</v>
      </c>
      <c r="M151" s="797">
        <f>K151+K151*P151</f>
        <v>0</v>
      </c>
      <c r="O151" s="779">
        <v>0</v>
      </c>
      <c r="P151" s="779">
        <f>O151</f>
        <v>0</v>
      </c>
      <c r="Q151" s="700"/>
      <c r="R151" s="700"/>
      <c r="S151" s="700"/>
      <c r="T151" s="700"/>
      <c r="U151" s="700"/>
      <c r="V151" s="700"/>
      <c r="W151" s="700"/>
      <c r="X151" s="701"/>
    </row>
    <row r="152" spans="2:24" ht="6" customHeight="1" x14ac:dyDescent="0.2">
      <c r="C152" s="74"/>
      <c r="D152" s="26"/>
      <c r="E152" s="26"/>
      <c r="F152" s="26"/>
      <c r="G152" s="26"/>
      <c r="H152" s="26"/>
      <c r="I152" s="273"/>
      <c r="J152" s="28"/>
      <c r="K152" s="28"/>
      <c r="L152" s="28"/>
      <c r="M152" s="27"/>
      <c r="O152" s="982"/>
      <c r="P152" s="983"/>
      <c r="Q152" s="704"/>
      <c r="R152" s="704"/>
      <c r="S152" s="704"/>
      <c r="T152" s="704"/>
      <c r="U152" s="704"/>
      <c r="V152" s="704"/>
      <c r="W152" s="704"/>
      <c r="X152" s="705"/>
    </row>
    <row r="153" spans="2:24" ht="12" customHeight="1" x14ac:dyDescent="0.2">
      <c r="C153" s="1222" t="str">
        <f>C119</f>
        <v>FÖRSÄLJNINGSPROGNOS (inklusive moms)</v>
      </c>
      <c r="D153" s="1222"/>
      <c r="E153" s="1222"/>
      <c r="F153" s="1222"/>
      <c r="G153" s="1222"/>
      <c r="H153" s="1222"/>
      <c r="I153" s="1052" t="str">
        <f>I31</f>
        <v>1. PERIODEN</v>
      </c>
      <c r="J153" s="1052"/>
      <c r="K153" s="1052" t="str">
        <f>K31</f>
        <v>2. PERIODEN</v>
      </c>
      <c r="L153" s="1052"/>
      <c r="M153" s="554" t="str">
        <f>M31</f>
        <v>3. PERIODEN</v>
      </c>
      <c r="O153" s="984"/>
      <c r="P153" s="979"/>
      <c r="Q153" s="697"/>
      <c r="R153" s="697"/>
      <c r="S153" s="697"/>
      <c r="T153" s="697"/>
      <c r="U153" s="706"/>
      <c r="V153" s="697"/>
      <c r="W153" s="697"/>
      <c r="X153" s="698"/>
    </row>
    <row r="154" spans="2:24" ht="15" customHeight="1" x14ac:dyDescent="0.2">
      <c r="C154" s="1223"/>
      <c r="D154" s="1223"/>
      <c r="E154" s="1223"/>
      <c r="F154" s="1223"/>
      <c r="G154" s="1223"/>
      <c r="H154" s="1223"/>
      <c r="I154" s="1002" t="str">
        <f>I32</f>
        <v>Per månad</v>
      </c>
      <c r="J154" s="555">
        <f>J120</f>
        <v>2026</v>
      </c>
      <c r="K154" s="1224">
        <f>K120</f>
        <v>2027</v>
      </c>
      <c r="L154" s="1224"/>
      <c r="M154" s="555">
        <f>M120</f>
        <v>2028</v>
      </c>
      <c r="O154" s="984"/>
      <c r="P154" s="979"/>
      <c r="Q154" s="697"/>
      <c r="R154" s="697"/>
      <c r="S154" s="697"/>
      <c r="T154" s="697"/>
      <c r="U154" s="697"/>
      <c r="V154" s="697"/>
      <c r="W154" s="697"/>
      <c r="X154" s="698"/>
    </row>
    <row r="155" spans="2:24" ht="12.75" customHeight="1" x14ac:dyDescent="0.2">
      <c r="B155" s="254"/>
      <c r="C155" s="1211" t="str">
        <f>C121</f>
        <v xml:space="preserve"> Längd av  räkenskapsperioden (månader)</v>
      </c>
      <c r="D155" s="1212"/>
      <c r="E155" s="590"/>
      <c r="F155" s="590"/>
      <c r="G155" s="590"/>
      <c r="H155" s="591"/>
      <c r="I155" s="460"/>
      <c r="J155" s="592">
        <f>J121</f>
        <v>12</v>
      </c>
      <c r="K155" s="1162">
        <f>K121</f>
        <v>12</v>
      </c>
      <c r="L155" s="1163"/>
      <c r="M155" s="593">
        <f>M121</f>
        <v>12</v>
      </c>
      <c r="O155" s="984"/>
      <c r="P155" s="979"/>
      <c r="Q155" s="697"/>
      <c r="R155" s="697"/>
      <c r="S155" s="697"/>
      <c r="T155" s="697"/>
      <c r="U155" s="697"/>
      <c r="V155" s="697"/>
      <c r="W155" s="697"/>
      <c r="X155" s="698"/>
    </row>
    <row r="156" spans="2:24" s="32" customFormat="1" ht="12" customHeight="1" x14ac:dyDescent="0.2">
      <c r="B156" s="624"/>
      <c r="C156" s="629"/>
      <c r="D156" s="292"/>
      <c r="E156" s="292"/>
      <c r="F156" s="1382"/>
      <c r="G156" s="1382"/>
      <c r="H156" s="630"/>
      <c r="I156" s="461"/>
      <c r="J156" s="456"/>
      <c r="K156" s="1239"/>
      <c r="L156" s="1240"/>
      <c r="M156" s="553"/>
      <c r="O156" s="984"/>
      <c r="P156" s="979"/>
      <c r="Q156" s="697"/>
      <c r="R156" s="697"/>
      <c r="S156" s="697"/>
      <c r="T156" s="697"/>
      <c r="U156" s="697"/>
      <c r="V156" s="697"/>
      <c r="W156" s="697"/>
      <c r="X156" s="698"/>
    </row>
    <row r="157" spans="2:24" s="32" customFormat="1" ht="12.75" customHeight="1" x14ac:dyDescent="0.2">
      <c r="B157" s="624"/>
      <c r="C157" s="629"/>
      <c r="D157" s="292"/>
      <c r="E157" s="292"/>
      <c r="F157" s="770"/>
      <c r="G157" s="770"/>
      <c r="H157" s="630"/>
      <c r="I157" s="459"/>
      <c r="J157" s="456"/>
      <c r="K157" s="1245"/>
      <c r="L157" s="1246"/>
      <c r="M157" s="458"/>
      <c r="O157" s="984"/>
      <c r="P157" s="979"/>
      <c r="Q157" s="697"/>
      <c r="R157" s="697"/>
      <c r="S157" s="697"/>
      <c r="T157" s="697"/>
      <c r="U157" s="697"/>
      <c r="V157" s="697"/>
      <c r="W157" s="697"/>
      <c r="X157" s="698"/>
    </row>
    <row r="158" spans="2:24" s="32" customFormat="1" ht="12" customHeight="1" x14ac:dyDescent="0.2">
      <c r="C158" s="1383" t="s">
        <v>523</v>
      </c>
      <c r="D158" s="1384"/>
      <c r="E158" s="1384"/>
      <c r="F158" s="774">
        <v>0</v>
      </c>
      <c r="G158" s="774">
        <v>0</v>
      </c>
      <c r="H158" s="455" t="s">
        <v>419</v>
      </c>
      <c r="I158" s="454">
        <f>J158/J$33</f>
        <v>0</v>
      </c>
      <c r="J158" s="447">
        <f>J159/(1+$F158)*J160</f>
        <v>0</v>
      </c>
      <c r="K158" s="1038">
        <f>K159/(1+F158)*K160</f>
        <v>0</v>
      </c>
      <c r="L158" s="1038"/>
      <c r="M158" s="447">
        <f>M160*M159/(1+F158)</f>
        <v>0</v>
      </c>
      <c r="O158" s="1380" t="s">
        <v>518</v>
      </c>
      <c r="P158" s="1381"/>
      <c r="Q158" s="697"/>
      <c r="R158" s="697"/>
      <c r="S158" s="697"/>
      <c r="T158" s="697"/>
      <c r="U158" s="697"/>
      <c r="V158" s="697"/>
      <c r="W158" s="697"/>
      <c r="X158" s="698"/>
    </row>
    <row r="159" spans="2:24" s="32" customFormat="1" ht="12.75" customHeight="1" x14ac:dyDescent="0.2">
      <c r="C159" s="1040" t="s">
        <v>524</v>
      </c>
      <c r="D159" s="1040"/>
      <c r="E159" s="1040"/>
      <c r="F159" s="1040"/>
      <c r="G159" s="1041"/>
      <c r="H159" s="1042"/>
      <c r="I159" s="531">
        <v>0</v>
      </c>
      <c r="J159" s="798">
        <v>0</v>
      </c>
      <c r="K159" s="1367">
        <f>J159+J159*O159</f>
        <v>0</v>
      </c>
      <c r="L159" s="1367">
        <f>K159 +K159*O159</f>
        <v>0</v>
      </c>
      <c r="M159" s="798">
        <f>K159+K159*P159</f>
        <v>0</v>
      </c>
      <c r="O159" s="779">
        <v>0.03</v>
      </c>
      <c r="P159" s="779">
        <f>O159</f>
        <v>0.03</v>
      </c>
      <c r="Q159" s="697"/>
      <c r="R159" s="697"/>
      <c r="S159" s="697"/>
      <c r="T159" s="697"/>
      <c r="U159" s="697"/>
      <c r="V159" s="697"/>
      <c r="W159" s="697"/>
      <c r="X159" s="698"/>
    </row>
    <row r="160" spans="2:24" s="32" customFormat="1" ht="12.75" customHeight="1" x14ac:dyDescent="0.2">
      <c r="C160" s="1071" t="s">
        <v>428</v>
      </c>
      <c r="D160" s="1071"/>
      <c r="E160" s="1071"/>
      <c r="F160" s="1071"/>
      <c r="G160" s="1072"/>
      <c r="H160" s="1073"/>
      <c r="I160" s="446">
        <f>J160/J$33</f>
        <v>0</v>
      </c>
      <c r="J160" s="797">
        <v>0</v>
      </c>
      <c r="K160" s="1366">
        <f>(J160+J160*O160)*12/J$33</f>
        <v>0</v>
      </c>
      <c r="L160" s="1366" t="e">
        <f>K160*12/K$11</f>
        <v>#VALUE!</v>
      </c>
      <c r="M160" s="797">
        <f>K160+K160*P160</f>
        <v>0</v>
      </c>
      <c r="O160" s="779">
        <v>0</v>
      </c>
      <c r="P160" s="779">
        <f>O160</f>
        <v>0</v>
      </c>
      <c r="Q160" s="697"/>
      <c r="R160" s="697"/>
      <c r="S160" s="697"/>
      <c r="T160" s="697"/>
      <c r="U160" s="697"/>
      <c r="V160" s="697"/>
      <c r="W160" s="697"/>
      <c r="X160" s="698"/>
    </row>
    <row r="161" spans="3:37" s="32" customFormat="1" ht="12.75" customHeight="1" x14ac:dyDescent="0.2">
      <c r="C161" s="1071" t="s">
        <v>429</v>
      </c>
      <c r="D161" s="1071"/>
      <c r="E161" s="1071"/>
      <c r="F161" s="1071"/>
      <c r="G161" s="1072"/>
      <c r="H161" s="1073"/>
      <c r="I161" s="531">
        <v>0</v>
      </c>
      <c r="J161" s="798">
        <v>0</v>
      </c>
      <c r="K161" s="1367">
        <f>J161+J161*O161</f>
        <v>0</v>
      </c>
      <c r="L161" s="1367">
        <f>K161 +K161*O161</f>
        <v>0</v>
      </c>
      <c r="M161" s="798">
        <f>K161+K161*P161</f>
        <v>0</v>
      </c>
      <c r="O161" s="779">
        <v>0.03</v>
      </c>
      <c r="P161" s="779">
        <f>O161</f>
        <v>0.03</v>
      </c>
      <c r="Q161" s="697"/>
      <c r="R161" s="697"/>
      <c r="S161" s="697"/>
      <c r="T161" s="697"/>
      <c r="U161" s="697"/>
      <c r="V161" s="697"/>
      <c r="W161" s="697"/>
      <c r="X161" s="698"/>
    </row>
    <row r="162" spans="3:37" s="32" customFormat="1" ht="12.75" customHeight="1" x14ac:dyDescent="0.2">
      <c r="C162" s="1071"/>
      <c r="D162" s="1071"/>
      <c r="E162" s="1071"/>
      <c r="F162" s="1071"/>
      <c r="G162" s="1072"/>
      <c r="H162" s="1073"/>
      <c r="I162" s="531">
        <v>0</v>
      </c>
      <c r="J162" s="772">
        <f>J161/(1+$G158)</f>
        <v>0</v>
      </c>
      <c r="K162" s="1375">
        <f t="shared" ref="K162:L162" si="29">K161/(1+$G158)</f>
        <v>0</v>
      </c>
      <c r="L162" s="1375">
        <f t="shared" si="29"/>
        <v>0</v>
      </c>
      <c r="M162" s="772">
        <f>M161/(1+$G158)</f>
        <v>0</v>
      </c>
      <c r="N162" s="632"/>
      <c r="O162" s="959"/>
      <c r="P162" s="960"/>
      <c r="Q162" s="697"/>
      <c r="R162" s="697"/>
      <c r="S162" s="697"/>
      <c r="T162" s="697"/>
      <c r="U162" s="697"/>
      <c r="V162" s="697"/>
      <c r="W162" s="697"/>
      <c r="X162" s="698"/>
    </row>
    <row r="163" spans="3:37" s="32" customFormat="1" ht="12.75" customHeight="1" x14ac:dyDescent="0.2">
      <c r="C163" s="1071" t="s">
        <v>431</v>
      </c>
      <c r="D163" s="1071"/>
      <c r="E163" s="1071"/>
      <c r="F163" s="1071"/>
      <c r="G163" s="1072"/>
      <c r="H163" s="1073"/>
      <c r="I163" s="531">
        <v>0</v>
      </c>
      <c r="J163" s="453">
        <f>IF(J159=0,0,(J159/(1+$F158)-J162)/(J159/(1+$F158)))</f>
        <v>0</v>
      </c>
      <c r="K163" s="1207">
        <f t="shared" ref="K163:L163" si="30">IF(K159=0,0,(K159/(1+$F158)-K162)/(K159/(1+$F158)))</f>
        <v>0</v>
      </c>
      <c r="L163" s="1207">
        <f t="shared" si="30"/>
        <v>0</v>
      </c>
      <c r="M163" s="453">
        <f>IF(M159=0,0,(M159/(1+$F158)-M162)/(M159/(1+$F158)))</f>
        <v>0</v>
      </c>
      <c r="N163" s="621"/>
      <c r="O163" s="985"/>
      <c r="P163" s="960"/>
      <c r="Q163" s="697"/>
      <c r="R163" s="697"/>
      <c r="S163" s="697"/>
      <c r="T163" s="697"/>
      <c r="U163" s="697"/>
      <c r="V163" s="697"/>
      <c r="W163" s="697"/>
      <c r="X163" s="698"/>
    </row>
    <row r="164" spans="3:37" s="32" customFormat="1" ht="12.75" customHeight="1" x14ac:dyDescent="0.2">
      <c r="C164" s="1213" t="s">
        <v>432</v>
      </c>
      <c r="D164" s="1214"/>
      <c r="E164" s="1214"/>
      <c r="F164" s="1214"/>
      <c r="G164" s="1215"/>
      <c r="H164" s="1216"/>
      <c r="I164" s="531">
        <v>0</v>
      </c>
      <c r="J164" s="454">
        <f>J158*J163</f>
        <v>0</v>
      </c>
      <c r="K164" s="1075">
        <f>K158*K163</f>
        <v>0</v>
      </c>
      <c r="L164" s="1075"/>
      <c r="M164" s="454">
        <f>M158*M163</f>
        <v>0</v>
      </c>
      <c r="N164" s="632"/>
      <c r="O164" s="959"/>
      <c r="P164" s="960"/>
      <c r="Q164" s="697"/>
      <c r="R164" s="697"/>
      <c r="S164" s="697"/>
      <c r="T164" s="697"/>
      <c r="U164" s="697"/>
      <c r="V164" s="697"/>
      <c r="W164" s="697"/>
      <c r="X164" s="698"/>
    </row>
    <row r="165" spans="3:37" s="32" customFormat="1" ht="6" customHeight="1" x14ac:dyDescent="0.2">
      <c r="C165" s="59"/>
      <c r="H165" s="289"/>
      <c r="I165" s="571"/>
      <c r="J165" s="284"/>
      <c r="K165" s="284"/>
      <c r="L165" s="662"/>
      <c r="M165" s="284"/>
      <c r="N165" s="632"/>
      <c r="O165" s="986"/>
      <c r="P165" s="987"/>
      <c r="Q165" s="702"/>
      <c r="R165" s="702"/>
      <c r="S165" s="702"/>
      <c r="T165" s="702"/>
      <c r="U165" s="702"/>
      <c r="V165" s="702"/>
      <c r="W165" s="702"/>
      <c r="X165" s="703"/>
    </row>
    <row r="166" spans="3:37" s="32" customFormat="1" ht="12" customHeight="1" x14ac:dyDescent="0.2">
      <c r="C166" s="1383" t="s">
        <v>523</v>
      </c>
      <c r="D166" s="1384"/>
      <c r="E166" s="1384"/>
      <c r="F166" s="774">
        <v>0</v>
      </c>
      <c r="G166" s="774">
        <v>0</v>
      </c>
      <c r="H166" s="455" t="s">
        <v>419</v>
      </c>
      <c r="I166" s="454">
        <f>J166/J$33</f>
        <v>0</v>
      </c>
      <c r="J166" s="447">
        <f>J167/(1+$F166)*J168</f>
        <v>0</v>
      </c>
      <c r="K166" s="1038">
        <f>K167/(1+F166)*K168</f>
        <v>0</v>
      </c>
      <c r="L166" s="1038"/>
      <c r="M166" s="447">
        <f>M168*M167/(1+F166)</f>
        <v>0</v>
      </c>
      <c r="N166" s="633"/>
      <c r="O166" s="985"/>
      <c r="P166" s="988"/>
      <c r="Q166" s="707"/>
      <c r="R166" s="697"/>
      <c r="S166" s="697"/>
      <c r="T166" s="697"/>
      <c r="U166" s="697"/>
      <c r="V166" s="697"/>
      <c r="W166" s="697"/>
      <c r="X166" s="698"/>
    </row>
    <row r="167" spans="3:37" s="32" customFormat="1" ht="12.75" customHeight="1" x14ac:dyDescent="0.2">
      <c r="C167" s="1040" t="s">
        <v>524</v>
      </c>
      <c r="D167" s="1040"/>
      <c r="E167" s="1040"/>
      <c r="F167" s="1040"/>
      <c r="G167" s="1041"/>
      <c r="H167" s="1042"/>
      <c r="I167" s="531"/>
      <c r="J167" s="798">
        <v>0</v>
      </c>
      <c r="K167" s="1367">
        <f>J167+J167*O167</f>
        <v>0</v>
      </c>
      <c r="L167" s="1367"/>
      <c r="M167" s="798">
        <f>K167+K167*P167</f>
        <v>0</v>
      </c>
      <c r="N167" s="634"/>
      <c r="O167" s="779">
        <v>0.03</v>
      </c>
      <c r="P167" s="779">
        <f>O167</f>
        <v>0.03</v>
      </c>
      <c r="Q167" s="707"/>
      <c r="R167" s="697"/>
      <c r="S167" s="697"/>
      <c r="T167" s="697"/>
      <c r="U167" s="697"/>
      <c r="V167" s="697"/>
      <c r="W167" s="697"/>
      <c r="X167" s="698"/>
      <c r="AK167" s="635"/>
    </row>
    <row r="168" spans="3:37" s="32" customFormat="1" ht="12.75" customHeight="1" x14ac:dyDescent="0.2">
      <c r="C168" s="1071" t="s">
        <v>428</v>
      </c>
      <c r="D168" s="1071"/>
      <c r="E168" s="1071"/>
      <c r="F168" s="1071"/>
      <c r="G168" s="1072"/>
      <c r="H168" s="1073"/>
      <c r="I168" s="446">
        <f>J168/J$33</f>
        <v>0</v>
      </c>
      <c r="J168" s="797">
        <v>0</v>
      </c>
      <c r="K168" s="1366">
        <f>(J168+J168*O168)*12/J$33</f>
        <v>0</v>
      </c>
      <c r="L168" s="1366" t="e">
        <f>K168*12/K$11</f>
        <v>#VALUE!</v>
      </c>
      <c r="M168" s="797">
        <f>K168+K168*P168</f>
        <v>0</v>
      </c>
      <c r="N168" s="634"/>
      <c r="O168" s="779">
        <v>0</v>
      </c>
      <c r="P168" s="779">
        <f>O168</f>
        <v>0</v>
      </c>
      <c r="Q168" s="707"/>
      <c r="R168" s="697"/>
      <c r="S168" s="697"/>
      <c r="T168" s="697"/>
      <c r="U168" s="697"/>
      <c r="V168" s="697"/>
      <c r="W168" s="697"/>
      <c r="X168" s="698"/>
    </row>
    <row r="169" spans="3:37" s="32" customFormat="1" ht="12.75" customHeight="1" x14ac:dyDescent="0.2">
      <c r="C169" s="1071" t="s">
        <v>429</v>
      </c>
      <c r="D169" s="1071"/>
      <c r="E169" s="1071"/>
      <c r="F169" s="1071"/>
      <c r="G169" s="1072"/>
      <c r="H169" s="1073"/>
      <c r="I169" s="531"/>
      <c r="J169" s="798">
        <v>0</v>
      </c>
      <c r="K169" s="1367">
        <f>J169+J169*O169</f>
        <v>0</v>
      </c>
      <c r="L169" s="1367">
        <f>K169 +K169*O169</f>
        <v>0</v>
      </c>
      <c r="M169" s="798">
        <f>K169+K169*P169</f>
        <v>0</v>
      </c>
      <c r="N169" s="634"/>
      <c r="O169" s="779">
        <v>0.03</v>
      </c>
      <c r="P169" s="779">
        <f>O169</f>
        <v>0.03</v>
      </c>
      <c r="Q169" s="707"/>
      <c r="R169" s="697"/>
      <c r="S169" s="697"/>
      <c r="T169" s="697"/>
      <c r="U169" s="697"/>
      <c r="V169" s="697"/>
      <c r="W169" s="697"/>
      <c r="X169" s="698"/>
    </row>
    <row r="170" spans="3:37" s="32" customFormat="1" ht="12.75" customHeight="1" x14ac:dyDescent="0.2">
      <c r="C170" s="1071"/>
      <c r="D170" s="1071"/>
      <c r="E170" s="1071"/>
      <c r="F170" s="1071"/>
      <c r="G170" s="1072"/>
      <c r="H170" s="1073"/>
      <c r="I170" s="531"/>
      <c r="J170" s="772">
        <f>J169/(1+$G166)</f>
        <v>0</v>
      </c>
      <c r="K170" s="1375">
        <f>K169/(1+G166)</f>
        <v>0</v>
      </c>
      <c r="L170" s="1375"/>
      <c r="M170" s="772">
        <f>M169/(1+G166)</f>
        <v>0</v>
      </c>
      <c r="N170" s="634"/>
      <c r="O170" s="985"/>
      <c r="P170" s="988"/>
      <c r="Q170" s="707"/>
      <c r="R170" s="697"/>
      <c r="S170" s="697"/>
      <c r="T170" s="697"/>
      <c r="U170" s="697"/>
      <c r="V170" s="697"/>
      <c r="W170" s="697"/>
      <c r="X170" s="698"/>
    </row>
    <row r="171" spans="3:37" s="32" customFormat="1" ht="12.75" customHeight="1" x14ac:dyDescent="0.2">
      <c r="C171" s="1071" t="s">
        <v>431</v>
      </c>
      <c r="D171" s="1071"/>
      <c r="E171" s="1071"/>
      <c r="F171" s="1071"/>
      <c r="G171" s="1072"/>
      <c r="H171" s="1073"/>
      <c r="I171" s="531"/>
      <c r="J171" s="453">
        <f>IF(J167=0,0,(J167/(1+$F166)-J170)/(J167/(1+$F166)))</f>
        <v>0</v>
      </c>
      <c r="K171" s="1207">
        <f t="shared" ref="K171:L171" si="31">IF(K167=0,0,(K167/(1+$F166)-K170)/(K167/(1+$F166)))</f>
        <v>0</v>
      </c>
      <c r="L171" s="1207">
        <f t="shared" si="31"/>
        <v>0</v>
      </c>
      <c r="M171" s="453">
        <f>IF(M167=0,0,(M167/(1+$F166)-M170)/(M167/(1+$F166)))</f>
        <v>0</v>
      </c>
      <c r="N171" s="634"/>
      <c r="O171" s="985"/>
      <c r="P171" s="988"/>
      <c r="Q171" s="707"/>
      <c r="R171" s="697"/>
      <c r="S171" s="697"/>
      <c r="T171" s="697"/>
      <c r="U171" s="697"/>
      <c r="V171" s="697"/>
      <c r="W171" s="697"/>
      <c r="X171" s="698"/>
    </row>
    <row r="172" spans="3:37" s="32" customFormat="1" ht="12.75" customHeight="1" x14ac:dyDescent="0.2">
      <c r="C172" s="1213" t="s">
        <v>432</v>
      </c>
      <c r="D172" s="1214"/>
      <c r="E172" s="1214"/>
      <c r="F172" s="1214"/>
      <c r="G172" s="1215"/>
      <c r="H172" s="1216"/>
      <c r="I172" s="531"/>
      <c r="J172" s="454">
        <f>J166*J171</f>
        <v>0</v>
      </c>
      <c r="K172" s="1075">
        <f>K166*K171</f>
        <v>0</v>
      </c>
      <c r="L172" s="1075"/>
      <c r="M172" s="454">
        <f>M166*M171</f>
        <v>0</v>
      </c>
      <c r="N172" s="634"/>
      <c r="O172" s="985"/>
      <c r="P172" s="988"/>
      <c r="Q172" s="707"/>
      <c r="R172" s="697"/>
      <c r="S172" s="697"/>
      <c r="T172" s="697"/>
      <c r="U172" s="697"/>
      <c r="V172" s="697"/>
      <c r="W172" s="697"/>
      <c r="X172" s="698"/>
    </row>
    <row r="173" spans="3:37" s="32" customFormat="1" ht="6" customHeight="1" x14ac:dyDescent="0.2">
      <c r="C173" s="59"/>
      <c r="H173" s="290"/>
      <c r="I173" s="382"/>
      <c r="J173" s="284"/>
      <c r="K173" s="284"/>
      <c r="L173" s="662"/>
      <c r="M173" s="256"/>
      <c r="N173" s="636"/>
      <c r="O173" s="989"/>
      <c r="P173" s="987"/>
      <c r="Q173" s="702"/>
      <c r="R173" s="702"/>
      <c r="S173" s="702"/>
      <c r="T173" s="702"/>
      <c r="U173" s="702"/>
      <c r="V173" s="702"/>
      <c r="W173" s="702"/>
      <c r="X173" s="703"/>
    </row>
    <row r="174" spans="3:37" s="32" customFormat="1" ht="12" customHeight="1" x14ac:dyDescent="0.2">
      <c r="C174" s="1383" t="s">
        <v>523</v>
      </c>
      <c r="D174" s="1384"/>
      <c r="E174" s="1384"/>
      <c r="F174" s="774">
        <v>0</v>
      </c>
      <c r="G174" s="774">
        <v>0</v>
      </c>
      <c r="H174" s="455" t="s">
        <v>419</v>
      </c>
      <c r="I174" s="454">
        <f>J174/J$33</f>
        <v>0</v>
      </c>
      <c r="J174" s="447">
        <f>J175/(1+$F174)*J176</f>
        <v>0</v>
      </c>
      <c r="K174" s="1038">
        <f>K175/(1+F174)*K176</f>
        <v>0</v>
      </c>
      <c r="L174" s="1038"/>
      <c r="M174" s="447">
        <f>M176*M175/(1+F174)</f>
        <v>0</v>
      </c>
      <c r="O174" s="959"/>
      <c r="P174" s="960"/>
      <c r="Q174" s="697"/>
      <c r="R174" s="697"/>
      <c r="S174" s="697"/>
      <c r="T174" s="697"/>
      <c r="U174" s="697"/>
      <c r="V174" s="697"/>
      <c r="W174" s="697"/>
      <c r="X174" s="698"/>
    </row>
    <row r="175" spans="3:37" s="32" customFormat="1" ht="12.75" customHeight="1" x14ac:dyDescent="0.2">
      <c r="C175" s="1040" t="s">
        <v>524</v>
      </c>
      <c r="D175" s="1040"/>
      <c r="E175" s="1040"/>
      <c r="F175" s="1040"/>
      <c r="G175" s="1041"/>
      <c r="H175" s="1042"/>
      <c r="I175" s="531">
        <v>0</v>
      </c>
      <c r="J175" s="798">
        <v>0</v>
      </c>
      <c r="K175" s="1367">
        <f>J175+J175*O175</f>
        <v>0</v>
      </c>
      <c r="L175" s="1367">
        <f>K175 +K175*O175</f>
        <v>0</v>
      </c>
      <c r="M175" s="798">
        <f>K175+K175*P175</f>
        <v>0</v>
      </c>
      <c r="O175" s="779">
        <v>0.03</v>
      </c>
      <c r="P175" s="779">
        <f>O175</f>
        <v>0.03</v>
      </c>
      <c r="Q175" s="697"/>
      <c r="R175" s="697"/>
      <c r="S175" s="697"/>
      <c r="T175" s="697"/>
      <c r="U175" s="697"/>
      <c r="V175" s="697"/>
      <c r="W175" s="697"/>
      <c r="X175" s="698"/>
    </row>
    <row r="176" spans="3:37" s="32" customFormat="1" ht="12.75" customHeight="1" x14ac:dyDescent="0.2">
      <c r="C176" s="1071" t="s">
        <v>428</v>
      </c>
      <c r="D176" s="1071"/>
      <c r="E176" s="1071"/>
      <c r="F176" s="1071"/>
      <c r="G176" s="1072"/>
      <c r="H176" s="1073"/>
      <c r="I176" s="446">
        <f>J176/J$33</f>
        <v>0</v>
      </c>
      <c r="J176" s="797">
        <v>0</v>
      </c>
      <c r="K176" s="1366">
        <f>(J176+J176*O176)*12/J$33</f>
        <v>0</v>
      </c>
      <c r="L176" s="1366" t="e">
        <f>K176*12/K$11</f>
        <v>#VALUE!</v>
      </c>
      <c r="M176" s="797">
        <f>K176+K176*P176</f>
        <v>0</v>
      </c>
      <c r="O176" s="779">
        <v>0</v>
      </c>
      <c r="P176" s="779">
        <f>O176</f>
        <v>0</v>
      </c>
      <c r="Q176" s="697"/>
      <c r="R176" s="697"/>
      <c r="S176" s="697"/>
      <c r="T176" s="697"/>
      <c r="U176" s="697"/>
      <c r="V176" s="697"/>
      <c r="W176" s="697"/>
      <c r="X176" s="698"/>
    </row>
    <row r="177" spans="3:37" s="32" customFormat="1" ht="12.75" customHeight="1" x14ac:dyDescent="0.2">
      <c r="C177" s="1071" t="s">
        <v>429</v>
      </c>
      <c r="D177" s="1071"/>
      <c r="E177" s="1071"/>
      <c r="F177" s="1071"/>
      <c r="G177" s="1072"/>
      <c r="H177" s="1073"/>
      <c r="I177" s="531">
        <v>0</v>
      </c>
      <c r="J177" s="798">
        <v>0</v>
      </c>
      <c r="K177" s="1367">
        <f>J177+J177*O177</f>
        <v>0</v>
      </c>
      <c r="L177" s="1367">
        <f>K177 +K177*O177</f>
        <v>0</v>
      </c>
      <c r="M177" s="798">
        <f>K177+K177*P177</f>
        <v>0</v>
      </c>
      <c r="O177" s="779">
        <v>0.03</v>
      </c>
      <c r="P177" s="779">
        <f>O177</f>
        <v>0.03</v>
      </c>
      <c r="Q177" s="697"/>
      <c r="R177" s="697"/>
      <c r="S177" s="697"/>
      <c r="T177" s="697"/>
      <c r="U177" s="697"/>
      <c r="V177" s="697"/>
      <c r="W177" s="697"/>
      <c r="X177" s="698"/>
    </row>
    <row r="178" spans="3:37" s="32" customFormat="1" ht="12.75" customHeight="1" x14ac:dyDescent="0.2">
      <c r="C178" s="1071"/>
      <c r="D178" s="1071"/>
      <c r="E178" s="1071"/>
      <c r="F178" s="1071"/>
      <c r="G178" s="1072"/>
      <c r="H178" s="1073"/>
      <c r="I178" s="531">
        <v>0</v>
      </c>
      <c r="J178" s="450">
        <f>J177/(1+$G174)</f>
        <v>0</v>
      </c>
      <c r="K178" s="1171">
        <f>K177/(1+G174)</f>
        <v>0</v>
      </c>
      <c r="L178" s="1171"/>
      <c r="M178" s="450">
        <f>M177/(1+G174)</f>
        <v>0</v>
      </c>
      <c r="O178" s="959"/>
      <c r="P178" s="960"/>
      <c r="Q178" s="697"/>
      <c r="R178" s="697"/>
      <c r="S178" s="697"/>
      <c r="T178" s="697"/>
      <c r="U178" s="697"/>
      <c r="V178" s="697"/>
      <c r="W178" s="697"/>
      <c r="X178" s="698"/>
    </row>
    <row r="179" spans="3:37" s="32" customFormat="1" ht="12.75" customHeight="1" x14ac:dyDescent="0.2">
      <c r="C179" s="1071" t="s">
        <v>431</v>
      </c>
      <c r="D179" s="1071"/>
      <c r="E179" s="1071"/>
      <c r="F179" s="1071"/>
      <c r="G179" s="1072"/>
      <c r="H179" s="1073"/>
      <c r="I179" s="531">
        <v>0</v>
      </c>
      <c r="J179" s="453">
        <f>IF(J175=0,0,(J175/(1+$F174)-J178)/(J175/(1+$F174)))</f>
        <v>0</v>
      </c>
      <c r="K179" s="1207">
        <f t="shared" ref="K179:L179" si="32">IF(K175=0,0,(K175/(1+$F174)-K178)/(K175/(1+$F174)))</f>
        <v>0</v>
      </c>
      <c r="L179" s="1207">
        <f t="shared" si="32"/>
        <v>0</v>
      </c>
      <c r="M179" s="453">
        <f>IF(M175=0,0,(M175/(1+$F174)-M178)/(M175/(1+$F174)))</f>
        <v>0</v>
      </c>
      <c r="N179" s="620"/>
      <c r="O179" s="959"/>
      <c r="P179" s="960"/>
      <c r="Q179" s="697"/>
      <c r="R179" s="697"/>
      <c r="S179" s="697"/>
      <c r="T179" s="697"/>
      <c r="U179" s="697"/>
      <c r="V179" s="697"/>
      <c r="W179" s="697"/>
      <c r="X179" s="698"/>
    </row>
    <row r="180" spans="3:37" s="32" customFormat="1" ht="12.75" customHeight="1" x14ac:dyDescent="0.2">
      <c r="C180" s="1213" t="s">
        <v>432</v>
      </c>
      <c r="D180" s="1214"/>
      <c r="E180" s="1214"/>
      <c r="F180" s="1214"/>
      <c r="G180" s="1215"/>
      <c r="H180" s="1216"/>
      <c r="I180" s="531">
        <v>0</v>
      </c>
      <c r="J180" s="454">
        <f>J174*J179</f>
        <v>0</v>
      </c>
      <c r="K180" s="1075">
        <f>K174*K179</f>
        <v>0</v>
      </c>
      <c r="L180" s="1075"/>
      <c r="M180" s="454">
        <f>M174*M179</f>
        <v>0</v>
      </c>
      <c r="N180" s="620"/>
      <c r="O180" s="959"/>
      <c r="P180" s="960"/>
      <c r="Q180" s="697"/>
      <c r="R180" s="697"/>
      <c r="S180" s="697"/>
      <c r="T180" s="697"/>
      <c r="U180" s="697"/>
      <c r="V180" s="697"/>
      <c r="W180" s="697"/>
      <c r="X180" s="698"/>
    </row>
    <row r="181" spans="3:37" s="32" customFormat="1" ht="6" customHeight="1" x14ac:dyDescent="0.2">
      <c r="C181" s="59"/>
      <c r="D181" s="291"/>
      <c r="E181" s="291"/>
      <c r="F181" s="291"/>
      <c r="G181" s="291"/>
      <c r="H181" s="291"/>
      <c r="I181" s="572"/>
      <c r="J181" s="660"/>
      <c r="K181" s="660"/>
      <c r="L181" s="660"/>
      <c r="M181" s="660"/>
      <c r="O181" s="972"/>
      <c r="P181" s="973"/>
      <c r="Q181" s="702"/>
      <c r="R181" s="702"/>
      <c r="S181" s="702"/>
      <c r="T181" s="702"/>
      <c r="U181" s="702"/>
      <c r="V181" s="702"/>
      <c r="W181" s="702"/>
      <c r="X181" s="703"/>
    </row>
    <row r="182" spans="3:37" s="32" customFormat="1" ht="12" customHeight="1" x14ac:dyDescent="0.2">
      <c r="C182" s="1383" t="s">
        <v>523</v>
      </c>
      <c r="D182" s="1384"/>
      <c r="E182" s="1384"/>
      <c r="F182" s="774">
        <v>0</v>
      </c>
      <c r="G182" s="774">
        <v>0</v>
      </c>
      <c r="H182" s="455" t="s">
        <v>419</v>
      </c>
      <c r="I182" s="718">
        <f>J182/J$33</f>
        <v>0</v>
      </c>
      <c r="J182" s="447">
        <f>J183/(1+$F182)*J184</f>
        <v>0</v>
      </c>
      <c r="K182" s="1038">
        <f>K183/(1+F182)*K184</f>
        <v>0</v>
      </c>
      <c r="L182" s="1038"/>
      <c r="M182" s="447">
        <f>M184*M183/(1+F182)</f>
        <v>0</v>
      </c>
      <c r="O182" s="959"/>
      <c r="P182" s="960"/>
      <c r="Q182" s="697"/>
      <c r="R182" s="697"/>
      <c r="S182" s="697"/>
      <c r="T182" s="697"/>
      <c r="U182" s="697"/>
      <c r="V182" s="697"/>
      <c r="W182" s="697"/>
      <c r="X182" s="698"/>
    </row>
    <row r="183" spans="3:37" s="32" customFormat="1" ht="12.75" customHeight="1" x14ac:dyDescent="0.2">
      <c r="C183" s="1040" t="s">
        <v>524</v>
      </c>
      <c r="D183" s="1040"/>
      <c r="E183" s="1040"/>
      <c r="F183" s="1040"/>
      <c r="G183" s="1041"/>
      <c r="H183" s="1042"/>
      <c r="I183" s="446">
        <v>0</v>
      </c>
      <c r="J183" s="798">
        <v>0</v>
      </c>
      <c r="K183" s="1367">
        <f>J183+J183*O183</f>
        <v>0</v>
      </c>
      <c r="L183" s="1367">
        <f>K183 +K183*O183</f>
        <v>0</v>
      </c>
      <c r="M183" s="798">
        <f>K183+K183*P183</f>
        <v>0</v>
      </c>
      <c r="O183" s="779">
        <v>0.03</v>
      </c>
      <c r="P183" s="779">
        <f>O183</f>
        <v>0.03</v>
      </c>
      <c r="Q183" s="697"/>
      <c r="R183" s="697"/>
      <c r="S183" s="697"/>
      <c r="T183" s="697"/>
      <c r="U183" s="697"/>
      <c r="V183" s="697"/>
      <c r="W183" s="697"/>
      <c r="X183" s="698"/>
    </row>
    <row r="184" spans="3:37" s="32" customFormat="1" ht="12.75" customHeight="1" x14ac:dyDescent="0.2">
      <c r="C184" s="1071" t="s">
        <v>428</v>
      </c>
      <c r="D184" s="1071"/>
      <c r="E184" s="1071"/>
      <c r="F184" s="1071"/>
      <c r="G184" s="1072"/>
      <c r="H184" s="1073"/>
      <c r="I184" s="448">
        <f>J184/J$33</f>
        <v>0</v>
      </c>
      <c r="J184" s="797">
        <v>0</v>
      </c>
      <c r="K184" s="1366">
        <f>(J184+J184*O184)*12/J$33</f>
        <v>0</v>
      </c>
      <c r="L184" s="1366" t="e">
        <f>K184*12/K$11</f>
        <v>#VALUE!</v>
      </c>
      <c r="M184" s="797">
        <f>K184+K184*P184</f>
        <v>0</v>
      </c>
      <c r="O184" s="779">
        <v>0</v>
      </c>
      <c r="P184" s="779">
        <f>O184</f>
        <v>0</v>
      </c>
      <c r="Q184" s="697"/>
      <c r="R184" s="697"/>
      <c r="S184" s="697"/>
      <c r="T184" s="697"/>
      <c r="U184" s="697"/>
      <c r="V184" s="697"/>
      <c r="W184" s="697"/>
      <c r="X184" s="698"/>
    </row>
    <row r="185" spans="3:37" s="32" customFormat="1" ht="12.75" customHeight="1" x14ac:dyDescent="0.2">
      <c r="C185" s="1071" t="s">
        <v>429</v>
      </c>
      <c r="D185" s="1071"/>
      <c r="E185" s="1071"/>
      <c r="F185" s="1071"/>
      <c r="G185" s="1072"/>
      <c r="H185" s="1073"/>
      <c r="I185" s="446">
        <v>0</v>
      </c>
      <c r="J185" s="798">
        <v>0</v>
      </c>
      <c r="K185" s="1367">
        <f>J185+J185*O185</f>
        <v>0</v>
      </c>
      <c r="L185" s="1367">
        <f>K185 +K185*O185</f>
        <v>0</v>
      </c>
      <c r="M185" s="798">
        <f>K185+K185*P185</f>
        <v>0</v>
      </c>
      <c r="O185" s="779">
        <v>0.03</v>
      </c>
      <c r="P185" s="779">
        <f>O185</f>
        <v>0.03</v>
      </c>
      <c r="Q185" s="697"/>
      <c r="R185" s="697"/>
      <c r="S185" s="697"/>
      <c r="T185" s="697"/>
      <c r="U185" s="697"/>
      <c r="V185" s="697"/>
      <c r="W185" s="697"/>
      <c r="X185" s="698"/>
    </row>
    <row r="186" spans="3:37" s="32" customFormat="1" ht="12.75" customHeight="1" x14ac:dyDescent="0.2">
      <c r="C186" s="1071"/>
      <c r="D186" s="1071"/>
      <c r="E186" s="1071"/>
      <c r="F186" s="1071"/>
      <c r="G186" s="1072"/>
      <c r="H186" s="1073"/>
      <c r="I186" s="531">
        <v>0</v>
      </c>
      <c r="J186" s="450">
        <f>J185/(1+$G182)</f>
        <v>0</v>
      </c>
      <c r="K186" s="1243">
        <f>K185/(1+G182)</f>
        <v>0</v>
      </c>
      <c r="L186" s="1244"/>
      <c r="M186" s="450">
        <f>M185/(1+G182)</f>
        <v>0</v>
      </c>
      <c r="N186" s="632"/>
      <c r="O186" s="959"/>
      <c r="P186" s="960"/>
      <c r="Q186" s="697"/>
      <c r="R186" s="697"/>
      <c r="S186" s="697"/>
      <c r="T186" s="697"/>
      <c r="U186" s="697"/>
      <c r="V186" s="697"/>
      <c r="W186" s="697"/>
      <c r="X186" s="698"/>
    </row>
    <row r="187" spans="3:37" s="32" customFormat="1" ht="12.75" customHeight="1" x14ac:dyDescent="0.2">
      <c r="C187" s="1071" t="s">
        <v>431</v>
      </c>
      <c r="D187" s="1071"/>
      <c r="E187" s="1071"/>
      <c r="F187" s="1071"/>
      <c r="G187" s="1072"/>
      <c r="H187" s="1073"/>
      <c r="I187" s="531">
        <v>0</v>
      </c>
      <c r="J187" s="453">
        <f>IF(J183=0,0,(J183/(1+$F182)-J186)/(J183/(1+$F182)))</f>
        <v>0</v>
      </c>
      <c r="K187" s="1207">
        <f t="shared" ref="K187:L187" si="33">IF(K183=0,0,(K183/(1+$F182)-K186)/(K183/(1+$F182)))</f>
        <v>0</v>
      </c>
      <c r="L187" s="1207">
        <f t="shared" si="33"/>
        <v>0</v>
      </c>
      <c r="M187" s="453">
        <f>IF(M183=0,0,(M183/(1+$F182)-M186)/(M183/(1+$F182)))</f>
        <v>0</v>
      </c>
      <c r="N187" s="621"/>
      <c r="O187" s="985"/>
      <c r="P187" s="960"/>
      <c r="Q187" s="697"/>
      <c r="R187" s="697"/>
      <c r="S187" s="697"/>
      <c r="T187" s="697"/>
      <c r="U187" s="697"/>
      <c r="V187" s="697"/>
      <c r="W187" s="697"/>
      <c r="X187" s="698"/>
    </row>
    <row r="188" spans="3:37" s="32" customFormat="1" ht="12.75" customHeight="1" x14ac:dyDescent="0.2">
      <c r="C188" s="1213" t="s">
        <v>432</v>
      </c>
      <c r="D188" s="1214"/>
      <c r="E188" s="1214"/>
      <c r="F188" s="1214"/>
      <c r="G188" s="1215"/>
      <c r="H188" s="1216"/>
      <c r="I188" s="531">
        <v>0</v>
      </c>
      <c r="J188" s="454">
        <f>J182*J187</f>
        <v>0</v>
      </c>
      <c r="K188" s="1075">
        <f>K182*K187</f>
        <v>0</v>
      </c>
      <c r="L188" s="1075"/>
      <c r="M188" s="454">
        <f>M182*M187</f>
        <v>0</v>
      </c>
      <c r="N188" s="632"/>
      <c r="O188" s="959"/>
      <c r="P188" s="960"/>
      <c r="Q188" s="697"/>
      <c r="R188" s="697"/>
      <c r="S188" s="697"/>
      <c r="T188" s="697"/>
      <c r="U188" s="697"/>
      <c r="V188" s="697"/>
      <c r="W188" s="697"/>
      <c r="X188" s="698"/>
    </row>
    <row r="189" spans="3:37" s="32" customFormat="1" ht="6" customHeight="1" x14ac:dyDescent="0.2">
      <c r="C189" s="59"/>
      <c r="H189" s="289"/>
      <c r="I189" s="571"/>
      <c r="J189" s="284"/>
      <c r="K189" s="284"/>
      <c r="L189" s="662"/>
      <c r="M189" s="568"/>
      <c r="N189" s="632"/>
      <c r="O189" s="986"/>
      <c r="P189" s="987"/>
      <c r="Q189" s="702"/>
      <c r="R189" s="702"/>
      <c r="S189" s="702"/>
      <c r="T189" s="702"/>
      <c r="U189" s="702"/>
      <c r="V189" s="702"/>
      <c r="W189" s="702"/>
      <c r="X189" s="703"/>
    </row>
    <row r="190" spans="3:37" s="32" customFormat="1" ht="12" customHeight="1" x14ac:dyDescent="0.2">
      <c r="C190" s="1383" t="s">
        <v>523</v>
      </c>
      <c r="D190" s="1384"/>
      <c r="E190" s="1384"/>
      <c r="F190" s="774">
        <v>0</v>
      </c>
      <c r="G190" s="774">
        <v>0</v>
      </c>
      <c r="H190" s="455" t="s">
        <v>419</v>
      </c>
      <c r="I190" s="454">
        <f>J190/J$33</f>
        <v>0</v>
      </c>
      <c r="J190" s="447">
        <f>J191/(1+$F190)*J192</f>
        <v>0</v>
      </c>
      <c r="K190" s="1038">
        <f>K191/(1+F190)*K192</f>
        <v>0</v>
      </c>
      <c r="L190" s="1038"/>
      <c r="M190" s="447">
        <f>M192*M191/(1+F190)</f>
        <v>0</v>
      </c>
      <c r="N190" s="633"/>
      <c r="O190" s="985"/>
      <c r="P190" s="988"/>
      <c r="Q190" s="707"/>
      <c r="R190" s="697"/>
      <c r="S190" s="697"/>
      <c r="T190" s="697"/>
      <c r="U190" s="697"/>
      <c r="V190" s="697"/>
      <c r="W190" s="697"/>
      <c r="X190" s="698"/>
    </row>
    <row r="191" spans="3:37" s="32" customFormat="1" ht="12.75" customHeight="1" x14ac:dyDescent="0.2">
      <c r="C191" s="1040" t="s">
        <v>524</v>
      </c>
      <c r="D191" s="1040"/>
      <c r="E191" s="1040"/>
      <c r="F191" s="1040"/>
      <c r="G191" s="1041"/>
      <c r="H191" s="1042"/>
      <c r="I191" s="531">
        <v>0</v>
      </c>
      <c r="J191" s="798">
        <v>0</v>
      </c>
      <c r="K191" s="1367">
        <f>J191+J191*O191</f>
        <v>0</v>
      </c>
      <c r="L191" s="1367">
        <f>K191 +K191*O191</f>
        <v>0</v>
      </c>
      <c r="M191" s="798">
        <f>K191+K191*P191</f>
        <v>0</v>
      </c>
      <c r="N191" s="634"/>
      <c r="O191" s="779">
        <v>0.03</v>
      </c>
      <c r="P191" s="779">
        <f>O191</f>
        <v>0.03</v>
      </c>
      <c r="Q191" s="707"/>
      <c r="R191" s="697"/>
      <c r="S191" s="697"/>
      <c r="T191" s="697"/>
      <c r="U191" s="697"/>
      <c r="V191" s="697"/>
      <c r="W191" s="697"/>
      <c r="X191" s="698"/>
      <c r="AK191" s="635"/>
    </row>
    <row r="192" spans="3:37" s="32" customFormat="1" ht="12.75" customHeight="1" x14ac:dyDescent="0.2">
      <c r="C192" s="1071" t="s">
        <v>428</v>
      </c>
      <c r="D192" s="1071"/>
      <c r="E192" s="1071"/>
      <c r="F192" s="1071"/>
      <c r="G192" s="1072"/>
      <c r="H192" s="1073"/>
      <c r="I192" s="446">
        <f>J192/J$33</f>
        <v>0</v>
      </c>
      <c r="J192" s="797">
        <v>0</v>
      </c>
      <c r="K192" s="1366">
        <f>(J192+J192*O192)*12/J$33</f>
        <v>0</v>
      </c>
      <c r="L192" s="1366" t="e">
        <f>K192*12/K$11</f>
        <v>#VALUE!</v>
      </c>
      <c r="M192" s="797">
        <f>K192+K192*P192</f>
        <v>0</v>
      </c>
      <c r="N192" s="634"/>
      <c r="O192" s="779">
        <v>0</v>
      </c>
      <c r="P192" s="779">
        <f>O192</f>
        <v>0</v>
      </c>
      <c r="Q192" s="707"/>
      <c r="R192" s="697"/>
      <c r="S192" s="697"/>
      <c r="T192" s="697"/>
      <c r="U192" s="697"/>
      <c r="V192" s="697"/>
      <c r="W192" s="697"/>
      <c r="X192" s="698"/>
    </row>
    <row r="193" spans="2:24" s="32" customFormat="1" ht="12.75" customHeight="1" x14ac:dyDescent="0.2">
      <c r="C193" s="1071" t="s">
        <v>429</v>
      </c>
      <c r="D193" s="1071"/>
      <c r="E193" s="1071"/>
      <c r="F193" s="1071"/>
      <c r="G193" s="1072"/>
      <c r="H193" s="1073"/>
      <c r="I193" s="531">
        <v>0</v>
      </c>
      <c r="J193" s="798">
        <v>0</v>
      </c>
      <c r="K193" s="1367">
        <f>J193+J193*O193</f>
        <v>0</v>
      </c>
      <c r="L193" s="1367">
        <f>K193 +K193*O193</f>
        <v>0</v>
      </c>
      <c r="M193" s="798">
        <f>K193+K193*P193</f>
        <v>0</v>
      </c>
      <c r="N193" s="634"/>
      <c r="O193" s="779">
        <v>0.03</v>
      </c>
      <c r="P193" s="779">
        <f>O193</f>
        <v>0.03</v>
      </c>
      <c r="Q193" s="707"/>
      <c r="R193" s="697"/>
      <c r="S193" s="697"/>
      <c r="T193" s="697"/>
      <c r="U193" s="697"/>
      <c r="V193" s="697"/>
      <c r="W193" s="697"/>
      <c r="X193" s="698"/>
    </row>
    <row r="194" spans="2:24" s="32" customFormat="1" ht="12.75" customHeight="1" x14ac:dyDescent="0.2">
      <c r="C194" s="1071"/>
      <c r="D194" s="1071"/>
      <c r="E194" s="1071"/>
      <c r="F194" s="1071"/>
      <c r="G194" s="1072"/>
      <c r="H194" s="1073"/>
      <c r="I194" s="531">
        <v>0</v>
      </c>
      <c r="J194" s="450">
        <f>J193/(1+$G190)</f>
        <v>0</v>
      </c>
      <c r="K194" s="1171">
        <f>K193/(1+G190)</f>
        <v>0</v>
      </c>
      <c r="L194" s="1171"/>
      <c r="M194" s="450">
        <f>M193/(1+G190)</f>
        <v>0</v>
      </c>
      <c r="N194" s="634"/>
      <c r="O194" s="985"/>
      <c r="P194" s="988"/>
      <c r="Q194" s="707"/>
      <c r="R194" s="697"/>
      <c r="S194" s="697"/>
      <c r="T194" s="697"/>
      <c r="U194" s="697"/>
      <c r="V194" s="697"/>
      <c r="W194" s="697"/>
      <c r="X194" s="698"/>
    </row>
    <row r="195" spans="2:24" s="32" customFormat="1" ht="12.75" customHeight="1" x14ac:dyDescent="0.2">
      <c r="C195" s="1071" t="s">
        <v>431</v>
      </c>
      <c r="D195" s="1071"/>
      <c r="E195" s="1071"/>
      <c r="F195" s="1071"/>
      <c r="G195" s="1072"/>
      <c r="H195" s="1073"/>
      <c r="I195" s="531">
        <v>0</v>
      </c>
      <c r="J195" s="453">
        <f>IF(J191=0,0,(J191/(1+$F190)-J194)/(J191/(1+$F190)))</f>
        <v>0</v>
      </c>
      <c r="K195" s="1207">
        <f t="shared" ref="K195:L195" si="34">IF(K191=0,0,(K191/(1+$F190)-K194)/(K191/(1+$F190)))</f>
        <v>0</v>
      </c>
      <c r="L195" s="1207">
        <f t="shared" si="34"/>
        <v>0</v>
      </c>
      <c r="M195" s="453">
        <f>IF(M191=0,0,(M191/(1+$F190)-M194)/(M191/(1+$F190)))</f>
        <v>0</v>
      </c>
      <c r="N195" s="634"/>
      <c r="O195" s="985"/>
      <c r="P195" s="988"/>
      <c r="Q195" s="707"/>
      <c r="R195" s="697"/>
      <c r="S195" s="697"/>
      <c r="T195" s="697"/>
      <c r="U195" s="697"/>
      <c r="V195" s="697"/>
      <c r="W195" s="697"/>
      <c r="X195" s="698"/>
    </row>
    <row r="196" spans="2:24" s="32" customFormat="1" ht="12.75" customHeight="1" x14ac:dyDescent="0.2">
      <c r="C196" s="1213" t="s">
        <v>432</v>
      </c>
      <c r="D196" s="1214"/>
      <c r="E196" s="1214"/>
      <c r="F196" s="1214"/>
      <c r="G196" s="1215"/>
      <c r="H196" s="1216"/>
      <c r="I196" s="531">
        <v>0</v>
      </c>
      <c r="J196" s="454">
        <f>J190*J195</f>
        <v>0</v>
      </c>
      <c r="K196" s="1075">
        <f>K190*K195</f>
        <v>0</v>
      </c>
      <c r="L196" s="1075"/>
      <c r="M196" s="454">
        <f>M190*M195</f>
        <v>0</v>
      </c>
      <c r="N196" s="634"/>
      <c r="O196" s="985"/>
      <c r="P196" s="988"/>
      <c r="Q196" s="707"/>
      <c r="R196" s="697"/>
      <c r="S196" s="697"/>
      <c r="T196" s="697"/>
      <c r="U196" s="697"/>
      <c r="V196" s="697"/>
      <c r="W196" s="697"/>
      <c r="X196" s="698"/>
    </row>
    <row r="197" spans="2:24" s="32" customFormat="1" ht="6" customHeight="1" x14ac:dyDescent="0.2">
      <c r="C197" s="59"/>
      <c r="H197" s="290"/>
      <c r="I197" s="382"/>
      <c r="J197" s="284"/>
      <c r="K197" s="284"/>
      <c r="L197" s="662"/>
      <c r="M197" s="284"/>
      <c r="O197" s="989"/>
      <c r="P197" s="987"/>
      <c r="Q197" s="702"/>
      <c r="R197" s="702"/>
      <c r="S197" s="702"/>
      <c r="T197" s="702"/>
      <c r="U197" s="702"/>
      <c r="V197" s="702"/>
      <c r="W197" s="702"/>
      <c r="X197" s="703"/>
    </row>
    <row r="198" spans="2:24" s="32" customFormat="1" ht="12" customHeight="1" x14ac:dyDescent="0.2">
      <c r="C198" s="1384" t="s">
        <v>423</v>
      </c>
      <c r="D198" s="1384"/>
      <c r="E198" s="1384"/>
      <c r="F198" s="1385">
        <v>0</v>
      </c>
      <c r="G198" s="1386"/>
      <c r="H198" s="455" t="s">
        <v>5</v>
      </c>
      <c r="I198" s="454">
        <f>J198/J$33</f>
        <v>0</v>
      </c>
      <c r="J198" s="447">
        <f>IF(J199=0,0,J199*J200)</f>
        <v>0</v>
      </c>
      <c r="K198" s="1038">
        <f>IF(K199=0,0,K199*K200)</f>
        <v>0</v>
      </c>
      <c r="L198" s="1038"/>
      <c r="M198" s="447">
        <f>IF(M199=0,0,M199*M200)</f>
        <v>0</v>
      </c>
      <c r="O198" s="959"/>
      <c r="P198" s="960"/>
      <c r="Q198" s="697"/>
      <c r="R198" s="697"/>
      <c r="S198" s="697"/>
      <c r="T198" s="697"/>
      <c r="U198" s="697"/>
      <c r="V198" s="697"/>
      <c r="W198" s="697"/>
      <c r="X198" s="698"/>
    </row>
    <row r="199" spans="2:24" s="32" customFormat="1" ht="12.75" customHeight="1" x14ac:dyDescent="0.2">
      <c r="C199" s="1040" t="s">
        <v>524</v>
      </c>
      <c r="D199" s="1040"/>
      <c r="E199" s="1040"/>
      <c r="F199" s="1040"/>
      <c r="G199" s="1041"/>
      <c r="H199" s="1042"/>
      <c r="I199" s="531">
        <v>0</v>
      </c>
      <c r="J199" s="798">
        <v>0</v>
      </c>
      <c r="K199" s="1367">
        <f>J199+J199*O199</f>
        <v>0</v>
      </c>
      <c r="L199" s="1367">
        <f>K199 +K199*O199</f>
        <v>0</v>
      </c>
      <c r="M199" s="798">
        <f>K199+K199*P199</f>
        <v>0</v>
      </c>
      <c r="O199" s="779">
        <v>0.03</v>
      </c>
      <c r="P199" s="779">
        <f>O199</f>
        <v>0.03</v>
      </c>
      <c r="Q199" s="697"/>
      <c r="R199" s="697"/>
      <c r="S199" s="697"/>
      <c r="T199" s="697"/>
      <c r="U199" s="697"/>
      <c r="V199" s="697"/>
      <c r="W199" s="697"/>
      <c r="X199" s="698"/>
    </row>
    <row r="200" spans="2:24" s="32" customFormat="1" ht="12.75" customHeight="1" x14ac:dyDescent="0.2">
      <c r="C200" s="1071" t="s">
        <v>428</v>
      </c>
      <c r="D200" s="1071"/>
      <c r="E200" s="1071"/>
      <c r="F200" s="1071"/>
      <c r="G200" s="1072"/>
      <c r="H200" s="1073"/>
      <c r="I200" s="446">
        <f>J200/J$33</f>
        <v>0</v>
      </c>
      <c r="J200" s="797">
        <v>0</v>
      </c>
      <c r="K200" s="1366">
        <f>(J200+J200*O200)*12/J$33</f>
        <v>0</v>
      </c>
      <c r="L200" s="1366" t="e">
        <f>K200*12/K$11</f>
        <v>#VALUE!</v>
      </c>
      <c r="M200" s="797">
        <f>K200+K200*P200</f>
        <v>0</v>
      </c>
      <c r="O200" s="779">
        <v>0</v>
      </c>
      <c r="P200" s="779">
        <f>O200</f>
        <v>0</v>
      </c>
      <c r="Q200" s="697"/>
      <c r="R200" s="697"/>
      <c r="S200" s="697"/>
      <c r="T200" s="697"/>
      <c r="U200" s="697"/>
      <c r="V200" s="697"/>
      <c r="W200" s="697"/>
      <c r="X200" s="698"/>
    </row>
    <row r="201" spans="2:24" s="32" customFormat="1" ht="12.75" customHeight="1" x14ac:dyDescent="0.2">
      <c r="C201" s="1218" t="s">
        <v>433</v>
      </c>
      <c r="D201" s="1071"/>
      <c r="E201" s="1071"/>
      <c r="F201" s="1071"/>
      <c r="G201" s="1072"/>
      <c r="H201" s="1073"/>
      <c r="I201" s="531">
        <v>0</v>
      </c>
      <c r="J201" s="798">
        <v>0</v>
      </c>
      <c r="K201" s="1367">
        <f>J201+J201*O201</f>
        <v>0</v>
      </c>
      <c r="L201" s="1367">
        <f>K201 +K201*O201</f>
        <v>0</v>
      </c>
      <c r="M201" s="798">
        <f>K201+K201*P201</f>
        <v>0</v>
      </c>
      <c r="O201" s="779">
        <v>0.03</v>
      </c>
      <c r="P201" s="779">
        <f>O201</f>
        <v>0.03</v>
      </c>
      <c r="Q201" s="697"/>
      <c r="R201" s="697"/>
      <c r="S201" s="697"/>
      <c r="T201" s="697"/>
      <c r="U201" s="697"/>
      <c r="V201" s="697"/>
      <c r="W201" s="697"/>
      <c r="X201" s="698"/>
    </row>
    <row r="202" spans="2:24" s="32" customFormat="1" ht="12.75" customHeight="1" x14ac:dyDescent="0.2">
      <c r="C202" s="1218" t="s">
        <v>431</v>
      </c>
      <c r="D202" s="1071"/>
      <c r="E202" s="1071"/>
      <c r="F202" s="1071"/>
      <c r="G202" s="1072"/>
      <c r="H202" s="1073"/>
      <c r="I202" s="531">
        <v>0</v>
      </c>
      <c r="J202" s="453">
        <f>IF(J201=0,0,(J198-J203)/J198)</f>
        <v>0</v>
      </c>
      <c r="K202" s="1207">
        <f t="shared" ref="K202:L202" si="35">IF(K201=0,0,(K198-K203)/K198)</f>
        <v>0</v>
      </c>
      <c r="L202" s="1207">
        <f t="shared" si="35"/>
        <v>0</v>
      </c>
      <c r="M202" s="453">
        <f>IF(M201=0,0,(M198-M203)/M198)</f>
        <v>0</v>
      </c>
      <c r="O202" s="670"/>
      <c r="P202" s="671"/>
      <c r="Q202" s="697"/>
      <c r="R202" s="697"/>
      <c r="S202" s="697"/>
      <c r="T202" s="697"/>
      <c r="U202" s="697"/>
      <c r="V202" s="697"/>
      <c r="W202" s="697"/>
      <c r="X202" s="698"/>
    </row>
    <row r="203" spans="2:24" s="32" customFormat="1" ht="12.75" customHeight="1" x14ac:dyDescent="0.2">
      <c r="C203" s="1232" t="s">
        <v>525</v>
      </c>
      <c r="D203" s="1233"/>
      <c r="E203" s="1233"/>
      <c r="F203" s="1233"/>
      <c r="G203" s="1234"/>
      <c r="H203" s="1235"/>
      <c r="I203" s="531">
        <v>0</v>
      </c>
      <c r="J203" s="454">
        <f>J200*J201</f>
        <v>0</v>
      </c>
      <c r="K203" s="1075">
        <f t="shared" ref="K203:L203" si="36">K200*K201</f>
        <v>0</v>
      </c>
      <c r="L203" s="1075" t="e">
        <f t="shared" si="36"/>
        <v>#VALUE!</v>
      </c>
      <c r="M203" s="454">
        <f>M200*M201</f>
        <v>0</v>
      </c>
      <c r="N203" s="620"/>
      <c r="O203" s="670"/>
      <c r="P203" s="671"/>
      <c r="Q203" s="697"/>
      <c r="R203" s="697"/>
      <c r="S203" s="697"/>
      <c r="T203" s="697"/>
      <c r="U203" s="697"/>
      <c r="V203" s="697"/>
      <c r="W203" s="697"/>
      <c r="X203" s="698"/>
    </row>
    <row r="204" spans="2:24" s="32" customFormat="1" ht="8.65" customHeight="1" x14ac:dyDescent="0.2">
      <c r="O204" s="695"/>
      <c r="P204" s="696"/>
      <c r="Q204" s="708"/>
      <c r="R204" s="708"/>
      <c r="S204" s="697"/>
      <c r="T204" s="708"/>
      <c r="U204" s="708"/>
      <c r="V204" s="708"/>
      <c r="W204" s="708"/>
      <c r="X204" s="709"/>
    </row>
    <row r="205" spans="2:24" s="32" customFormat="1" ht="15" customHeight="1" x14ac:dyDescent="0.2">
      <c r="B205" s="25" t="s">
        <v>0</v>
      </c>
      <c r="C205" s="464" t="s">
        <v>158</v>
      </c>
      <c r="D205" s="465" t="s">
        <v>435</v>
      </c>
      <c r="E205" s="465"/>
      <c r="F205" s="466"/>
      <c r="G205" s="466"/>
      <c r="H205" s="466"/>
      <c r="I205" s="466"/>
      <c r="J205" s="472">
        <f>J123+J128+J133+J164+J172+J180+J188+J196+J198*J202+J138+J143+J148</f>
        <v>0</v>
      </c>
      <c r="K205" s="1206">
        <f>K123+K128+K133+K164+K172+K180+K188+K196+K198*K202+K138+K143+K148</f>
        <v>0</v>
      </c>
      <c r="L205" s="1206">
        <f>L123+L128+L133+L164+L172+L180+L188+L196+L198*L202+L138+L143+L148</f>
        <v>0</v>
      </c>
      <c r="M205" s="467">
        <f>M123+M128+M133+M164+M172+M180+M188+M196+M198*M202+M138+M143+M148</f>
        <v>0</v>
      </c>
      <c r="O205" s="699"/>
      <c r="P205" s="697"/>
      <c r="Q205" s="697"/>
      <c r="R205" s="697"/>
      <c r="S205" s="697"/>
      <c r="T205" s="697"/>
      <c r="U205" s="697"/>
      <c r="V205" s="697"/>
      <c r="W205" s="697"/>
      <c r="X205" s="698"/>
    </row>
    <row r="206" spans="2:24" s="32" customFormat="1" ht="15" customHeight="1" x14ac:dyDescent="0.2">
      <c r="B206" s="25"/>
      <c r="C206" s="576" t="s">
        <v>159</v>
      </c>
      <c r="D206" s="523" t="s">
        <v>526</v>
      </c>
      <c r="E206" s="465"/>
      <c r="F206" s="466"/>
      <c r="G206" s="466"/>
      <c r="H206" s="466"/>
      <c r="I206" s="466"/>
      <c r="J206" s="472">
        <f>-(J34+J37+J42+J47+J52+J55+J59+J74+J75+J83+J87+J92+J93+J98+J101+J104+J108+J112+J113+J114+J115+J46+J38+J116)</f>
        <v>0</v>
      </c>
      <c r="K206" s="1206">
        <f>-(K34+K37+K42+K47+K52+K55+K59+K74+K75+K83+K87+K92+K93+K98+K101+K104+K108+K112+K113+K114+K115+K46+K38+K116)</f>
        <v>0</v>
      </c>
      <c r="L206" s="1206" t="e">
        <f>-(L34+L37+L42+L47+L52+L55+L59+L74+L75+L83+L87+L92+L93+L98+L101+L104+L108+L112+L113+L114+L115+L46+L38)</f>
        <v>#VALUE!</v>
      </c>
      <c r="M206" s="467">
        <f>-(M34+M37+M42+M47+M52+M55+M59+M74+M75+M83+M87+M92+M93+M98+M101+M104+M108+M112+M113+M114+M115+M46+M38+M116)</f>
        <v>0</v>
      </c>
      <c r="N206" s="31"/>
      <c r="O206" s="699"/>
      <c r="P206" s="697"/>
      <c r="Q206" s="697"/>
      <c r="R206" s="697"/>
      <c r="S206" s="697"/>
      <c r="T206" s="697"/>
      <c r="U206" s="697"/>
      <c r="V206" s="697"/>
      <c r="W206" s="697"/>
      <c r="X206" s="698"/>
    </row>
    <row r="207" spans="2:24" s="32" customFormat="1" ht="15" customHeight="1" x14ac:dyDescent="0.2">
      <c r="B207" s="25"/>
      <c r="C207" s="949" t="s">
        <v>160</v>
      </c>
      <c r="D207" s="950" t="s">
        <v>437</v>
      </c>
      <c r="E207" s="950"/>
      <c r="F207" s="951"/>
      <c r="G207" s="951"/>
      <c r="H207" s="951"/>
      <c r="I207" s="951"/>
      <c r="J207" s="952">
        <f>J205+J206</f>
        <v>0</v>
      </c>
      <c r="K207" s="1390">
        <f>K205+K206</f>
        <v>0</v>
      </c>
      <c r="L207" s="1391"/>
      <c r="M207" s="952">
        <f>M205+M206</f>
        <v>0</v>
      </c>
      <c r="O207" s="699"/>
      <c r="P207" s="697"/>
      <c r="Q207" s="697"/>
      <c r="R207" s="710"/>
      <c r="S207" s="697"/>
      <c r="T207" s="697"/>
      <c r="U207" s="697"/>
      <c r="V207" s="697"/>
      <c r="W207" s="697"/>
      <c r="X207" s="698"/>
    </row>
    <row r="208" spans="2:24" s="32" customFormat="1" ht="15" customHeight="1" x14ac:dyDescent="0.2">
      <c r="B208" s="25"/>
      <c r="C208" s="576" t="s">
        <v>161</v>
      </c>
      <c r="D208" s="523" t="s">
        <v>438</v>
      </c>
      <c r="E208" s="465"/>
      <c r="F208" s="466"/>
      <c r="G208" s="466"/>
      <c r="H208" s="466"/>
      <c r="I208" s="466"/>
      <c r="J208" s="472">
        <f>2*(-J206/J33)</f>
        <v>0</v>
      </c>
      <c r="K208" s="1206">
        <f>-2*K206/K33</f>
        <v>0</v>
      </c>
      <c r="L208" s="1206"/>
      <c r="M208" s="467">
        <f>-2*M206/M33</f>
        <v>0</v>
      </c>
      <c r="O208" s="699"/>
      <c r="P208" s="697"/>
      <c r="Q208" s="697"/>
      <c r="R208" s="697"/>
      <c r="S208" s="697"/>
      <c r="T208" s="697"/>
      <c r="U208" s="697"/>
      <c r="V208" s="697"/>
      <c r="W208" s="697"/>
      <c r="X208" s="698"/>
    </row>
    <row r="209" spans="2:24" s="30" customFormat="1" ht="15" customHeight="1" x14ac:dyDescent="0.2">
      <c r="B209" s="90"/>
      <c r="C209" s="464"/>
      <c r="D209" s="957" t="s">
        <v>169</v>
      </c>
      <c r="E209" s="523"/>
      <c r="F209" s="466"/>
      <c r="G209" s="466"/>
      <c r="H209" s="466"/>
      <c r="I209" s="466"/>
      <c r="J209" s="472">
        <f>J38</f>
        <v>0</v>
      </c>
      <c r="K209" s="1206">
        <f>K38</f>
        <v>0</v>
      </c>
      <c r="L209" s="1206"/>
      <c r="M209" s="467">
        <f>M38</f>
        <v>0</v>
      </c>
      <c r="N209" s="637"/>
      <c r="O209" s="699"/>
      <c r="P209" s="697"/>
      <c r="Q209" s="697"/>
      <c r="R209" s="710"/>
      <c r="S209" s="697"/>
      <c r="T209" s="697"/>
      <c r="U209" s="697"/>
      <c r="V209" s="697"/>
      <c r="W209" s="697"/>
      <c r="X209" s="698"/>
    </row>
    <row r="210" spans="2:24" s="32" customFormat="1" ht="6" customHeight="1" x14ac:dyDescent="0.2">
      <c r="B210" s="25"/>
      <c r="C210" s="256"/>
      <c r="D210" s="429"/>
      <c r="E210" s="429"/>
      <c r="F210" s="444"/>
      <c r="G210" s="444"/>
      <c r="H210" s="444"/>
      <c r="I210" s="444"/>
      <c r="J210" s="275"/>
      <c r="K210" s="275"/>
      <c r="L210" s="275"/>
      <c r="M210" s="275"/>
      <c r="O210" s="699"/>
      <c r="P210" s="697"/>
      <c r="Q210" s="697"/>
      <c r="R210" s="697"/>
      <c r="S210" s="697"/>
      <c r="T210" s="697"/>
      <c r="U210" s="697"/>
      <c r="V210" s="697"/>
      <c r="W210" s="697"/>
      <c r="X210" s="698"/>
    </row>
    <row r="211" spans="2:24" s="32" customFormat="1" ht="15" customHeight="1" x14ac:dyDescent="0.2">
      <c r="B211" s="25"/>
      <c r="C211" s="464" t="s">
        <v>162</v>
      </c>
      <c r="D211" s="465" t="s">
        <v>440</v>
      </c>
      <c r="E211" s="465"/>
      <c r="F211" s="466"/>
      <c r="G211" s="466"/>
      <c r="H211" s="466"/>
      <c r="I211" s="466"/>
      <c r="J211" s="472">
        <f>-'5 AT Lainat, avustukset ei alv '!F9-'5 AT Lainat, avustukset ei alv '!F5</f>
        <v>0</v>
      </c>
      <c r="K211" s="1206">
        <f>-'5 AT Lainat, avustukset ei alv '!G9-'5 AT Lainat, avustukset ei alv '!G5</f>
        <v>0</v>
      </c>
      <c r="L211" s="1206"/>
      <c r="M211" s="467">
        <f>-'5 AT Lainat, avustukset ei alv '!H9-'5 AT Lainat, avustukset ei alv '!H5</f>
        <v>0</v>
      </c>
      <c r="O211" s="699"/>
      <c r="P211" s="697"/>
      <c r="Q211" s="697"/>
      <c r="R211" s="697"/>
      <c r="S211" s="697"/>
      <c r="T211" s="697"/>
      <c r="U211" s="697"/>
      <c r="V211" s="697"/>
      <c r="W211" s="697"/>
      <c r="X211" s="698"/>
    </row>
    <row r="212" spans="2:24" s="32" customFormat="1" ht="15" customHeight="1" x14ac:dyDescent="0.2">
      <c r="B212" s="25"/>
      <c r="C212" s="464" t="s">
        <v>163</v>
      </c>
      <c r="D212" s="1053" t="s">
        <v>527</v>
      </c>
      <c r="E212" s="1053"/>
      <c r="F212" s="1053"/>
      <c r="G212" s="1053"/>
      <c r="H212" s="1053"/>
      <c r="I212" s="1076"/>
      <c r="J212" s="991">
        <f>IF(J207=0,0,J207+'3. Ekonomikalkyl ingen moms'!G27-'3. Ekonomikalkyl ingen moms'!G19+J211)</f>
        <v>0</v>
      </c>
      <c r="K212" s="1387">
        <f>IF(K207=0,0,K207+'4 AT Lainat ja avustukset alv'!H37-'4 AT Lainat ja avustukset alv'!H19+K211)</f>
        <v>0</v>
      </c>
      <c r="L212" s="1388"/>
      <c r="M212" s="991">
        <f>IF(M207=0,0,M207+'4 AT Lainat ja avustukset alv'!I37-'4 AT Lainat ja avustukset alv'!I19+M211)</f>
        <v>0</v>
      </c>
      <c r="N212" s="638"/>
      <c r="O212" s="699"/>
      <c r="P212" s="697"/>
      <c r="Q212" s="697"/>
      <c r="R212" s="697"/>
      <c r="S212" s="697"/>
      <c r="T212" s="697"/>
      <c r="U212" s="697"/>
      <c r="V212" s="697"/>
      <c r="W212" s="697"/>
      <c r="X212" s="698"/>
    </row>
    <row r="213" spans="2:24" s="32" customFormat="1" ht="15" hidden="1" customHeight="1" x14ac:dyDescent="0.2">
      <c r="B213" s="25"/>
      <c r="C213" s="464" t="s">
        <v>164</v>
      </c>
      <c r="D213" s="1053" t="s">
        <v>245</v>
      </c>
      <c r="E213" s="1053"/>
      <c r="F213" s="1053"/>
      <c r="G213" s="1053"/>
      <c r="H213" s="1053"/>
      <c r="I213" s="1076"/>
      <c r="J213" s="775">
        <f>IF(J207=0,0,J207+'4 AT Lainat ja avustukset alv'!G30-'4 AT Lainat ja avustukset alv'!G22+J211)</f>
        <v>0</v>
      </c>
      <c r="K213" s="1389">
        <f>IF(K207=0,0,K207+'4 AT Lainat ja avustukset alv'!H30-'4 AT Lainat ja avustukset alv'!H22+K211)</f>
        <v>0</v>
      </c>
      <c r="L213" s="1389">
        <f>IF(L211=0,0,L207+'4 AT Lainat ja avustukset alv'!I30-'4 AT Lainat ja avustukset alv'!I22+L211)</f>
        <v>0</v>
      </c>
      <c r="M213" s="775">
        <f>IF(M207=0,0,M207+'4 AT Lainat ja avustukset alv'!I30-'4 AT Lainat ja avustukset alv'!I22+M211)</f>
        <v>0</v>
      </c>
      <c r="N213" s="638"/>
      <c r="O213" s="699"/>
      <c r="P213" s="697"/>
      <c r="Q213" s="697"/>
      <c r="R213" s="697"/>
      <c r="S213" s="697"/>
      <c r="T213" s="697"/>
      <c r="U213" s="697"/>
      <c r="V213" s="697"/>
      <c r="W213" s="697"/>
      <c r="X213" s="698"/>
    </row>
    <row r="214" spans="2:24" s="32" customFormat="1" ht="15" hidden="1" customHeight="1" x14ac:dyDescent="0.2">
      <c r="B214" s="25"/>
      <c r="C214" s="464" t="s">
        <v>165</v>
      </c>
      <c r="D214" s="1053" t="s">
        <v>247</v>
      </c>
      <c r="E214" s="1053"/>
      <c r="F214" s="1053"/>
      <c r="G214" s="1053"/>
      <c r="H214" s="1053"/>
      <c r="I214" s="1076"/>
      <c r="J214" s="775">
        <f>IF(J207=0,0,J207+'4 AT Lainat ja avustukset alv'!G30-'4 AT Lainat ja avustukset alv'!G22+J211)</f>
        <v>0</v>
      </c>
      <c r="K214" s="1389">
        <f>IF(K207=0,0,K207+'4 AT Lainat ja avustukset alv'!H30-'4 AT Lainat ja avustukset alv'!H22+K211)</f>
        <v>0</v>
      </c>
      <c r="L214" s="1389">
        <f>IF(L207=0,0,L207+'4 AT Lainat ja avustukset alv'!I30-'4 AT Lainat ja avustukset alv'!I22+L211)</f>
        <v>0</v>
      </c>
      <c r="M214" s="776">
        <f>IF(M207=0,0,M207+'4 AT Lainat ja avustukset alv'!I30-'4 AT Lainat ja avustukset alv'!I22+M211)</f>
        <v>0</v>
      </c>
      <c r="N214" s="638"/>
      <c r="O214" s="699"/>
      <c r="P214" s="697"/>
      <c r="Q214" s="697"/>
      <c r="R214" s="697"/>
      <c r="S214" s="697"/>
      <c r="T214" s="697"/>
      <c r="U214" s="697"/>
      <c r="V214" s="697"/>
      <c r="W214" s="697"/>
      <c r="X214" s="698"/>
    </row>
    <row r="215" spans="2:24" ht="6" customHeight="1" x14ac:dyDescent="0.2">
      <c r="B215" s="23"/>
      <c r="C215" s="7"/>
      <c r="D215" s="24"/>
      <c r="E215" s="24"/>
      <c r="F215" s="12"/>
      <c r="G215" s="12"/>
      <c r="H215" s="12"/>
      <c r="I215" s="12"/>
      <c r="J215" s="275"/>
      <c r="K215" s="275"/>
      <c r="L215" s="275"/>
      <c r="M215" s="275"/>
      <c r="O215" s="712"/>
      <c r="P215" s="706"/>
      <c r="Q215" s="706"/>
      <c r="R215" s="706"/>
      <c r="S215" s="706"/>
      <c r="T215" s="706"/>
      <c r="U215" s="706"/>
      <c r="V215" s="706"/>
      <c r="W215" s="706"/>
      <c r="X215" s="711"/>
    </row>
    <row r="216" spans="2:24" ht="15" customHeight="1" x14ac:dyDescent="0.2">
      <c r="B216" s="283"/>
      <c r="C216" s="464" t="s">
        <v>164</v>
      </c>
      <c r="D216" s="465" t="s">
        <v>528</v>
      </c>
      <c r="E216" s="465"/>
      <c r="F216" s="466"/>
      <c r="G216" s="466"/>
      <c r="H216" s="466"/>
      <c r="I216" s="466"/>
      <c r="J216" s="447">
        <f>J123+J128+J133+J158+J166+J174+J138+J143+J148+J182+J190+J198</f>
        <v>0</v>
      </c>
      <c r="K216" s="1038">
        <f>K123+K128+K133+K158+K166+K174+K138+K143+K148+K182+K190+K198</f>
        <v>0</v>
      </c>
      <c r="L216" s="1038"/>
      <c r="M216" s="492">
        <f>M123+M128+M133+M158+M166+M174+M138+M143+M148+M182+M190+M198</f>
        <v>0</v>
      </c>
      <c r="O216" s="712"/>
      <c r="P216" s="706"/>
      <c r="Q216" s="706"/>
      <c r="R216" s="706"/>
      <c r="S216" s="706"/>
      <c r="T216" s="706"/>
      <c r="U216" s="706"/>
      <c r="V216" s="706"/>
      <c r="W216" s="706"/>
      <c r="X216" s="711"/>
    </row>
    <row r="217" spans="2:24" ht="15" customHeight="1" x14ac:dyDescent="0.2">
      <c r="B217" s="23"/>
      <c r="C217" s="576" t="s">
        <v>165</v>
      </c>
      <c r="D217" s="523" t="s">
        <v>529</v>
      </c>
      <c r="E217" s="465"/>
      <c r="F217" s="466"/>
      <c r="G217" s="466"/>
      <c r="H217" s="466"/>
      <c r="I217" s="466"/>
      <c r="J217" s="472"/>
      <c r="K217" s="1206"/>
      <c r="L217" s="1206"/>
      <c r="M217" s="467"/>
      <c r="O217" s="712"/>
      <c r="P217" s="706"/>
      <c r="Q217" s="706"/>
      <c r="R217" s="706"/>
      <c r="S217" s="706"/>
      <c r="T217" s="706"/>
      <c r="U217" s="706"/>
      <c r="V217" s="706"/>
      <c r="W217" s="706"/>
      <c r="X217" s="711"/>
    </row>
    <row r="218" spans="2:24" ht="15" customHeight="1" x14ac:dyDescent="0.2">
      <c r="B218" s="23"/>
      <c r="C218" s="464" t="s">
        <v>166</v>
      </c>
      <c r="D218" s="465" t="s">
        <v>530</v>
      </c>
      <c r="E218" s="465"/>
      <c r="F218" s="466"/>
      <c r="G218" s="466"/>
      <c r="H218" s="466"/>
      <c r="I218" s="466"/>
      <c r="J218" s="447">
        <f>SUM(J216:J217)</f>
        <v>0</v>
      </c>
      <c r="K218" s="1038">
        <f>SUM(K216:K217)</f>
        <v>0</v>
      </c>
      <c r="L218" s="1038"/>
      <c r="M218" s="492">
        <f>SUM(M216:M217)</f>
        <v>0</v>
      </c>
      <c r="O218" s="712"/>
      <c r="P218" s="713"/>
      <c r="Q218" s="706"/>
      <c r="R218" s="706"/>
      <c r="S218" s="706"/>
      <c r="T218" s="706"/>
      <c r="U218" s="706"/>
      <c r="V218" s="706"/>
      <c r="W218" s="706"/>
      <c r="X218" s="711"/>
    </row>
    <row r="219" spans="2:24" s="32" customFormat="1" ht="15" customHeight="1" x14ac:dyDescent="0.2">
      <c r="B219" s="256"/>
      <c r="C219" s="464"/>
      <c r="D219" s="953" t="s">
        <v>447</v>
      </c>
      <c r="E219" s="953"/>
      <c r="F219" s="954"/>
      <c r="G219" s="954"/>
      <c r="H219" s="954"/>
      <c r="I219" s="954"/>
      <c r="J219" s="955">
        <f>J199*J200</f>
        <v>0</v>
      </c>
      <c r="K219" s="1392">
        <f>K199*K200</f>
        <v>0</v>
      </c>
      <c r="L219" s="1392"/>
      <c r="M219" s="956">
        <f>M199*M200</f>
        <v>0</v>
      </c>
      <c r="O219" s="714"/>
      <c r="P219" s="700"/>
      <c r="Q219" s="700"/>
      <c r="R219" s="700"/>
      <c r="S219" s="700"/>
      <c r="T219" s="700"/>
      <c r="U219" s="700"/>
      <c r="V219" s="700"/>
      <c r="W219" s="700"/>
      <c r="X219" s="701"/>
    </row>
    <row r="220" spans="2:24" s="32" customFormat="1" ht="15" customHeight="1" x14ac:dyDescent="0.2">
      <c r="B220" s="256"/>
      <c r="C220" s="464"/>
      <c r="D220" s="465" t="s">
        <v>448</v>
      </c>
      <c r="E220" s="523"/>
      <c r="F220" s="581"/>
      <c r="G220" s="581"/>
      <c r="H220" s="581"/>
      <c r="I220" s="581"/>
      <c r="J220" s="780">
        <v>1</v>
      </c>
      <c r="K220" s="1301">
        <f>J220</f>
        <v>1</v>
      </c>
      <c r="L220" s="1301"/>
      <c r="M220" s="801">
        <f>K220</f>
        <v>1</v>
      </c>
    </row>
    <row r="221" spans="2:24" ht="14.1" customHeight="1" x14ac:dyDescent="0.2">
      <c r="B221" s="7"/>
      <c r="C221" s="464"/>
      <c r="D221" s="465" t="s">
        <v>451</v>
      </c>
      <c r="E221" s="523"/>
      <c r="F221" s="581"/>
      <c r="G221" s="581"/>
      <c r="H221" s="581"/>
      <c r="I221" s="581"/>
      <c r="J221" s="780">
        <v>52</v>
      </c>
      <c r="K221" s="1301">
        <f>J221</f>
        <v>52</v>
      </c>
      <c r="L221" s="1301"/>
      <c r="M221" s="801">
        <f>K221</f>
        <v>52</v>
      </c>
    </row>
    <row r="222" spans="2:24" ht="14.1" customHeight="1" x14ac:dyDescent="0.2">
      <c r="B222" s="7"/>
      <c r="C222" s="464" t="s">
        <v>0</v>
      </c>
      <c r="D222" s="465" t="s">
        <v>449</v>
      </c>
      <c r="E222" s="523"/>
      <c r="F222" s="581"/>
      <c r="G222" s="581"/>
      <c r="H222" s="581"/>
      <c r="I222" s="581"/>
      <c r="J222" s="780">
        <v>5</v>
      </c>
      <c r="K222" s="1301">
        <f>J222</f>
        <v>5</v>
      </c>
      <c r="L222" s="1301"/>
      <c r="M222" s="801">
        <f>K222</f>
        <v>5</v>
      </c>
    </row>
    <row r="223" spans="2:24" ht="14.1" customHeight="1" x14ac:dyDescent="0.2">
      <c r="B223" s="7"/>
      <c r="C223" s="464"/>
      <c r="D223" s="525" t="s">
        <v>450</v>
      </c>
      <c r="E223" s="953"/>
      <c r="F223" s="954"/>
      <c r="G223" s="954"/>
      <c r="H223" s="954"/>
      <c r="I223" s="954"/>
      <c r="J223" s="955">
        <f>J218/(J221*J222)</f>
        <v>0</v>
      </c>
      <c r="K223" s="1392">
        <f>K218/(K221*K222)</f>
        <v>0</v>
      </c>
      <c r="L223" s="1392" t="e">
        <f>L218/(L221*L222)</f>
        <v>#DIV/0!</v>
      </c>
      <c r="M223" s="956">
        <f>M218/(M221*M222)</f>
        <v>0</v>
      </c>
    </row>
    <row r="225" spans="3:13" x14ac:dyDescent="0.2">
      <c r="C225" s="569" t="s">
        <v>0</v>
      </c>
      <c r="D225" s="1127" t="str">
        <f>Startsidan!E40</f>
        <v>Business Kristinestad | Dynamo Närpes</v>
      </c>
      <c r="E225" s="1127"/>
      <c r="F225" s="1127"/>
      <c r="G225" s="1127"/>
      <c r="H225" s="1127"/>
      <c r="I225" s="1127"/>
    </row>
    <row r="227" spans="3:13" ht="18" customHeight="1" x14ac:dyDescent="0.2">
      <c r="D227" s="2">
        <f>'1. Ekonomikalkyl'!D227</f>
        <v>0</v>
      </c>
    </row>
    <row r="228" spans="3:13" ht="19.350000000000001" customHeight="1" x14ac:dyDescent="0.2">
      <c r="D228" s="1127" t="s">
        <v>531</v>
      </c>
      <c r="E228" s="1127"/>
      <c r="F228" s="1127"/>
      <c r="G228" s="1127"/>
      <c r="H228" s="1127"/>
      <c r="I228" s="1127"/>
      <c r="J228" s="1127"/>
      <c r="K228" s="1127"/>
      <c r="L228" s="1127"/>
      <c r="M228" s="1127"/>
    </row>
    <row r="229" spans="3:13" x14ac:dyDescent="0.2">
      <c r="D229" s="1205" t="s">
        <v>532</v>
      </c>
      <c r="E229" s="1393"/>
      <c r="F229" s="1393"/>
      <c r="G229" s="1393"/>
      <c r="H229" s="1205"/>
      <c r="I229" s="1205"/>
      <c r="J229" s="1205"/>
      <c r="K229" s="1205"/>
      <c r="L229" s="1205"/>
      <c r="M229" s="1205"/>
    </row>
    <row r="230" spans="3:13" x14ac:dyDescent="0.2">
      <c r="D230" s="1205" t="s">
        <v>533</v>
      </c>
      <c r="E230" s="1205"/>
      <c r="F230" s="1205"/>
      <c r="G230" s="1205"/>
      <c r="H230" s="1205"/>
      <c r="I230" s="1205"/>
      <c r="J230" s="1205"/>
      <c r="K230" s="1205"/>
      <c r="L230" s="1205"/>
      <c r="M230" s="1205"/>
    </row>
    <row r="233" spans="3:13" hidden="1" x14ac:dyDescent="0.2">
      <c r="C233" s="12"/>
      <c r="D233" t="s">
        <v>234</v>
      </c>
      <c r="J233">
        <f>J159*J160+J167*J168+J175*J176+J183*J184+J191*J192</f>
        <v>0</v>
      </c>
      <c r="K233" s="1061">
        <f>K159*K160+K167*K168+K175*K176+K183*K184+K191*K192</f>
        <v>0</v>
      </c>
      <c r="L233" s="1061"/>
      <c r="M233">
        <f>M159*M160+M167*M168+M175*M176+M183*M184+M191*M192</f>
        <v>0</v>
      </c>
    </row>
    <row r="234" spans="3:13" hidden="1" x14ac:dyDescent="0.2">
      <c r="D234" s="443" t="s">
        <v>216</v>
      </c>
      <c r="E234" s="443"/>
      <c r="F234" s="443"/>
      <c r="G234" s="443"/>
      <c r="H234" s="443"/>
      <c r="I234" s="443"/>
      <c r="J234" s="9">
        <f>J158+J166+J174+J182+J190+J148+J143+J138+J133+J128+J123</f>
        <v>0</v>
      </c>
      <c r="K234" s="1257">
        <f>K158+K166+K174+K182+K190+K148+K143+K138+K133+K128+K123</f>
        <v>0</v>
      </c>
      <c r="L234" s="1257"/>
      <c r="M234" s="9">
        <f>M158+M166+M174+M182+M190+M148+M143+M138+M133+M128+M123</f>
        <v>0</v>
      </c>
    </row>
    <row r="235" spans="3:13" hidden="1" x14ac:dyDescent="0.2">
      <c r="C235" s="12"/>
      <c r="D235" s="444" t="s">
        <v>195</v>
      </c>
      <c r="E235" s="444"/>
      <c r="F235" s="444"/>
      <c r="G235" s="444"/>
      <c r="H235" s="444"/>
      <c r="I235" s="444"/>
      <c r="J235" s="365">
        <f>J194*J192+J186*J184+J178*J176+J168*J170+J160*J162</f>
        <v>0</v>
      </c>
      <c r="K235" s="1056">
        <f>K194*K192+K186*K184+K178*K176+K168*K170+K160*K162</f>
        <v>0</v>
      </c>
      <c r="L235" s="1056"/>
      <c r="M235" s="365">
        <f>M194*M192+M186*M184+M178*M176+M168*M170+M160*M162</f>
        <v>0</v>
      </c>
    </row>
    <row r="236" spans="3:13" hidden="1" x14ac:dyDescent="0.2">
      <c r="C236" s="12"/>
      <c r="D236" s="442" t="s">
        <v>196</v>
      </c>
      <c r="E236" s="442"/>
      <c r="F236" s="442"/>
      <c r="G236" s="442"/>
      <c r="H236" s="442"/>
      <c r="I236" s="442"/>
      <c r="J236" s="366">
        <f>IF(J234=0,0,J235/J234)</f>
        <v>0</v>
      </c>
      <c r="K236" s="1258">
        <f t="shared" ref="K236:M236" si="37">IF(K234=0,0,K235/K234)</f>
        <v>0</v>
      </c>
      <c r="L236" s="1258"/>
      <c r="M236" s="366">
        <f t="shared" si="37"/>
        <v>0</v>
      </c>
    </row>
    <row r="237" spans="3:13" hidden="1" x14ac:dyDescent="0.2">
      <c r="C237" s="12"/>
      <c r="D237" s="442" t="s">
        <v>212</v>
      </c>
      <c r="E237" s="442"/>
      <c r="F237" s="442"/>
      <c r="G237" s="442"/>
      <c r="H237" s="442"/>
      <c r="I237" s="442"/>
      <c r="J237" s="370">
        <f>J161*J160+J168*J169+J176*J177+J184*J185+J192*J193</f>
        <v>0</v>
      </c>
      <c r="K237" s="1264">
        <f>K161*K160+K168*K169+K176*K177+K184*K185+K192*K193</f>
        <v>0</v>
      </c>
      <c r="L237" s="1264"/>
      <c r="M237" s="370">
        <f>M161*M160+M168*M169+M176*M177+M184*M185+M192*M193</f>
        <v>0</v>
      </c>
    </row>
    <row r="238" spans="3:13" hidden="1" x14ac:dyDescent="0.2">
      <c r="C238" s="12"/>
      <c r="D238" s="445" t="s">
        <v>279</v>
      </c>
      <c r="E238" s="444"/>
      <c r="F238" s="444"/>
      <c r="G238" s="444"/>
      <c r="H238" s="444"/>
      <c r="I238" s="444"/>
      <c r="J238" s="365">
        <f>J203</f>
        <v>0</v>
      </c>
      <c r="K238" s="1056">
        <f>K203</f>
        <v>0</v>
      </c>
      <c r="L238" s="1056"/>
      <c r="M238" s="365">
        <f>M203</f>
        <v>0</v>
      </c>
    </row>
    <row r="239" spans="3:13" hidden="1" x14ac:dyDescent="0.2">
      <c r="C239" s="12"/>
      <c r="D239" s="442" t="s">
        <v>242</v>
      </c>
      <c r="E239" s="442"/>
      <c r="F239" s="442"/>
      <c r="G239" s="442"/>
      <c r="H239" s="442"/>
      <c r="I239" s="442"/>
      <c r="J239" s="9">
        <f>SUM(J237:J238)</f>
        <v>0</v>
      </c>
      <c r="K239" s="1257">
        <f t="shared" ref="K239:M239" si="38">SUM(K237:K238)</f>
        <v>0</v>
      </c>
      <c r="L239" s="1257"/>
      <c r="M239" s="9">
        <f t="shared" si="38"/>
        <v>0</v>
      </c>
    </row>
    <row r="240" spans="3:13" hidden="1" x14ac:dyDescent="0.2">
      <c r="C240" s="12"/>
      <c r="D240" s="442" t="s">
        <v>213</v>
      </c>
      <c r="E240" s="442"/>
      <c r="F240" s="442"/>
      <c r="G240" s="442"/>
      <c r="H240" s="442"/>
      <c r="I240" s="442"/>
      <c r="J240" s="358">
        <f>IF(J239=0,0,J239/J218)</f>
        <v>0</v>
      </c>
      <c r="K240" s="1259">
        <f>IF(K239=0,0,K239/K218)</f>
        <v>0</v>
      </c>
      <c r="L240" s="1259"/>
      <c r="M240" s="358">
        <f>IF(M239=0,0,M239/M218)</f>
        <v>0</v>
      </c>
    </row>
  </sheetData>
  <sheetProtection algorithmName="SHA-512" hashValue="zRSt25fkihQ0A7MCyq9VrT3e6GLve+bmcp5mp8hmBI5rxxE3mOD7iGt2WgBIxpowpQcCXFHc++T2+e718V3/OQ==" saltValue="L5PvX13kLnkq8Bqnw/rUCQ==" spinCount="100000" sheet="1" objects="1" scenarios="1" selectLockedCells="1"/>
  <mergeCells count="383">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K90:L90"/>
    <mergeCell ref="D91:H91"/>
    <mergeCell ref="K91:L91"/>
    <mergeCell ref="K92:L92"/>
    <mergeCell ref="K93:L93"/>
    <mergeCell ref="D94:H94"/>
    <mergeCell ref="K94:L94"/>
    <mergeCell ref="K86:L86"/>
    <mergeCell ref="D87:H87"/>
    <mergeCell ref="K87:L87"/>
    <mergeCell ref="D88:H88"/>
    <mergeCell ref="K88:L88"/>
    <mergeCell ref="K89:L89"/>
    <mergeCell ref="K82:L82"/>
    <mergeCell ref="D83:H83"/>
    <mergeCell ref="K83:L83"/>
    <mergeCell ref="D84:H84"/>
    <mergeCell ref="K84:L84"/>
    <mergeCell ref="K85:L85"/>
    <mergeCell ref="K76:L76"/>
    <mergeCell ref="K77:L77"/>
    <mergeCell ref="K78:L78"/>
    <mergeCell ref="K79:L79"/>
    <mergeCell ref="K80:L80"/>
    <mergeCell ref="K81:L81"/>
    <mergeCell ref="K73:L73"/>
    <mergeCell ref="D74:G74"/>
    <mergeCell ref="K74:L74"/>
    <mergeCell ref="D75:H75"/>
    <mergeCell ref="K75:L75"/>
    <mergeCell ref="K67:L67"/>
    <mergeCell ref="K68:L68"/>
    <mergeCell ref="K69:L69"/>
    <mergeCell ref="K70:L70"/>
    <mergeCell ref="D73:H73"/>
    <mergeCell ref="B71:B72"/>
    <mergeCell ref="D71:H72"/>
    <mergeCell ref="I71:J71"/>
    <mergeCell ref="K71:L71"/>
    <mergeCell ref="K72:L72"/>
    <mergeCell ref="K61:L61"/>
    <mergeCell ref="K62:L62"/>
    <mergeCell ref="K63:L63"/>
    <mergeCell ref="K64:L64"/>
    <mergeCell ref="K65:L65"/>
    <mergeCell ref="K66:L66"/>
    <mergeCell ref="K56:L56"/>
    <mergeCell ref="K57:L57"/>
    <mergeCell ref="K58:L58"/>
    <mergeCell ref="D59:H59"/>
    <mergeCell ref="K59:L59"/>
    <mergeCell ref="K60:L60"/>
    <mergeCell ref="K51:L51"/>
    <mergeCell ref="D52:H52"/>
    <mergeCell ref="K52:L52"/>
    <mergeCell ref="K53:L53"/>
    <mergeCell ref="K54:L54"/>
    <mergeCell ref="D55:H55"/>
    <mergeCell ref="K55:L55"/>
    <mergeCell ref="O46:P46"/>
    <mergeCell ref="D47:H47"/>
    <mergeCell ref="K47:L47"/>
    <mergeCell ref="K48:L48"/>
    <mergeCell ref="K49:L49"/>
    <mergeCell ref="K50:L50"/>
    <mergeCell ref="K43:L43"/>
    <mergeCell ref="K44:L44"/>
    <mergeCell ref="K45:L45"/>
    <mergeCell ref="D46:E46"/>
    <mergeCell ref="F46:G46"/>
    <mergeCell ref="K46:L46"/>
    <mergeCell ref="D38:H38"/>
    <mergeCell ref="K38:L38"/>
    <mergeCell ref="K39:L39"/>
    <mergeCell ref="K40:L40"/>
    <mergeCell ref="K41:L41"/>
    <mergeCell ref="D42:H42"/>
    <mergeCell ref="K42:L42"/>
    <mergeCell ref="D34:H34"/>
    <mergeCell ref="K34:L34"/>
    <mergeCell ref="K35:L35"/>
    <mergeCell ref="K36:L36"/>
    <mergeCell ref="K37:L37"/>
    <mergeCell ref="D31:H32"/>
    <mergeCell ref="I31:J31"/>
    <mergeCell ref="K31:L31"/>
    <mergeCell ref="K32:L32"/>
    <mergeCell ref="K33:L33"/>
    <mergeCell ref="D27:E27"/>
    <mergeCell ref="F27:G27"/>
    <mergeCell ref="H27:J27"/>
    <mergeCell ref="K27:L27"/>
    <mergeCell ref="C29:E29"/>
    <mergeCell ref="F29:G29"/>
    <mergeCell ref="H29:L29"/>
    <mergeCell ref="C24:E24"/>
    <mergeCell ref="F24:G24"/>
    <mergeCell ref="H24:L24"/>
    <mergeCell ref="A25:B30"/>
    <mergeCell ref="C25:E25"/>
    <mergeCell ref="F25:G25"/>
    <mergeCell ref="H25:L25"/>
    <mergeCell ref="C26:E26"/>
    <mergeCell ref="F26:G26"/>
    <mergeCell ref="H26:L26"/>
    <mergeCell ref="D30:M30"/>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B9:B10"/>
    <mergeCell ref="C5:E5"/>
    <mergeCell ref="J4:M5"/>
    <mergeCell ref="C10:D10"/>
    <mergeCell ref="F10:G10"/>
    <mergeCell ref="H10:J10"/>
    <mergeCell ref="K10:L10"/>
    <mergeCell ref="D2:M2"/>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&amp;C&amp;"Arial,Lihavoitu"&amp;8FT4 NYFÖRETAGETS EKONOMIPLAN (omsättning mindre än 20 000 euro)</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F9" sqref="F9"/>
    </sheetView>
  </sheetViews>
  <sheetFormatPr defaultRowHeight="12.75" x14ac:dyDescent="0.2"/>
  <cols>
    <col min="1" max="1" width="7.140625" customWidth="1"/>
    <col min="2" max="2" width="4.2851562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394"/>
    </row>
    <row r="4" spans="1:24" ht="11.65" customHeight="1" x14ac:dyDescent="0.2">
      <c r="A4" s="1394"/>
      <c r="B4" s="585"/>
    </row>
    <row r="5" spans="1:24" ht="17.100000000000001" customHeight="1" x14ac:dyDescent="0.2">
      <c r="B5" s="919" t="str">
        <f>'1. Ekonomikalkyl'!$C$5</f>
        <v xml:space="preserve">  </v>
      </c>
      <c r="C5" s="920"/>
      <c r="D5" s="920"/>
      <c r="E5" s="920"/>
      <c r="F5" s="921" t="s">
        <v>572</v>
      </c>
      <c r="G5" s="921"/>
      <c r="H5" s="921"/>
      <c r="I5" s="921"/>
      <c r="J5" s="921"/>
      <c r="K5" s="921"/>
      <c r="L5" s="921"/>
      <c r="M5" s="921"/>
      <c r="N5" s="921"/>
      <c r="O5" s="921"/>
      <c r="U5" s="1280" t="s">
        <v>175</v>
      </c>
    </row>
    <row r="6" spans="1:24" ht="10.15" customHeight="1" x14ac:dyDescent="0.2">
      <c r="B6" s="920"/>
      <c r="C6" s="920"/>
      <c r="D6" s="920"/>
      <c r="E6" s="920"/>
      <c r="U6" s="1280"/>
    </row>
    <row r="7" spans="1:24" ht="19.899999999999999" customHeight="1" x14ac:dyDescent="0.2">
      <c r="B7" s="651"/>
      <c r="C7" s="1291" t="s">
        <v>464</v>
      </c>
      <c r="D7" s="1291"/>
      <c r="E7" s="1291"/>
      <c r="F7" s="619"/>
      <c r="G7" s="1011" t="s">
        <v>452</v>
      </c>
      <c r="H7" s="1012" t="s">
        <v>453</v>
      </c>
      <c r="I7" s="1012" t="s">
        <v>454</v>
      </c>
      <c r="J7" s="1012" t="s">
        <v>455</v>
      </c>
      <c r="K7" s="1012" t="s">
        <v>456</v>
      </c>
      <c r="L7" s="1012" t="s">
        <v>457</v>
      </c>
      <c r="M7" s="1012" t="s">
        <v>458</v>
      </c>
      <c r="N7" s="1012" t="s">
        <v>459</v>
      </c>
      <c r="O7" s="1012" t="s">
        <v>460</v>
      </c>
      <c r="P7" s="1012" t="s">
        <v>461</v>
      </c>
      <c r="Q7" s="1012" t="s">
        <v>462</v>
      </c>
      <c r="R7" s="1012" t="s">
        <v>463</v>
      </c>
      <c r="S7" s="409" t="s">
        <v>511</v>
      </c>
      <c r="U7" s="1281"/>
      <c r="V7" s="597"/>
      <c r="W7" s="256"/>
      <c r="X7" s="256"/>
    </row>
    <row r="8" spans="1:24" ht="12.6" customHeight="1" x14ac:dyDescent="0.2">
      <c r="B8" s="652" t="s">
        <v>542</v>
      </c>
      <c r="C8" s="1292" t="s">
        <v>465</v>
      </c>
      <c r="D8" s="1292"/>
      <c r="E8" s="1292"/>
      <c r="F8" s="1293"/>
      <c r="G8" s="618">
        <f>'1. Ekonomikalkyl'!M22</f>
        <v>0</v>
      </c>
      <c r="H8" s="390">
        <f t="shared" ref="H8:R8" si="0">G56</f>
        <v>0</v>
      </c>
      <c r="I8" s="390">
        <f t="shared" si="0"/>
        <v>0</v>
      </c>
      <c r="J8" s="390">
        <f t="shared" si="0"/>
        <v>0</v>
      </c>
      <c r="K8" s="390">
        <f t="shared" si="0"/>
        <v>0</v>
      </c>
      <c r="L8" s="390">
        <f t="shared" si="0"/>
        <v>0</v>
      </c>
      <c r="M8" s="390">
        <f t="shared" si="0"/>
        <v>0</v>
      </c>
      <c r="N8" s="390">
        <f t="shared" si="0"/>
        <v>0</v>
      </c>
      <c r="O8" s="390">
        <f t="shared" si="0"/>
        <v>0</v>
      </c>
      <c r="P8" s="390">
        <f t="shared" si="0"/>
        <v>0</v>
      </c>
      <c r="Q8" s="390">
        <f t="shared" si="0"/>
        <v>0</v>
      </c>
      <c r="R8" s="390">
        <f t="shared" si="0"/>
        <v>0</v>
      </c>
      <c r="S8" s="294"/>
      <c r="U8" s="369"/>
      <c r="V8" s="598"/>
      <c r="W8" s="305"/>
      <c r="X8" s="305"/>
    </row>
    <row r="9" spans="1:24" ht="12.6" customHeight="1" x14ac:dyDescent="0.2">
      <c r="B9" s="653" t="s">
        <v>543</v>
      </c>
      <c r="C9" s="1274" t="s">
        <v>466</v>
      </c>
      <c r="D9" s="1274"/>
      <c r="E9" s="1276"/>
      <c r="F9" s="925">
        <v>0.5</v>
      </c>
      <c r="G9" s="297">
        <f t="shared" ref="G9:R9" si="1">$U9*G10</f>
        <v>0</v>
      </c>
      <c r="H9" s="297">
        <f t="shared" si="1"/>
        <v>0</v>
      </c>
      <c r="I9" s="297">
        <f t="shared" si="1"/>
        <v>0</v>
      </c>
      <c r="J9" s="297">
        <f t="shared" si="1"/>
        <v>0</v>
      </c>
      <c r="K9" s="297">
        <f t="shared" si="1"/>
        <v>0</v>
      </c>
      <c r="L9" s="297">
        <f t="shared" si="1"/>
        <v>0</v>
      </c>
      <c r="M9" s="297">
        <f t="shared" si="1"/>
        <v>0</v>
      </c>
      <c r="N9" s="297">
        <f t="shared" si="1"/>
        <v>0</v>
      </c>
      <c r="O9" s="297">
        <f t="shared" si="1"/>
        <v>0</v>
      </c>
      <c r="P9" s="297">
        <f t="shared" si="1"/>
        <v>0</v>
      </c>
      <c r="Q9" s="297">
        <f t="shared" si="1"/>
        <v>0</v>
      </c>
      <c r="R9" s="297">
        <f t="shared" si="1"/>
        <v>0</v>
      </c>
      <c r="S9" s="295">
        <f t="shared" ref="S9:S15" si="2">SUM(G9:R9)</f>
        <v>0</v>
      </c>
      <c r="U9" s="297">
        <f>F9*U12</f>
        <v>0</v>
      </c>
      <c r="V9" s="599" t="s">
        <v>219</v>
      </c>
      <c r="W9" s="306"/>
      <c r="X9" s="306"/>
    </row>
    <row r="10" spans="1:24" ht="12.6" customHeight="1" x14ac:dyDescent="0.2">
      <c r="B10" s="653"/>
      <c r="C10" s="367"/>
      <c r="D10" s="1274" t="s">
        <v>467</v>
      </c>
      <c r="E10" s="1274"/>
      <c r="F10" s="1276"/>
      <c r="G10" s="926">
        <v>0.04</v>
      </c>
      <c r="H10" s="926">
        <v>0.06</v>
      </c>
      <c r="I10" s="926">
        <v>0.06</v>
      </c>
      <c r="J10" s="926">
        <v>7.0000000000000007E-2</v>
      </c>
      <c r="K10" s="926">
        <v>0.08</v>
      </c>
      <c r="L10" s="926">
        <v>0.09</v>
      </c>
      <c r="M10" s="926">
        <v>0.1</v>
      </c>
      <c r="N10" s="926">
        <v>0.1</v>
      </c>
      <c r="O10" s="926">
        <v>0.1</v>
      </c>
      <c r="P10" s="926">
        <v>0.1</v>
      </c>
      <c r="Q10" s="926">
        <v>0.1</v>
      </c>
      <c r="R10" s="926">
        <v>0.1</v>
      </c>
      <c r="S10" s="296">
        <f t="shared" si="2"/>
        <v>0.99999999999999989</v>
      </c>
      <c r="T10" s="563" t="str">
        <f>IF(F9=0," ",IF(S10=100%," ","VIRHE!"))</f>
        <v xml:space="preserve"> </v>
      </c>
      <c r="U10" s="600"/>
    </row>
    <row r="11" spans="1:24" ht="12.6" customHeight="1" x14ac:dyDescent="0.2">
      <c r="B11" s="653" t="s">
        <v>544</v>
      </c>
      <c r="C11" s="1274" t="s">
        <v>468</v>
      </c>
      <c r="D11" s="1274"/>
      <c r="E11" s="1274"/>
      <c r="F11" s="1276"/>
      <c r="G11" s="297">
        <f t="shared" ref="G11:R11" si="3">$U11*G12</f>
        <v>0</v>
      </c>
      <c r="H11" s="297">
        <f t="shared" si="3"/>
        <v>0</v>
      </c>
      <c r="I11" s="297">
        <f t="shared" si="3"/>
        <v>0</v>
      </c>
      <c r="J11" s="297">
        <f t="shared" si="3"/>
        <v>0</v>
      </c>
      <c r="K11" s="297">
        <f t="shared" si="3"/>
        <v>0</v>
      </c>
      <c r="L11" s="297">
        <f t="shared" si="3"/>
        <v>0</v>
      </c>
      <c r="M11" s="297">
        <f t="shared" si="3"/>
        <v>0</v>
      </c>
      <c r="N11" s="297">
        <f t="shared" si="3"/>
        <v>0</v>
      </c>
      <c r="O11" s="297">
        <f t="shared" si="3"/>
        <v>0</v>
      </c>
      <c r="P11" s="297">
        <f t="shared" si="3"/>
        <v>0</v>
      </c>
      <c r="Q11" s="297">
        <f t="shared" si="3"/>
        <v>0</v>
      </c>
      <c r="R11" s="297">
        <f t="shared" si="3"/>
        <v>0</v>
      </c>
      <c r="S11" s="297">
        <f t="shared" si="2"/>
        <v>0</v>
      </c>
      <c r="T11" s="564"/>
      <c r="U11" s="297">
        <f>U12-U9</f>
        <v>0</v>
      </c>
      <c r="V11" s="206" t="s">
        <v>220</v>
      </c>
      <c r="W11" s="272"/>
      <c r="X11" s="272"/>
    </row>
    <row r="12" spans="1:24" ht="12.6" customHeight="1" x14ac:dyDescent="0.2">
      <c r="B12" s="653"/>
      <c r="C12" s="367"/>
      <c r="D12" s="1274" t="s">
        <v>467</v>
      </c>
      <c r="E12" s="1274"/>
      <c r="F12" s="1276"/>
      <c r="G12" s="926">
        <v>0.04</v>
      </c>
      <c r="H12" s="926">
        <v>0.06</v>
      </c>
      <c r="I12" s="926">
        <v>0.06</v>
      </c>
      <c r="J12" s="926">
        <v>7.0000000000000007E-2</v>
      </c>
      <c r="K12" s="926">
        <v>0.08</v>
      </c>
      <c r="L12" s="926">
        <v>0.09</v>
      </c>
      <c r="M12" s="926">
        <v>0.1</v>
      </c>
      <c r="N12" s="926">
        <v>0.1</v>
      </c>
      <c r="O12" s="926">
        <v>0.1</v>
      </c>
      <c r="P12" s="926">
        <v>0.1</v>
      </c>
      <c r="Q12" s="926">
        <v>0.1</v>
      </c>
      <c r="R12" s="926">
        <v>0.1</v>
      </c>
      <c r="S12" s="296">
        <f t="shared" si="2"/>
        <v>0.99999999999999989</v>
      </c>
      <c r="T12" s="563" t="str">
        <f>IF(F9=100%," ",IF(S12=100%," ","VIRHE!"))</f>
        <v xml:space="preserve"> </v>
      </c>
      <c r="U12" s="297">
        <f>12*'3. Ekonomikalkyl ingen moms'!J218/'3. Ekonomikalkyl ingen moms'!J33</f>
        <v>0</v>
      </c>
      <c r="V12" s="206" t="s">
        <v>221</v>
      </c>
      <c r="W12" s="272"/>
      <c r="X12" s="272"/>
    </row>
    <row r="13" spans="1:24" ht="12.6" customHeight="1" x14ac:dyDescent="0.2">
      <c r="B13" s="653"/>
      <c r="C13" s="367"/>
      <c r="D13" s="386" t="s">
        <v>469</v>
      </c>
      <c r="E13" s="927">
        <v>14</v>
      </c>
      <c r="F13" s="400" t="s">
        <v>470</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2"/>
        <v>0</v>
      </c>
      <c r="U13" s="600"/>
    </row>
    <row r="14" spans="1:24" ht="12.6" customHeight="1" x14ac:dyDescent="0.2">
      <c r="B14" s="653" t="s">
        <v>545</v>
      </c>
      <c r="C14" s="1274" t="s">
        <v>471</v>
      </c>
      <c r="D14" s="1275"/>
      <c r="E14" s="1275"/>
      <c r="F14" s="387"/>
      <c r="G14" s="928">
        <f>U14</f>
        <v>0</v>
      </c>
      <c r="H14" s="928">
        <v>0</v>
      </c>
      <c r="I14" s="928">
        <v>0</v>
      </c>
      <c r="J14" s="928">
        <v>0</v>
      </c>
      <c r="K14" s="928">
        <v>0</v>
      </c>
      <c r="L14" s="928">
        <v>0</v>
      </c>
      <c r="M14" s="928">
        <v>0</v>
      </c>
      <c r="N14" s="928">
        <v>0</v>
      </c>
      <c r="O14" s="928">
        <v>0</v>
      </c>
      <c r="P14" s="928">
        <v>0</v>
      </c>
      <c r="Q14" s="928">
        <v>0</v>
      </c>
      <c r="R14" s="928">
        <v>0</v>
      </c>
      <c r="S14" s="295">
        <f t="shared" si="2"/>
        <v>0</v>
      </c>
      <c r="U14" s="297">
        <f>'3. Ekonomikalkyl ingen moms'!M10</f>
        <v>0</v>
      </c>
    </row>
    <row r="15" spans="1:24" ht="12.6" customHeight="1" thickBot="1" x14ac:dyDescent="0.25">
      <c r="B15" s="654" t="s">
        <v>546</v>
      </c>
      <c r="C15" s="1273" t="s">
        <v>472</v>
      </c>
      <c r="D15" s="1294"/>
      <c r="E15" s="1294"/>
      <c r="F15" s="391"/>
      <c r="G15" s="929">
        <v>0</v>
      </c>
      <c r="H15" s="929">
        <v>0</v>
      </c>
      <c r="I15" s="929">
        <v>0</v>
      </c>
      <c r="J15" s="929">
        <v>0</v>
      </c>
      <c r="K15" s="929">
        <v>0</v>
      </c>
      <c r="L15" s="929">
        <v>0</v>
      </c>
      <c r="M15" s="929">
        <v>0</v>
      </c>
      <c r="N15" s="929">
        <f>U15</f>
        <v>0</v>
      </c>
      <c r="O15" s="929">
        <v>0</v>
      </c>
      <c r="P15" s="929">
        <v>0</v>
      </c>
      <c r="Q15" s="929">
        <v>0</v>
      </c>
      <c r="R15" s="929">
        <v>0</v>
      </c>
      <c r="S15" s="298">
        <f t="shared" si="2"/>
        <v>0</v>
      </c>
      <c r="U15" s="297">
        <f>'3. Ekonomikalkyl ingen moms'!M17</f>
        <v>0</v>
      </c>
    </row>
    <row r="16" spans="1:24" ht="16.149999999999999" customHeight="1" thickTop="1" thickBot="1" x14ac:dyDescent="0.25">
      <c r="B16" s="655"/>
      <c r="C16" s="1278" t="s">
        <v>473</v>
      </c>
      <c r="D16" s="1278"/>
      <c r="E16" s="1278"/>
      <c r="F16" s="1279"/>
      <c r="G16" s="1020">
        <f>G9+G13+G14+G15</f>
        <v>0</v>
      </c>
      <c r="H16" s="1020">
        <f t="shared" ref="H16:R16" si="4">H9+H13+H14+H15</f>
        <v>0</v>
      </c>
      <c r="I16" s="1020">
        <f t="shared" si="4"/>
        <v>0</v>
      </c>
      <c r="J16" s="1020">
        <f t="shared" si="4"/>
        <v>0</v>
      </c>
      <c r="K16" s="1020">
        <f t="shared" si="4"/>
        <v>0</v>
      </c>
      <c r="L16" s="1020">
        <f t="shared" si="4"/>
        <v>0</v>
      </c>
      <c r="M16" s="1020">
        <f t="shared" si="4"/>
        <v>0</v>
      </c>
      <c r="N16" s="1020">
        <f t="shared" si="4"/>
        <v>0</v>
      </c>
      <c r="O16" s="1020">
        <f t="shared" si="4"/>
        <v>0</v>
      </c>
      <c r="P16" s="1020">
        <f t="shared" si="4"/>
        <v>0</v>
      </c>
      <c r="Q16" s="1020">
        <f t="shared" si="4"/>
        <v>0</v>
      </c>
      <c r="R16" s="1020">
        <f t="shared" si="4"/>
        <v>0</v>
      </c>
      <c r="S16" s="1021">
        <f>SUM(G16:R16)</f>
        <v>0</v>
      </c>
      <c r="U16" s="1282" t="s">
        <v>172</v>
      </c>
      <c r="V16" s="1282"/>
    </row>
    <row r="17" spans="2:25" ht="16.899999999999999" customHeight="1" thickTop="1" x14ac:dyDescent="0.2">
      <c r="B17" s="650"/>
      <c r="C17" s="299"/>
      <c r="D17" s="299"/>
      <c r="E17" s="299"/>
      <c r="F17" s="299"/>
      <c r="G17" s="300"/>
      <c r="H17" s="300"/>
      <c r="I17" s="300"/>
      <c r="J17" s="300"/>
      <c r="K17" s="300"/>
      <c r="L17" s="300"/>
      <c r="M17" s="300"/>
      <c r="N17" s="300"/>
      <c r="O17" s="300"/>
      <c r="P17" s="300"/>
      <c r="Q17" s="300"/>
      <c r="R17" s="300"/>
      <c r="S17" s="212" t="s">
        <v>0</v>
      </c>
      <c r="U17" s="1282"/>
      <c r="V17" s="1282"/>
      <c r="W17" s="314"/>
      <c r="X17" s="314"/>
    </row>
    <row r="18" spans="2:25" ht="19.899999999999999" customHeight="1" x14ac:dyDescent="0.2">
      <c r="B18" s="656"/>
      <c r="C18" s="1291" t="s">
        <v>474</v>
      </c>
      <c r="D18" s="1291"/>
      <c r="E18" s="1291"/>
      <c r="F18" s="992"/>
      <c r="G18" s="588" t="str">
        <f t="shared" ref="G18:H18" si="5">G7</f>
        <v>JAN</v>
      </c>
      <c r="H18" s="418" t="str">
        <f t="shared" si="5"/>
        <v>FEB</v>
      </c>
      <c r="I18" s="418" t="str">
        <f t="shared" ref="I18:R18" si="6">I7</f>
        <v>MARS</v>
      </c>
      <c r="J18" s="418" t="str">
        <f t="shared" si="6"/>
        <v>APR</v>
      </c>
      <c r="K18" s="418" t="str">
        <f t="shared" si="6"/>
        <v>MAJ</v>
      </c>
      <c r="L18" s="418" t="str">
        <f t="shared" si="6"/>
        <v>JUNI</v>
      </c>
      <c r="M18" s="418" t="str">
        <f t="shared" si="6"/>
        <v>JULI</v>
      </c>
      <c r="N18" s="418" t="str">
        <f t="shared" si="6"/>
        <v>AUG</v>
      </c>
      <c r="O18" s="418" t="str">
        <f t="shared" si="6"/>
        <v>SEP</v>
      </c>
      <c r="P18" s="418" t="str">
        <f t="shared" si="6"/>
        <v>OKT</v>
      </c>
      <c r="Q18" s="418" t="str">
        <f t="shared" si="6"/>
        <v>NOV</v>
      </c>
      <c r="R18" s="418" t="str">
        <f t="shared" si="6"/>
        <v>DEC</v>
      </c>
      <c r="S18" s="586" t="str">
        <f>S7</f>
        <v>SLGT</v>
      </c>
      <c r="U18" s="601" t="s">
        <v>173</v>
      </c>
      <c r="V18" s="602" t="s">
        <v>174</v>
      </c>
      <c r="W18" s="315"/>
      <c r="X18" s="315"/>
    </row>
    <row r="19" spans="2:25" ht="13.15" customHeight="1" x14ac:dyDescent="0.2">
      <c r="B19" s="1265" t="s">
        <v>547</v>
      </c>
      <c r="C19" s="1296" t="s">
        <v>475</v>
      </c>
      <c r="D19" s="1297"/>
      <c r="E19" s="1297"/>
      <c r="F19" s="478"/>
      <c r="G19" s="930">
        <f>0.5*' 6 AT Palkat, alv '!E16</f>
        <v>0</v>
      </c>
      <c r="H19" s="930">
        <f>0.5*(' 6 AT Palkat, alv '!E16+' 6 AT Palkat, alv '!F16)</f>
        <v>0</v>
      </c>
      <c r="I19" s="930">
        <f>0.5*(' 6 AT Palkat, alv '!F16+' 6 AT Palkat, alv '!G16)</f>
        <v>0</v>
      </c>
      <c r="J19" s="930">
        <f>0.5*(' 6 AT Palkat, alv '!G16+' 6 AT Palkat, alv '!H16)</f>
        <v>0</v>
      </c>
      <c r="K19" s="930">
        <f>0.5*(' 6 AT Palkat, alv '!H16+' 6 AT Palkat, alv '!I16)</f>
        <v>0</v>
      </c>
      <c r="L19" s="930">
        <f>0.5*(' 6 AT Palkat, alv '!I16+' 6 AT Palkat, alv '!J16)</f>
        <v>0</v>
      </c>
      <c r="M19" s="930">
        <f>0.5*(' 6 AT Palkat, alv '!J16+' 6 AT Palkat, alv '!K16)</f>
        <v>0</v>
      </c>
      <c r="N19" s="930">
        <f>0.5*(' 6 AT Palkat, alv '!K16+' 6 AT Palkat, alv '!L16)</f>
        <v>0</v>
      </c>
      <c r="O19" s="930">
        <f>0.5*(' 6 AT Palkat, alv '!L16+' 6 AT Palkat, alv '!M16)</f>
        <v>0</v>
      </c>
      <c r="P19" s="930">
        <f>0.5*(' 6 AT Palkat, alv '!M16+' 6 AT Palkat, alv '!N16)</f>
        <v>0</v>
      </c>
      <c r="Q19" s="930">
        <f>0.5*(' 6 AT Palkat, alv '!N16+' 6 AT Palkat, alv '!O16)</f>
        <v>0</v>
      </c>
      <c r="R19" s="930">
        <f>0.5*(' 6 AT Palkat, alv '!O16+' 6 AT Palkat, alv '!P16)</f>
        <v>0</v>
      </c>
      <c r="S19" s="295">
        <f>SUM(G19:R19)</f>
        <v>0</v>
      </c>
      <c r="U19" s="297">
        <v>0</v>
      </c>
      <c r="V19" s="297">
        <f>'3. Ekonomikalkyl ingen moms'!J235</f>
        <v>0</v>
      </c>
      <c r="W19" s="305"/>
      <c r="X19" s="305"/>
      <c r="Y19" s="9"/>
    </row>
    <row r="20" spans="2:25" ht="12" customHeight="1" x14ac:dyDescent="0.2">
      <c r="B20" s="1266"/>
      <c r="C20" s="384" t="s">
        <v>476</v>
      </c>
      <c r="D20" s="385"/>
      <c r="E20" s="385"/>
      <c r="F20" s="478"/>
      <c r="G20" s="931">
        <f>IF($V20=0,0,$V20*(G9+G11)/$U12)</f>
        <v>0</v>
      </c>
      <c r="H20" s="931">
        <f>IF($V20=0,0,$V20*(H9+H11)/$U12)</f>
        <v>0</v>
      </c>
      <c r="I20" s="931">
        <f t="shared" ref="I20:R20" si="7">IF($V20=0,0,$V20*(I9+I11)/$U12)</f>
        <v>0</v>
      </c>
      <c r="J20" s="931">
        <f t="shared" si="7"/>
        <v>0</v>
      </c>
      <c r="K20" s="931">
        <f t="shared" si="7"/>
        <v>0</v>
      </c>
      <c r="L20" s="931">
        <f t="shared" si="7"/>
        <v>0</v>
      </c>
      <c r="M20" s="931">
        <f t="shared" si="7"/>
        <v>0</v>
      </c>
      <c r="N20" s="931">
        <f t="shared" si="7"/>
        <v>0</v>
      </c>
      <c r="O20" s="931">
        <f t="shared" si="7"/>
        <v>0</v>
      </c>
      <c r="P20" s="931">
        <f t="shared" si="7"/>
        <v>0</v>
      </c>
      <c r="Q20" s="931">
        <f t="shared" si="7"/>
        <v>0</v>
      </c>
      <c r="R20" s="931">
        <f t="shared" si="7"/>
        <v>0</v>
      </c>
      <c r="S20" s="392">
        <f>SUM(G20:R20)</f>
        <v>0</v>
      </c>
      <c r="U20" s="297"/>
      <c r="V20" s="297">
        <f>'3. Ekonomikalkyl ingen moms'!J238</f>
        <v>0</v>
      </c>
      <c r="W20" s="305"/>
      <c r="X20" s="305"/>
      <c r="Y20" s="9"/>
    </row>
    <row r="21" spans="2:25" ht="12" customHeight="1" x14ac:dyDescent="0.2">
      <c r="B21" s="652" t="s">
        <v>548</v>
      </c>
      <c r="C21" s="1274" t="s">
        <v>477</v>
      </c>
      <c r="D21" s="1275"/>
      <c r="E21" s="1275"/>
      <c r="F21" s="769">
        <v>0</v>
      </c>
      <c r="G21" s="928">
        <f t="shared" ref="G21:R25" si="8">$V21/12*(1+$F21/100)</f>
        <v>0</v>
      </c>
      <c r="H21" s="928">
        <f t="shared" si="8"/>
        <v>0</v>
      </c>
      <c r="I21" s="928">
        <f t="shared" si="8"/>
        <v>0</v>
      </c>
      <c r="J21" s="928">
        <f t="shared" si="8"/>
        <v>0</v>
      </c>
      <c r="K21" s="928">
        <f t="shared" si="8"/>
        <v>0</v>
      </c>
      <c r="L21" s="928">
        <f t="shared" si="8"/>
        <v>0</v>
      </c>
      <c r="M21" s="928">
        <f t="shared" si="8"/>
        <v>0</v>
      </c>
      <c r="N21" s="928">
        <f t="shared" si="8"/>
        <v>0</v>
      </c>
      <c r="O21" s="928">
        <f t="shared" si="8"/>
        <v>0</v>
      </c>
      <c r="P21" s="928">
        <f t="shared" si="8"/>
        <v>0</v>
      </c>
      <c r="Q21" s="928">
        <f t="shared" si="8"/>
        <v>0</v>
      </c>
      <c r="R21" s="928">
        <f t="shared" si="8"/>
        <v>0</v>
      </c>
      <c r="S21" s="295">
        <f t="shared" ref="S21:S52" si="9">SUM(G21:R21)</f>
        <v>0</v>
      </c>
      <c r="U21" s="297">
        <f>V21*(1+F21/100)</f>
        <v>0</v>
      </c>
      <c r="V21" s="297">
        <f>'3. Ekonomikalkyl ingen moms'!J61*'3. Ekonomikalkyl ingen moms'!J62</f>
        <v>0</v>
      </c>
      <c r="W21" s="305"/>
      <c r="X21" s="305"/>
      <c r="Y21" s="9"/>
    </row>
    <row r="22" spans="2:25" ht="12" customHeight="1" x14ac:dyDescent="0.2">
      <c r="B22" s="652" t="s">
        <v>549</v>
      </c>
      <c r="C22" s="1274" t="s">
        <v>478</v>
      </c>
      <c r="D22" s="1275"/>
      <c r="E22" s="1275"/>
      <c r="F22" s="769">
        <v>0</v>
      </c>
      <c r="G22" s="928">
        <f t="shared" si="8"/>
        <v>0</v>
      </c>
      <c r="H22" s="928">
        <f t="shared" si="8"/>
        <v>0</v>
      </c>
      <c r="I22" s="928">
        <f t="shared" si="8"/>
        <v>0</v>
      </c>
      <c r="J22" s="928">
        <f t="shared" si="8"/>
        <v>0</v>
      </c>
      <c r="K22" s="928">
        <f t="shared" si="8"/>
        <v>0</v>
      </c>
      <c r="L22" s="928">
        <f t="shared" si="8"/>
        <v>0</v>
      </c>
      <c r="M22" s="928">
        <f t="shared" si="8"/>
        <v>0</v>
      </c>
      <c r="N22" s="928">
        <f t="shared" si="8"/>
        <v>0</v>
      </c>
      <c r="O22" s="928">
        <f t="shared" si="8"/>
        <v>0</v>
      </c>
      <c r="P22" s="928">
        <f t="shared" si="8"/>
        <v>0</v>
      </c>
      <c r="Q22" s="928">
        <f t="shared" si="8"/>
        <v>0</v>
      </c>
      <c r="R22" s="928">
        <f t="shared" si="8"/>
        <v>0</v>
      </c>
      <c r="S22" s="295">
        <f t="shared" si="9"/>
        <v>0</v>
      </c>
      <c r="U22" s="297">
        <f>V22*(1+F22/100)</f>
        <v>0</v>
      </c>
      <c r="V22" s="297">
        <f>IF('3. Ekonomikalkyl ingen moms'!J33=12,'3. Ekonomikalkyl ingen moms'!J74,IF('1. Ekonomikalkyl'!J33&lt;12,12*('3. Ekonomikalkyl ingen moms'!J74+'3. Ekonomikalkyl ingen moms'!K74)/('3. Ekonomikalkyl ingen moms'!J33+'3. Ekonomikalkyl ingen moms'!K33),12*'3. Ekonomikalkyl ingen moms'!J74/'1. Ekonomikalkyl'!J33))</f>
        <v>0</v>
      </c>
      <c r="W22" s="305"/>
      <c r="X22" s="305"/>
    </row>
    <row r="23" spans="2:25" ht="12" customHeight="1" x14ac:dyDescent="0.2">
      <c r="B23" s="652" t="s">
        <v>550</v>
      </c>
      <c r="C23" s="1274" t="s">
        <v>479</v>
      </c>
      <c r="D23" s="1275"/>
      <c r="E23" s="1275"/>
      <c r="F23" s="769">
        <v>0</v>
      </c>
      <c r="G23" s="928">
        <f t="shared" si="8"/>
        <v>0</v>
      </c>
      <c r="H23" s="928">
        <f t="shared" si="8"/>
        <v>0</v>
      </c>
      <c r="I23" s="928">
        <f t="shared" si="8"/>
        <v>0</v>
      </c>
      <c r="J23" s="928">
        <f t="shared" si="8"/>
        <v>0</v>
      </c>
      <c r="K23" s="928">
        <f t="shared" si="8"/>
        <v>0</v>
      </c>
      <c r="L23" s="928">
        <f t="shared" si="8"/>
        <v>0</v>
      </c>
      <c r="M23" s="928">
        <f t="shared" si="8"/>
        <v>0</v>
      </c>
      <c r="N23" s="928">
        <f t="shared" si="8"/>
        <v>0</v>
      </c>
      <c r="O23" s="928">
        <f t="shared" si="8"/>
        <v>0</v>
      </c>
      <c r="P23" s="928">
        <f t="shared" si="8"/>
        <v>0</v>
      </c>
      <c r="Q23" s="928">
        <f t="shared" si="8"/>
        <v>0</v>
      </c>
      <c r="R23" s="928">
        <f t="shared" si="8"/>
        <v>0</v>
      </c>
      <c r="S23" s="295">
        <f t="shared" si="9"/>
        <v>0</v>
      </c>
      <c r="U23" s="297">
        <f>V23*(1+F23/100)</f>
        <v>0</v>
      </c>
      <c r="V23" s="297">
        <f>12*('3. Ekonomikalkyl ingen moms'!J63+'3. Ekonomikalkyl ingen moms'!J64+'3. Ekonomikalkyl ingen moms'!J65)/'3. Ekonomikalkyl ingen moms'!J33</f>
        <v>0</v>
      </c>
      <c r="W23" s="305"/>
      <c r="X23" s="305"/>
    </row>
    <row r="24" spans="2:25" ht="12" customHeight="1" x14ac:dyDescent="0.2">
      <c r="B24" s="652" t="s">
        <v>551</v>
      </c>
      <c r="C24" s="1274" t="s">
        <v>480</v>
      </c>
      <c r="D24" s="1275"/>
      <c r="E24" s="1275"/>
      <c r="F24" s="769">
        <v>0</v>
      </c>
      <c r="G24" s="928">
        <f t="shared" si="8"/>
        <v>0</v>
      </c>
      <c r="H24" s="928">
        <f t="shared" si="8"/>
        <v>0</v>
      </c>
      <c r="I24" s="928">
        <f t="shared" si="8"/>
        <v>0</v>
      </c>
      <c r="J24" s="928">
        <f t="shared" si="8"/>
        <v>0</v>
      </c>
      <c r="K24" s="928">
        <f t="shared" si="8"/>
        <v>0</v>
      </c>
      <c r="L24" s="928">
        <f t="shared" si="8"/>
        <v>0</v>
      </c>
      <c r="M24" s="928">
        <f t="shared" si="8"/>
        <v>0</v>
      </c>
      <c r="N24" s="928">
        <f t="shared" si="8"/>
        <v>0</v>
      </c>
      <c r="O24" s="928">
        <f t="shared" si="8"/>
        <v>0</v>
      </c>
      <c r="P24" s="928">
        <f t="shared" si="8"/>
        <v>0</v>
      </c>
      <c r="Q24" s="928">
        <f t="shared" si="8"/>
        <v>0</v>
      </c>
      <c r="R24" s="928">
        <f t="shared" si="8"/>
        <v>0</v>
      </c>
      <c r="S24" s="295">
        <f t="shared" si="9"/>
        <v>0</v>
      </c>
      <c r="U24" s="297">
        <f>V24*(1+F24/100)</f>
        <v>0</v>
      </c>
      <c r="V24" s="297">
        <f>12*('3. Ekonomikalkyl ingen moms'!J109)/'3. Ekonomikalkyl ingen moms'!J33</f>
        <v>0</v>
      </c>
      <c r="W24" s="305"/>
      <c r="X24" s="305"/>
    </row>
    <row r="25" spans="2:25" ht="12" customHeight="1" x14ac:dyDescent="0.2">
      <c r="B25" s="652" t="s">
        <v>552</v>
      </c>
      <c r="C25" s="1274" t="s">
        <v>481</v>
      </c>
      <c r="D25" s="1274"/>
      <c r="E25" s="1274"/>
      <c r="F25" s="769">
        <v>0</v>
      </c>
      <c r="G25" s="928">
        <f t="shared" si="8"/>
        <v>0</v>
      </c>
      <c r="H25" s="928">
        <f t="shared" si="8"/>
        <v>0</v>
      </c>
      <c r="I25" s="928">
        <f t="shared" si="8"/>
        <v>0</v>
      </c>
      <c r="J25" s="928">
        <f t="shared" si="8"/>
        <v>0</v>
      </c>
      <c r="K25" s="928">
        <f t="shared" si="8"/>
        <v>0</v>
      </c>
      <c r="L25" s="928">
        <f t="shared" si="8"/>
        <v>0</v>
      </c>
      <c r="M25" s="928">
        <f t="shared" si="8"/>
        <v>0</v>
      </c>
      <c r="N25" s="928">
        <f t="shared" si="8"/>
        <v>0</v>
      </c>
      <c r="O25" s="928">
        <f t="shared" si="8"/>
        <v>0</v>
      </c>
      <c r="P25" s="928">
        <f t="shared" si="8"/>
        <v>0</v>
      </c>
      <c r="Q25" s="928">
        <f t="shared" si="8"/>
        <v>0</v>
      </c>
      <c r="R25" s="928">
        <f t="shared" si="8"/>
        <v>0</v>
      </c>
      <c r="S25" s="295">
        <f t="shared" si="9"/>
        <v>0</v>
      </c>
      <c r="U25" s="297">
        <f>V25*(1+F25/100)</f>
        <v>0</v>
      </c>
      <c r="V25" s="297">
        <f>12*'3. Ekonomikalkyl ingen moms'!J98/'3. Ekonomikalkyl ingen moms'!J33</f>
        <v>0</v>
      </c>
      <c r="W25" s="305"/>
      <c r="X25" s="305"/>
    </row>
    <row r="26" spans="2:25" ht="12" customHeight="1" x14ac:dyDescent="0.2">
      <c r="B26" s="652" t="s">
        <v>553</v>
      </c>
      <c r="C26" s="1274" t="s">
        <v>556</v>
      </c>
      <c r="D26" s="1275"/>
      <c r="E26" s="1275"/>
      <c r="F26" s="769">
        <v>0</v>
      </c>
      <c r="G26" s="932">
        <f>U26</f>
        <v>0</v>
      </c>
      <c r="H26" s="928">
        <v>0</v>
      </c>
      <c r="I26" s="928">
        <v>0</v>
      </c>
      <c r="J26" s="928">
        <v>0</v>
      </c>
      <c r="K26" s="928">
        <v>0</v>
      </c>
      <c r="L26" s="928">
        <v>0</v>
      </c>
      <c r="M26" s="928">
        <v>0</v>
      </c>
      <c r="N26" s="928">
        <v>0</v>
      </c>
      <c r="O26" s="928">
        <v>0</v>
      </c>
      <c r="P26" s="928">
        <v>0</v>
      </c>
      <c r="Q26" s="928">
        <v>0</v>
      </c>
      <c r="R26" s="928">
        <v>0</v>
      </c>
      <c r="S26" s="295">
        <f>ROUND(SUM(G26:R26),0)</f>
        <v>0</v>
      </c>
      <c r="T26" s="616"/>
      <c r="U26" s="369">
        <f>ROUND(('3. Ekonomikalkyl ingen moms'!F10+'3. Ekonomikalkyl ingen moms'!F15+'3. Ekonomikalkyl ingen moms'!F16+'3. Ekonomikalkyl ingen moms'!F17+'3. Ekonomikalkyl ingen moms'!F20+'3. Ekonomikalkyl ingen moms'!F21+'3. Ekonomikalkyl ingen moms'!F25),0)</f>
        <v>0</v>
      </c>
      <c r="V26" s="297"/>
      <c r="W26" s="305"/>
      <c r="X26" s="305"/>
    </row>
    <row r="27" spans="2:25" ht="12" customHeight="1" x14ac:dyDescent="0.2">
      <c r="B27" s="652" t="s">
        <v>132</v>
      </c>
      <c r="C27" s="386" t="s">
        <v>483</v>
      </c>
      <c r="D27" s="386"/>
      <c r="E27" s="389"/>
      <c r="F27" s="769">
        <v>0</v>
      </c>
      <c r="G27" s="928">
        <f t="shared" ref="G27:R31" si="10">$V27/12*(1+$F27/100)</f>
        <v>0</v>
      </c>
      <c r="H27" s="928">
        <f t="shared" si="10"/>
        <v>0</v>
      </c>
      <c r="I27" s="928">
        <f t="shared" si="10"/>
        <v>0</v>
      </c>
      <c r="J27" s="928">
        <f t="shared" si="10"/>
        <v>0</v>
      </c>
      <c r="K27" s="928">
        <f t="shared" si="10"/>
        <v>0</v>
      </c>
      <c r="L27" s="928">
        <f t="shared" si="10"/>
        <v>0</v>
      </c>
      <c r="M27" s="928">
        <f t="shared" si="10"/>
        <v>0</v>
      </c>
      <c r="N27" s="928">
        <f t="shared" si="10"/>
        <v>0</v>
      </c>
      <c r="O27" s="928">
        <f t="shared" si="10"/>
        <v>0</v>
      </c>
      <c r="P27" s="928">
        <f t="shared" si="10"/>
        <v>0</v>
      </c>
      <c r="Q27" s="928">
        <f t="shared" si="10"/>
        <v>0</v>
      </c>
      <c r="R27" s="928">
        <f t="shared" si="10"/>
        <v>0</v>
      </c>
      <c r="S27" s="295">
        <f t="shared" si="9"/>
        <v>0</v>
      </c>
      <c r="U27" s="297">
        <f>V27*(1+F27/100)</f>
        <v>0</v>
      </c>
      <c r="V27" s="297">
        <f>'3. Ekonomikalkyl ingen moms'!J75+'3. Ekonomikalkyl ingen moms'!J81-'3. Ekonomikalkyl ingen moms'!J80</f>
        <v>0</v>
      </c>
      <c r="W27" s="305"/>
      <c r="X27" s="305"/>
    </row>
    <row r="28" spans="2:25" ht="12" customHeight="1" x14ac:dyDescent="0.2">
      <c r="B28" s="652" t="s">
        <v>133</v>
      </c>
      <c r="C28" s="386" t="s">
        <v>484</v>
      </c>
      <c r="D28" s="393"/>
      <c r="E28" s="393"/>
      <c r="F28" s="769">
        <v>0</v>
      </c>
      <c r="G28" s="928">
        <f t="shared" si="10"/>
        <v>0</v>
      </c>
      <c r="H28" s="928">
        <f t="shared" si="10"/>
        <v>0</v>
      </c>
      <c r="I28" s="928">
        <f t="shared" si="10"/>
        <v>0</v>
      </c>
      <c r="J28" s="928">
        <f t="shared" si="10"/>
        <v>0</v>
      </c>
      <c r="K28" s="928">
        <f t="shared" si="10"/>
        <v>0</v>
      </c>
      <c r="L28" s="928">
        <f t="shared" si="10"/>
        <v>0</v>
      </c>
      <c r="M28" s="928">
        <f t="shared" si="10"/>
        <v>0</v>
      </c>
      <c r="N28" s="928">
        <f t="shared" si="10"/>
        <v>0</v>
      </c>
      <c r="O28" s="928">
        <f t="shared" si="10"/>
        <v>0</v>
      </c>
      <c r="P28" s="928">
        <f t="shared" si="10"/>
        <v>0</v>
      </c>
      <c r="Q28" s="928">
        <f t="shared" si="10"/>
        <v>0</v>
      </c>
      <c r="R28" s="928">
        <f t="shared" si="10"/>
        <v>0</v>
      </c>
      <c r="S28" s="295">
        <f t="shared" si="9"/>
        <v>0</v>
      </c>
      <c r="U28" s="297">
        <f>V28*(1+F28/100)</f>
        <v>0</v>
      </c>
      <c r="V28" s="297">
        <f>('3. Ekonomikalkyl ingen moms'!J66+'3. Ekonomikalkyl ingen moms'!J67+'3. Ekonomikalkyl ingen moms'!J68)</f>
        <v>0</v>
      </c>
      <c r="W28" s="305"/>
      <c r="X28" s="305"/>
    </row>
    <row r="29" spans="2:25" ht="12" customHeight="1" x14ac:dyDescent="0.2">
      <c r="B29" s="652" t="s">
        <v>134</v>
      </c>
      <c r="C29" s="1274" t="s">
        <v>485</v>
      </c>
      <c r="D29" s="1275"/>
      <c r="E29" s="1275"/>
      <c r="F29" s="769">
        <v>0</v>
      </c>
      <c r="G29" s="928">
        <f t="shared" si="10"/>
        <v>0</v>
      </c>
      <c r="H29" s="928">
        <f t="shared" si="10"/>
        <v>0</v>
      </c>
      <c r="I29" s="928">
        <f t="shared" si="10"/>
        <v>0</v>
      </c>
      <c r="J29" s="928">
        <f t="shared" si="10"/>
        <v>0</v>
      </c>
      <c r="K29" s="928">
        <f t="shared" si="10"/>
        <v>0</v>
      </c>
      <c r="L29" s="928">
        <f t="shared" si="10"/>
        <v>0</v>
      </c>
      <c r="M29" s="928">
        <f t="shared" si="10"/>
        <v>0</v>
      </c>
      <c r="N29" s="928">
        <f t="shared" si="10"/>
        <v>0</v>
      </c>
      <c r="O29" s="928">
        <f t="shared" si="10"/>
        <v>0</v>
      </c>
      <c r="P29" s="928">
        <f t="shared" si="10"/>
        <v>0</v>
      </c>
      <c r="Q29" s="928">
        <f t="shared" si="10"/>
        <v>0</v>
      </c>
      <c r="R29" s="928">
        <f t="shared" si="10"/>
        <v>0</v>
      </c>
      <c r="S29" s="295">
        <f t="shared" si="9"/>
        <v>0</v>
      </c>
      <c r="U29" s="297">
        <f>V29*(1+F29/100)</f>
        <v>0</v>
      </c>
      <c r="V29" s="297">
        <f>12*'3. Ekonomikalkyl ingen moms'!J87/'3. Ekonomikalkyl ingen moms'!J33</f>
        <v>0</v>
      </c>
      <c r="W29" s="305"/>
      <c r="X29" s="305"/>
    </row>
    <row r="30" spans="2:25" ht="12" customHeight="1" x14ac:dyDescent="0.2">
      <c r="B30" s="652" t="s">
        <v>135</v>
      </c>
      <c r="C30" s="1274" t="s">
        <v>486</v>
      </c>
      <c r="D30" s="1274"/>
      <c r="E30" s="1274"/>
      <c r="F30" s="769">
        <v>0</v>
      </c>
      <c r="G30" s="928">
        <f t="shared" si="10"/>
        <v>0</v>
      </c>
      <c r="H30" s="928">
        <f t="shared" si="10"/>
        <v>0</v>
      </c>
      <c r="I30" s="928">
        <f t="shared" si="10"/>
        <v>0</v>
      </c>
      <c r="J30" s="928">
        <f t="shared" si="10"/>
        <v>0</v>
      </c>
      <c r="K30" s="928">
        <f t="shared" si="10"/>
        <v>0</v>
      </c>
      <c r="L30" s="928">
        <f t="shared" si="10"/>
        <v>0</v>
      </c>
      <c r="M30" s="928">
        <f t="shared" si="10"/>
        <v>0</v>
      </c>
      <c r="N30" s="928">
        <f t="shared" si="10"/>
        <v>0</v>
      </c>
      <c r="O30" s="928">
        <f t="shared" si="10"/>
        <v>0</v>
      </c>
      <c r="P30" s="928">
        <f t="shared" si="10"/>
        <v>0</v>
      </c>
      <c r="Q30" s="928">
        <f t="shared" si="10"/>
        <v>0</v>
      </c>
      <c r="R30" s="928">
        <f t="shared" si="10"/>
        <v>0</v>
      </c>
      <c r="S30" s="295">
        <f t="shared" si="9"/>
        <v>0</v>
      </c>
      <c r="U30" s="297">
        <f>V30*(1+F30/100)</f>
        <v>0</v>
      </c>
      <c r="V30" s="297">
        <f>12*'3. Ekonomikalkyl ingen moms'!J83/'3. Ekonomikalkyl ingen moms'!J33</f>
        <v>0</v>
      </c>
      <c r="W30" s="305"/>
      <c r="X30" s="305"/>
    </row>
    <row r="31" spans="2:25" ht="12" customHeight="1" x14ac:dyDescent="0.2">
      <c r="B31" s="652" t="s">
        <v>136</v>
      </c>
      <c r="C31" s="1274" t="s">
        <v>487</v>
      </c>
      <c r="D31" s="1275"/>
      <c r="E31" s="1275"/>
      <c r="F31" s="769">
        <v>0</v>
      </c>
      <c r="G31" s="928">
        <f t="shared" si="10"/>
        <v>0</v>
      </c>
      <c r="H31" s="928">
        <f t="shared" si="10"/>
        <v>0</v>
      </c>
      <c r="I31" s="928">
        <f t="shared" si="10"/>
        <v>0</v>
      </c>
      <c r="J31" s="928">
        <f t="shared" si="10"/>
        <v>0</v>
      </c>
      <c r="K31" s="928">
        <f t="shared" si="10"/>
        <v>0</v>
      </c>
      <c r="L31" s="928">
        <f t="shared" si="10"/>
        <v>0</v>
      </c>
      <c r="M31" s="928">
        <f t="shared" si="10"/>
        <v>0</v>
      </c>
      <c r="N31" s="928">
        <f t="shared" si="10"/>
        <v>0</v>
      </c>
      <c r="O31" s="928">
        <f t="shared" si="10"/>
        <v>0</v>
      </c>
      <c r="P31" s="928">
        <f t="shared" si="10"/>
        <v>0</v>
      </c>
      <c r="Q31" s="928">
        <f t="shared" si="10"/>
        <v>0</v>
      </c>
      <c r="R31" s="928">
        <f t="shared" si="10"/>
        <v>0</v>
      </c>
      <c r="S31" s="295">
        <f t="shared" si="9"/>
        <v>0</v>
      </c>
      <c r="U31" s="924">
        <f>V31*(1+F31/100)</f>
        <v>0</v>
      </c>
      <c r="V31" s="603">
        <f>12*' 6 AT Palkat, alv '!Q38/'3. Ekonomikalkyl ingen moms'!J33</f>
        <v>0</v>
      </c>
      <c r="W31" s="305"/>
      <c r="X31" s="305"/>
    </row>
    <row r="32" spans="2:25" ht="12" hidden="1" customHeight="1" x14ac:dyDescent="0.2">
      <c r="B32" s="652" t="s">
        <v>137</v>
      </c>
      <c r="C32" s="1274" t="s">
        <v>488</v>
      </c>
      <c r="D32" s="1274"/>
      <c r="E32" s="1274"/>
      <c r="F32" s="387"/>
      <c r="G32" s="403"/>
      <c r="H32" s="403">
        <v>0</v>
      </c>
      <c r="I32" s="297">
        <v>0</v>
      </c>
      <c r="J32" s="297">
        <v>0</v>
      </c>
      <c r="K32" s="297">
        <v>0</v>
      </c>
      <c r="L32" s="297">
        <v>0</v>
      </c>
      <c r="M32" s="297">
        <v>0</v>
      </c>
      <c r="N32" s="297">
        <v>0</v>
      </c>
      <c r="O32" s="297">
        <v>0</v>
      </c>
      <c r="P32" s="297">
        <v>0</v>
      </c>
      <c r="Q32" s="297">
        <v>0</v>
      </c>
      <c r="R32" s="297">
        <v>0</v>
      </c>
      <c r="S32" s="295">
        <f t="shared" si="9"/>
        <v>0</v>
      </c>
      <c r="U32" s="276"/>
      <c r="V32" s="604"/>
      <c r="W32" s="305"/>
    </row>
    <row r="33" spans="2:40" ht="12" customHeight="1" x14ac:dyDescent="0.2">
      <c r="B33" s="652" t="s">
        <v>138</v>
      </c>
      <c r="C33" s="1274" t="s">
        <v>489</v>
      </c>
      <c r="D33" s="1274"/>
      <c r="E33" s="1274"/>
      <c r="F33" s="387"/>
      <c r="G33" s="297">
        <f>Z44</f>
        <v>0</v>
      </c>
      <c r="H33" s="297">
        <f t="shared" ref="H33:R33" si="11">AA44</f>
        <v>0</v>
      </c>
      <c r="I33" s="297">
        <f t="shared" si="11"/>
        <v>0</v>
      </c>
      <c r="J33" s="297">
        <f t="shared" si="11"/>
        <v>0</v>
      </c>
      <c r="K33" s="297">
        <f t="shared" si="11"/>
        <v>0</v>
      </c>
      <c r="L33" s="297">
        <f t="shared" si="11"/>
        <v>0</v>
      </c>
      <c r="M33" s="297">
        <f t="shared" si="11"/>
        <v>0</v>
      </c>
      <c r="N33" s="297">
        <f t="shared" si="11"/>
        <v>0</v>
      </c>
      <c r="O33" s="297">
        <f t="shared" si="11"/>
        <v>0</v>
      </c>
      <c r="P33" s="297">
        <f t="shared" si="11"/>
        <v>0</v>
      </c>
      <c r="Q33" s="297">
        <f t="shared" si="11"/>
        <v>0</v>
      </c>
      <c r="R33" s="297">
        <f t="shared" si="11"/>
        <v>0</v>
      </c>
      <c r="S33" s="295">
        <f t="shared" si="9"/>
        <v>0</v>
      </c>
      <c r="U33" s="276"/>
      <c r="V33" s="297">
        <f>AL33</f>
        <v>0</v>
      </c>
      <c r="W33" s="305"/>
      <c r="X33" s="432" t="s">
        <v>0</v>
      </c>
      <c r="Y33" s="257" t="s">
        <v>209</v>
      </c>
      <c r="Z33" s="644" t="str">
        <f t="shared" ref="Z33:AK33" si="12">G7</f>
        <v>JAN</v>
      </c>
      <c r="AA33" s="644" t="str">
        <f t="shared" si="12"/>
        <v>FEB</v>
      </c>
      <c r="AB33" s="644" t="str">
        <f t="shared" si="12"/>
        <v>MARS</v>
      </c>
      <c r="AC33" s="644" t="str">
        <f t="shared" si="12"/>
        <v>APR</v>
      </c>
      <c r="AD33" s="644" t="str">
        <f t="shared" si="12"/>
        <v>MAJ</v>
      </c>
      <c r="AE33" s="644" t="str">
        <f t="shared" si="12"/>
        <v>JUNI</v>
      </c>
      <c r="AF33" s="644" t="str">
        <f t="shared" si="12"/>
        <v>JULI</v>
      </c>
      <c r="AG33" s="644" t="str">
        <f t="shared" si="12"/>
        <v>AUG</v>
      </c>
      <c r="AH33" s="644" t="str">
        <f t="shared" si="12"/>
        <v>SEP</v>
      </c>
      <c r="AI33" s="644" t="str">
        <f t="shared" si="12"/>
        <v>OKT</v>
      </c>
      <c r="AJ33" s="644" t="str">
        <f t="shared" si="12"/>
        <v>NOV</v>
      </c>
      <c r="AK33" s="644" t="str">
        <f t="shared" si="12"/>
        <v>DEC</v>
      </c>
      <c r="AL33" s="361"/>
    </row>
    <row r="34" spans="2:40" ht="12" hidden="1" customHeight="1" x14ac:dyDescent="0.2">
      <c r="B34" s="657"/>
      <c r="C34" s="1285" t="s">
        <v>222</v>
      </c>
      <c r="D34" s="1285"/>
      <c r="E34" s="1288"/>
      <c r="F34" s="415">
        <v>0.28999999999999998</v>
      </c>
      <c r="G34" s="401">
        <f t="shared" ref="G34:R37" si="13">$V34/12</f>
        <v>0</v>
      </c>
      <c r="H34" s="401">
        <f t="shared" si="13"/>
        <v>0</v>
      </c>
      <c r="I34" s="401">
        <f t="shared" si="13"/>
        <v>0</v>
      </c>
      <c r="J34" s="401">
        <f t="shared" si="13"/>
        <v>0</v>
      </c>
      <c r="K34" s="401">
        <f t="shared" si="13"/>
        <v>0</v>
      </c>
      <c r="L34" s="401">
        <f t="shared" si="13"/>
        <v>0</v>
      </c>
      <c r="M34" s="401">
        <f t="shared" si="13"/>
        <v>0</v>
      </c>
      <c r="N34" s="401">
        <f t="shared" si="13"/>
        <v>0</v>
      </c>
      <c r="O34" s="401">
        <f t="shared" si="13"/>
        <v>0</v>
      </c>
      <c r="P34" s="401">
        <f t="shared" si="13"/>
        <v>0</v>
      </c>
      <c r="Q34" s="401">
        <f t="shared" si="13"/>
        <v>0</v>
      </c>
      <c r="R34" s="401">
        <f t="shared" si="13"/>
        <v>0</v>
      </c>
      <c r="S34" s="394">
        <f t="shared" si="9"/>
        <v>0</v>
      </c>
      <c r="T34" s="22"/>
      <c r="U34" s="284"/>
      <c r="V34" s="605">
        <v>0</v>
      </c>
      <c r="W34" s="305"/>
      <c r="X34" s="360" t="s">
        <v>218</v>
      </c>
      <c r="Y34" s="359"/>
      <c r="Z34" s="646">
        <f t="shared" ref="Z34:AK34" si="14">G34+G35</f>
        <v>0</v>
      </c>
      <c r="AA34" s="646">
        <f t="shared" si="14"/>
        <v>0</v>
      </c>
      <c r="AB34" s="646">
        <f t="shared" si="14"/>
        <v>0</v>
      </c>
      <c r="AC34" s="646">
        <f t="shared" si="14"/>
        <v>0</v>
      </c>
      <c r="AD34" s="646">
        <f t="shared" si="14"/>
        <v>0</v>
      </c>
      <c r="AE34" s="646">
        <f t="shared" si="14"/>
        <v>0</v>
      </c>
      <c r="AF34" s="646">
        <f t="shared" si="14"/>
        <v>0</v>
      </c>
      <c r="AG34" s="646">
        <f t="shared" si="14"/>
        <v>0</v>
      </c>
      <c r="AH34" s="646">
        <f t="shared" si="14"/>
        <v>0</v>
      </c>
      <c r="AI34" s="646">
        <f t="shared" si="14"/>
        <v>0</v>
      </c>
      <c r="AJ34" s="646">
        <f t="shared" si="14"/>
        <v>0</v>
      </c>
      <c r="AK34" s="646">
        <f t="shared" si="14"/>
        <v>0</v>
      </c>
      <c r="AL34" s="646">
        <f>SUM(Z34:AK34)</f>
        <v>0</v>
      </c>
    </row>
    <row r="35" spans="2:40" ht="12" hidden="1" customHeight="1" x14ac:dyDescent="0.2">
      <c r="B35" s="657"/>
      <c r="C35" s="395" t="s">
        <v>223</v>
      </c>
      <c r="D35" s="388"/>
      <c r="E35" s="388"/>
      <c r="F35" s="381"/>
      <c r="G35" s="401">
        <f t="shared" si="13"/>
        <v>0</v>
      </c>
      <c r="H35" s="401">
        <f t="shared" si="13"/>
        <v>0</v>
      </c>
      <c r="I35" s="401">
        <f t="shared" si="13"/>
        <v>0</v>
      </c>
      <c r="J35" s="401">
        <f t="shared" si="13"/>
        <v>0</v>
      </c>
      <c r="K35" s="401">
        <f t="shared" si="13"/>
        <v>0</v>
      </c>
      <c r="L35" s="401">
        <f t="shared" si="13"/>
        <v>0</v>
      </c>
      <c r="M35" s="401">
        <f t="shared" si="13"/>
        <v>0</v>
      </c>
      <c r="N35" s="401">
        <f t="shared" si="13"/>
        <v>0</v>
      </c>
      <c r="O35" s="401">
        <f t="shared" si="13"/>
        <v>0</v>
      </c>
      <c r="P35" s="401">
        <f t="shared" si="13"/>
        <v>0</v>
      </c>
      <c r="Q35" s="401">
        <f t="shared" si="13"/>
        <v>0</v>
      </c>
      <c r="R35" s="401">
        <f t="shared" si="13"/>
        <v>0</v>
      </c>
      <c r="S35" s="394">
        <f t="shared" si="9"/>
        <v>0</v>
      </c>
      <c r="T35" s="22"/>
      <c r="U35" s="284"/>
      <c r="V35" s="605">
        <v>0</v>
      </c>
      <c r="W35" s="305"/>
      <c r="X35" s="360" t="s">
        <v>176</v>
      </c>
      <c r="Y35" s="435">
        <f>F34+1.16%</f>
        <v>0.30159999999999998</v>
      </c>
      <c r="Z35" s="647">
        <f>Z34*$Y35</f>
        <v>0</v>
      </c>
      <c r="AA35" s="647">
        <f t="shared" ref="AA35:AK35" si="15">AA34*$Y35</f>
        <v>0</v>
      </c>
      <c r="AB35" s="647">
        <f t="shared" si="15"/>
        <v>0</v>
      </c>
      <c r="AC35" s="647">
        <f t="shared" si="15"/>
        <v>0</v>
      </c>
      <c r="AD35" s="647">
        <f t="shared" si="15"/>
        <v>0</v>
      </c>
      <c r="AE35" s="647">
        <f t="shared" si="15"/>
        <v>0</v>
      </c>
      <c r="AF35" s="647">
        <f t="shared" si="15"/>
        <v>0</v>
      </c>
      <c r="AG35" s="647">
        <f t="shared" si="15"/>
        <v>0</v>
      </c>
      <c r="AH35" s="647">
        <f t="shared" si="15"/>
        <v>0</v>
      </c>
      <c r="AI35" s="647">
        <f t="shared" si="15"/>
        <v>0</v>
      </c>
      <c r="AJ35" s="647">
        <f t="shared" si="15"/>
        <v>0</v>
      </c>
      <c r="AK35" s="647">
        <f t="shared" si="15"/>
        <v>0</v>
      </c>
      <c r="AL35" s="646">
        <f t="shared" ref="AL35:AL38" si="16">SUM(Z35:AK35)</f>
        <v>0</v>
      </c>
      <c r="AN35" s="257"/>
    </row>
    <row r="36" spans="2:40" ht="12" customHeight="1" x14ac:dyDescent="0.2">
      <c r="B36" s="657"/>
      <c r="C36" s="1285" t="s">
        <v>534</v>
      </c>
      <c r="D36" s="1285"/>
      <c r="E36" s="1288"/>
      <c r="F36" s="933">
        <v>0.25</v>
      </c>
      <c r="G36" s="934">
        <f t="shared" si="13"/>
        <v>0</v>
      </c>
      <c r="H36" s="934">
        <f t="shared" si="13"/>
        <v>0</v>
      </c>
      <c r="I36" s="934">
        <f t="shared" si="13"/>
        <v>0</v>
      </c>
      <c r="J36" s="934">
        <f t="shared" si="13"/>
        <v>0</v>
      </c>
      <c r="K36" s="934">
        <f t="shared" si="13"/>
        <v>0</v>
      </c>
      <c r="L36" s="934">
        <f t="shared" si="13"/>
        <v>0</v>
      </c>
      <c r="M36" s="934">
        <f t="shared" si="13"/>
        <v>0</v>
      </c>
      <c r="N36" s="934">
        <f t="shared" si="13"/>
        <v>0</v>
      </c>
      <c r="O36" s="934">
        <f t="shared" si="13"/>
        <v>0</v>
      </c>
      <c r="P36" s="934">
        <f t="shared" si="13"/>
        <v>0</v>
      </c>
      <c r="Q36" s="934">
        <f t="shared" si="13"/>
        <v>0</v>
      </c>
      <c r="R36" s="934">
        <f t="shared" si="13"/>
        <v>0</v>
      </c>
      <c r="S36" s="394">
        <f t="shared" si="9"/>
        <v>0</v>
      </c>
      <c r="T36" s="22"/>
      <c r="U36" s="284"/>
      <c r="V36" s="431">
        <f>'3. Ekonomikalkyl ingen moms'!J43*'3. Ekonomikalkyl ingen moms'!J45</f>
        <v>0</v>
      </c>
      <c r="W36" s="305"/>
      <c r="X36" s="360" t="s">
        <v>217</v>
      </c>
      <c r="Y36" s="362"/>
      <c r="Z36" s="646">
        <f t="shared" ref="Z36:AK36" si="17">G36+G37</f>
        <v>0</v>
      </c>
      <c r="AA36" s="646">
        <f t="shared" si="17"/>
        <v>0</v>
      </c>
      <c r="AB36" s="646">
        <f t="shared" si="17"/>
        <v>0</v>
      </c>
      <c r="AC36" s="646">
        <f t="shared" si="17"/>
        <v>0</v>
      </c>
      <c r="AD36" s="646">
        <f t="shared" si="17"/>
        <v>0</v>
      </c>
      <c r="AE36" s="646">
        <f t="shared" si="17"/>
        <v>0</v>
      </c>
      <c r="AF36" s="646">
        <f t="shared" si="17"/>
        <v>0</v>
      </c>
      <c r="AG36" s="646">
        <f t="shared" si="17"/>
        <v>0</v>
      </c>
      <c r="AH36" s="646">
        <f t="shared" si="17"/>
        <v>0</v>
      </c>
      <c r="AI36" s="646">
        <f t="shared" si="17"/>
        <v>0</v>
      </c>
      <c r="AJ36" s="646">
        <f t="shared" si="17"/>
        <v>0</v>
      </c>
      <c r="AK36" s="646">
        <f t="shared" si="17"/>
        <v>0</v>
      </c>
      <c r="AL36" s="646">
        <f t="shared" si="16"/>
        <v>0</v>
      </c>
    </row>
    <row r="37" spans="2:40" ht="12" customHeight="1" x14ac:dyDescent="0.2">
      <c r="B37" s="657"/>
      <c r="C37" s="1285" t="s">
        <v>535</v>
      </c>
      <c r="D37" s="1285"/>
      <c r="E37" s="1285"/>
      <c r="F37" s="381"/>
      <c r="G37" s="934">
        <f t="shared" si="13"/>
        <v>0</v>
      </c>
      <c r="H37" s="934">
        <f t="shared" si="13"/>
        <v>0</v>
      </c>
      <c r="I37" s="934">
        <f t="shared" si="13"/>
        <v>0</v>
      </c>
      <c r="J37" s="934">
        <f t="shared" si="13"/>
        <v>0</v>
      </c>
      <c r="K37" s="934">
        <f t="shared" si="13"/>
        <v>0</v>
      </c>
      <c r="L37" s="934">
        <f t="shared" si="13"/>
        <v>0</v>
      </c>
      <c r="M37" s="934">
        <f t="shared" si="13"/>
        <v>0</v>
      </c>
      <c r="N37" s="934">
        <f t="shared" si="13"/>
        <v>0</v>
      </c>
      <c r="O37" s="934">
        <f t="shared" si="13"/>
        <v>0</v>
      </c>
      <c r="P37" s="934">
        <f t="shared" si="13"/>
        <v>0</v>
      </c>
      <c r="Q37" s="934">
        <f t="shared" si="13"/>
        <v>0</v>
      </c>
      <c r="R37" s="934">
        <f t="shared" si="13"/>
        <v>0</v>
      </c>
      <c r="S37" s="394">
        <f t="shared" si="9"/>
        <v>0</v>
      </c>
      <c r="T37" s="22"/>
      <c r="U37" s="284"/>
      <c r="V37" s="431">
        <f>'3. Ekonomikalkyl ingen moms'!J44*12</f>
        <v>0</v>
      </c>
      <c r="W37" s="305"/>
      <c r="X37" s="360" t="s">
        <v>176</v>
      </c>
      <c r="Y37" s="435">
        <f>F36+1.91%</f>
        <v>0.26910000000000001</v>
      </c>
      <c r="Z37" s="647">
        <f>Z36*$Y37</f>
        <v>0</v>
      </c>
      <c r="AA37" s="647">
        <f t="shared" ref="AA37:AK37" si="18">AA36*$Y37</f>
        <v>0</v>
      </c>
      <c r="AB37" s="647">
        <f t="shared" si="18"/>
        <v>0</v>
      </c>
      <c r="AC37" s="647">
        <f t="shared" si="18"/>
        <v>0</v>
      </c>
      <c r="AD37" s="647">
        <f t="shared" si="18"/>
        <v>0</v>
      </c>
      <c r="AE37" s="647">
        <f t="shared" si="18"/>
        <v>0</v>
      </c>
      <c r="AF37" s="647">
        <f t="shared" si="18"/>
        <v>0</v>
      </c>
      <c r="AG37" s="647">
        <f t="shared" si="18"/>
        <v>0</v>
      </c>
      <c r="AH37" s="647">
        <f t="shared" si="18"/>
        <v>0</v>
      </c>
      <c r="AI37" s="647">
        <f t="shared" si="18"/>
        <v>0</v>
      </c>
      <c r="AJ37" s="647">
        <f t="shared" si="18"/>
        <v>0</v>
      </c>
      <c r="AK37" s="647">
        <f t="shared" si="18"/>
        <v>0</v>
      </c>
      <c r="AL37" s="646">
        <f t="shared" si="16"/>
        <v>0</v>
      </c>
    </row>
    <row r="38" spans="2:40" ht="12" customHeight="1" x14ac:dyDescent="0.2">
      <c r="B38" s="657"/>
      <c r="C38" s="395" t="s">
        <v>536</v>
      </c>
      <c r="D38" s="396"/>
      <c r="E38" s="396"/>
      <c r="F38" s="935">
        <v>8.1900000000000001E-2</v>
      </c>
      <c r="G38" s="431">
        <f>(G36+G37)*$F38</f>
        <v>0</v>
      </c>
      <c r="H38" s="431">
        <f t="shared" ref="H38:R38" si="19">(H36+H37)*$F38</f>
        <v>0</v>
      </c>
      <c r="I38" s="431">
        <f t="shared" si="19"/>
        <v>0</v>
      </c>
      <c r="J38" s="431">
        <f t="shared" si="19"/>
        <v>0</v>
      </c>
      <c r="K38" s="431">
        <f t="shared" si="19"/>
        <v>0</v>
      </c>
      <c r="L38" s="431">
        <f t="shared" si="19"/>
        <v>0</v>
      </c>
      <c r="M38" s="431">
        <f t="shared" si="19"/>
        <v>0</v>
      </c>
      <c r="N38" s="431">
        <f t="shared" si="19"/>
        <v>0</v>
      </c>
      <c r="O38" s="431">
        <f t="shared" si="19"/>
        <v>0</v>
      </c>
      <c r="P38" s="431">
        <f t="shared" si="19"/>
        <v>0</v>
      </c>
      <c r="Q38" s="431">
        <f t="shared" si="19"/>
        <v>0</v>
      </c>
      <c r="R38" s="431">
        <f t="shared" si="19"/>
        <v>0</v>
      </c>
      <c r="S38" s="394">
        <f t="shared" si="9"/>
        <v>0</v>
      </c>
      <c r="T38" s="22"/>
      <c r="U38" s="284"/>
      <c r="V38" s="606"/>
      <c r="W38" s="305"/>
      <c r="X38" s="643" t="s">
        <v>256</v>
      </c>
      <c r="Y38" s="642"/>
      <c r="Z38" s="648">
        <f t="shared" ref="Z38:AK38" si="20">Z35+Z37</f>
        <v>0</v>
      </c>
      <c r="AA38" s="648">
        <f t="shared" si="20"/>
        <v>0</v>
      </c>
      <c r="AB38" s="648">
        <f t="shared" si="20"/>
        <v>0</v>
      </c>
      <c r="AC38" s="648">
        <f t="shared" si="20"/>
        <v>0</v>
      </c>
      <c r="AD38" s="648">
        <f t="shared" si="20"/>
        <v>0</v>
      </c>
      <c r="AE38" s="648">
        <f t="shared" si="20"/>
        <v>0</v>
      </c>
      <c r="AF38" s="648">
        <f t="shared" si="20"/>
        <v>0</v>
      </c>
      <c r="AG38" s="648">
        <f t="shared" si="20"/>
        <v>0</v>
      </c>
      <c r="AH38" s="648">
        <f t="shared" si="20"/>
        <v>0</v>
      </c>
      <c r="AI38" s="648">
        <f t="shared" si="20"/>
        <v>0</v>
      </c>
      <c r="AJ38" s="648">
        <f t="shared" si="20"/>
        <v>0</v>
      </c>
      <c r="AK38" s="648">
        <f t="shared" si="20"/>
        <v>0</v>
      </c>
      <c r="AL38" s="649">
        <f t="shared" si="16"/>
        <v>0</v>
      </c>
    </row>
    <row r="39" spans="2:40" ht="12" customHeight="1" x14ac:dyDescent="0.2">
      <c r="B39" s="652" t="s">
        <v>139</v>
      </c>
      <c r="C39" s="384" t="s">
        <v>492</v>
      </c>
      <c r="D39" s="385"/>
      <c r="E39" s="385"/>
      <c r="F39" s="397"/>
      <c r="G39" s="297">
        <v>0</v>
      </c>
      <c r="H39" s="928">
        <f>Z38</f>
        <v>0</v>
      </c>
      <c r="I39" s="928">
        <f t="shared" ref="I39:R39" si="21">AA38</f>
        <v>0</v>
      </c>
      <c r="J39" s="928">
        <f t="shared" si="21"/>
        <v>0</v>
      </c>
      <c r="K39" s="928">
        <f t="shared" si="21"/>
        <v>0</v>
      </c>
      <c r="L39" s="928">
        <f t="shared" si="21"/>
        <v>0</v>
      </c>
      <c r="M39" s="928">
        <f t="shared" si="21"/>
        <v>0</v>
      </c>
      <c r="N39" s="928">
        <f t="shared" si="21"/>
        <v>0</v>
      </c>
      <c r="O39" s="928">
        <f t="shared" si="21"/>
        <v>0</v>
      </c>
      <c r="P39" s="928">
        <f t="shared" si="21"/>
        <v>0</v>
      </c>
      <c r="Q39" s="928">
        <f t="shared" si="21"/>
        <v>0</v>
      </c>
      <c r="R39" s="928">
        <f t="shared" si="21"/>
        <v>0</v>
      </c>
      <c r="S39" s="295">
        <f t="shared" si="9"/>
        <v>0</v>
      </c>
      <c r="U39" s="276"/>
      <c r="V39" s="607"/>
      <c r="W39" s="305"/>
      <c r="X39" s="432" t="s">
        <v>251</v>
      </c>
      <c r="Y39" s="640">
        <f>F34</f>
        <v>0.28999999999999998</v>
      </c>
      <c r="Z39" s="362">
        <f t="shared" ref="Z39:AK39" si="22">Z34*$Y39</f>
        <v>0</v>
      </c>
      <c r="AA39" s="362">
        <f t="shared" si="22"/>
        <v>0</v>
      </c>
      <c r="AB39" s="362">
        <f t="shared" si="22"/>
        <v>0</v>
      </c>
      <c r="AC39" s="362">
        <f t="shared" si="22"/>
        <v>0</v>
      </c>
      <c r="AD39" s="362">
        <f t="shared" si="22"/>
        <v>0</v>
      </c>
      <c r="AE39" s="362">
        <f t="shared" si="22"/>
        <v>0</v>
      </c>
      <c r="AF39" s="362">
        <f t="shared" si="22"/>
        <v>0</v>
      </c>
      <c r="AG39" s="362">
        <f t="shared" si="22"/>
        <v>0</v>
      </c>
      <c r="AH39" s="362">
        <f t="shared" si="22"/>
        <v>0</v>
      </c>
      <c r="AI39" s="362">
        <f t="shared" si="22"/>
        <v>0</v>
      </c>
      <c r="AJ39" s="362">
        <f t="shared" si="22"/>
        <v>0</v>
      </c>
      <c r="AK39" s="362">
        <f t="shared" si="22"/>
        <v>0</v>
      </c>
      <c r="AL39" s="646">
        <f>SUM(Z39:AK39)</f>
        <v>0</v>
      </c>
    </row>
    <row r="40" spans="2:40" ht="12" customHeight="1" x14ac:dyDescent="0.2">
      <c r="B40" s="653" t="s">
        <v>140</v>
      </c>
      <c r="C40" s="1274" t="s">
        <v>493</v>
      </c>
      <c r="D40" s="1274"/>
      <c r="E40" s="1274"/>
      <c r="F40" s="1276"/>
      <c r="G40" s="928">
        <f t="shared" ref="G40:R40" si="23">$V40/12</f>
        <v>0</v>
      </c>
      <c r="H40" s="928">
        <f t="shared" si="23"/>
        <v>0</v>
      </c>
      <c r="I40" s="928">
        <f t="shared" si="23"/>
        <v>0</v>
      </c>
      <c r="J40" s="928">
        <f t="shared" si="23"/>
        <v>0</v>
      </c>
      <c r="K40" s="928">
        <f t="shared" si="23"/>
        <v>0</v>
      </c>
      <c r="L40" s="928">
        <f t="shared" si="23"/>
        <v>0</v>
      </c>
      <c r="M40" s="928">
        <f t="shared" si="23"/>
        <v>0</v>
      </c>
      <c r="N40" s="928">
        <f t="shared" si="23"/>
        <v>0</v>
      </c>
      <c r="O40" s="928">
        <f t="shared" si="23"/>
        <v>0</v>
      </c>
      <c r="P40" s="928">
        <f t="shared" si="23"/>
        <v>0</v>
      </c>
      <c r="Q40" s="928">
        <f t="shared" si="23"/>
        <v>0</v>
      </c>
      <c r="R40" s="928">
        <f t="shared" si="23"/>
        <v>0</v>
      </c>
      <c r="S40" s="295">
        <f t="shared" si="9"/>
        <v>0</v>
      </c>
      <c r="U40" s="276"/>
      <c r="V40" s="390">
        <f>'3. Ekonomikalkyl ingen moms'!J47</f>
        <v>0</v>
      </c>
      <c r="W40" s="305"/>
      <c r="X40" s="432" t="s">
        <v>252</v>
      </c>
      <c r="Y40" s="640">
        <f>F36</f>
        <v>0.25</v>
      </c>
      <c r="Z40" s="362">
        <f>Z36*$Y40</f>
        <v>0</v>
      </c>
      <c r="AA40" s="362">
        <f t="shared" ref="AA40:AK40" si="24">AA36*$Y40</f>
        <v>0</v>
      </c>
      <c r="AB40" s="362">
        <f t="shared" si="24"/>
        <v>0</v>
      </c>
      <c r="AC40" s="362">
        <f t="shared" si="24"/>
        <v>0</v>
      </c>
      <c r="AD40" s="362">
        <f t="shared" si="24"/>
        <v>0</v>
      </c>
      <c r="AE40" s="362">
        <f t="shared" si="24"/>
        <v>0</v>
      </c>
      <c r="AF40" s="362">
        <f t="shared" si="24"/>
        <v>0</v>
      </c>
      <c r="AG40" s="362">
        <f t="shared" si="24"/>
        <v>0</v>
      </c>
      <c r="AH40" s="362">
        <f t="shared" si="24"/>
        <v>0</v>
      </c>
      <c r="AI40" s="362">
        <f t="shared" si="24"/>
        <v>0</v>
      </c>
      <c r="AJ40" s="362">
        <f t="shared" si="24"/>
        <v>0</v>
      </c>
      <c r="AK40" s="362">
        <f t="shared" si="24"/>
        <v>0</v>
      </c>
      <c r="AL40" s="646">
        <f>SUM(Z40:AK40)</f>
        <v>0</v>
      </c>
    </row>
    <row r="41" spans="2:40" ht="12" customHeight="1" x14ac:dyDescent="0.2">
      <c r="B41" s="653" t="s">
        <v>141</v>
      </c>
      <c r="C41" s="1274" t="s">
        <v>494</v>
      </c>
      <c r="D41" s="1275"/>
      <c r="E41" s="1275"/>
      <c r="F41" s="935">
        <v>0.17979999999999999</v>
      </c>
      <c r="G41" s="432">
        <f>(G36+G37)*$F41</f>
        <v>0</v>
      </c>
      <c r="H41" s="432">
        <f t="shared" ref="H41:R41" si="25">(H36+H37)*$F41</f>
        <v>0</v>
      </c>
      <c r="I41" s="432">
        <f t="shared" si="25"/>
        <v>0</v>
      </c>
      <c r="J41" s="432">
        <f t="shared" si="25"/>
        <v>0</v>
      </c>
      <c r="K41" s="432">
        <f t="shared" si="25"/>
        <v>0</v>
      </c>
      <c r="L41" s="432">
        <f t="shared" si="25"/>
        <v>0</v>
      </c>
      <c r="M41" s="432">
        <f t="shared" si="25"/>
        <v>0</v>
      </c>
      <c r="N41" s="432">
        <f t="shared" si="25"/>
        <v>0</v>
      </c>
      <c r="O41" s="432">
        <f t="shared" si="25"/>
        <v>0</v>
      </c>
      <c r="P41" s="432">
        <f t="shared" si="25"/>
        <v>0</v>
      </c>
      <c r="Q41" s="432">
        <f t="shared" si="25"/>
        <v>0</v>
      </c>
      <c r="R41" s="432">
        <f t="shared" si="25"/>
        <v>0</v>
      </c>
      <c r="S41" s="295">
        <f t="shared" si="9"/>
        <v>0</v>
      </c>
      <c r="U41" s="276"/>
      <c r="V41" s="276"/>
      <c r="W41" s="305"/>
      <c r="X41" s="432" t="s">
        <v>254</v>
      </c>
      <c r="Y41" s="359"/>
      <c r="Z41" s="646">
        <f t="shared" ref="Z41:AK41" si="26">G34</f>
        <v>0</v>
      </c>
      <c r="AA41" s="646">
        <f t="shared" si="26"/>
        <v>0</v>
      </c>
      <c r="AB41" s="646">
        <f t="shared" si="26"/>
        <v>0</v>
      </c>
      <c r="AC41" s="646">
        <f t="shared" si="26"/>
        <v>0</v>
      </c>
      <c r="AD41" s="646">
        <f t="shared" si="26"/>
        <v>0</v>
      </c>
      <c r="AE41" s="646">
        <f t="shared" si="26"/>
        <v>0</v>
      </c>
      <c r="AF41" s="646">
        <f t="shared" si="26"/>
        <v>0</v>
      </c>
      <c r="AG41" s="646">
        <f t="shared" si="26"/>
        <v>0</v>
      </c>
      <c r="AH41" s="646">
        <f t="shared" si="26"/>
        <v>0</v>
      </c>
      <c r="AI41" s="646">
        <f t="shared" si="26"/>
        <v>0</v>
      </c>
      <c r="AJ41" s="646">
        <f t="shared" si="26"/>
        <v>0</v>
      </c>
      <c r="AK41" s="646">
        <f t="shared" si="26"/>
        <v>0</v>
      </c>
      <c r="AL41" s="646">
        <f t="shared" ref="AL41:AL43" si="27">SUM(Z41:AK41)</f>
        <v>0</v>
      </c>
    </row>
    <row r="42" spans="2:40" ht="12" customHeight="1" x14ac:dyDescent="0.2">
      <c r="B42" s="653" t="s">
        <v>142</v>
      </c>
      <c r="C42" s="386" t="s">
        <v>495</v>
      </c>
      <c r="D42" s="389"/>
      <c r="E42" s="389"/>
      <c r="F42" s="398"/>
      <c r="G42" s="928">
        <f t="shared" ref="G42:R42" si="28">$V42/12</f>
        <v>0</v>
      </c>
      <c r="H42" s="928">
        <f t="shared" si="28"/>
        <v>0</v>
      </c>
      <c r="I42" s="928">
        <f t="shared" si="28"/>
        <v>0</v>
      </c>
      <c r="J42" s="928">
        <f t="shared" si="28"/>
        <v>0</v>
      </c>
      <c r="K42" s="928">
        <f t="shared" si="28"/>
        <v>0</v>
      </c>
      <c r="L42" s="928">
        <f t="shared" si="28"/>
        <v>0</v>
      </c>
      <c r="M42" s="928">
        <f t="shared" si="28"/>
        <v>0</v>
      </c>
      <c r="N42" s="928">
        <f t="shared" si="28"/>
        <v>0</v>
      </c>
      <c r="O42" s="928">
        <f t="shared" si="28"/>
        <v>0</v>
      </c>
      <c r="P42" s="928">
        <f t="shared" si="28"/>
        <v>0</v>
      </c>
      <c r="Q42" s="928">
        <f t="shared" si="28"/>
        <v>0</v>
      </c>
      <c r="R42" s="928">
        <f t="shared" si="28"/>
        <v>0</v>
      </c>
      <c r="S42" s="392">
        <f t="shared" si="9"/>
        <v>0</v>
      </c>
      <c r="U42" s="276"/>
      <c r="V42" s="297">
        <f>12*'3. Ekonomikalkyl ingen moms'!J53/'3. Ekonomikalkyl ingen moms'!J33</f>
        <v>0</v>
      </c>
      <c r="W42" s="305"/>
      <c r="X42" s="432" t="s">
        <v>255</v>
      </c>
      <c r="Y42" s="359"/>
      <c r="Z42" s="646">
        <f t="shared" ref="Z42:AK42" si="29">G36</f>
        <v>0</v>
      </c>
      <c r="AA42" s="646">
        <f t="shared" si="29"/>
        <v>0</v>
      </c>
      <c r="AB42" s="646">
        <f t="shared" si="29"/>
        <v>0</v>
      </c>
      <c r="AC42" s="646">
        <f t="shared" si="29"/>
        <v>0</v>
      </c>
      <c r="AD42" s="646">
        <f t="shared" si="29"/>
        <v>0</v>
      </c>
      <c r="AE42" s="646">
        <f t="shared" si="29"/>
        <v>0</v>
      </c>
      <c r="AF42" s="646">
        <f t="shared" si="29"/>
        <v>0</v>
      </c>
      <c r="AG42" s="646">
        <f t="shared" si="29"/>
        <v>0</v>
      </c>
      <c r="AH42" s="646">
        <f t="shared" si="29"/>
        <v>0</v>
      </c>
      <c r="AI42" s="646">
        <f t="shared" si="29"/>
        <v>0</v>
      </c>
      <c r="AJ42" s="646">
        <f t="shared" si="29"/>
        <v>0</v>
      </c>
      <c r="AK42" s="646">
        <f t="shared" si="29"/>
        <v>0</v>
      </c>
      <c r="AL42" s="646">
        <f t="shared" si="27"/>
        <v>0</v>
      </c>
    </row>
    <row r="43" spans="2:40" ht="12" customHeight="1" x14ac:dyDescent="0.2">
      <c r="B43" s="653" t="s">
        <v>143</v>
      </c>
      <c r="C43" s="1274" t="s">
        <v>496</v>
      </c>
      <c r="D43" s="1275"/>
      <c r="E43" s="1275"/>
      <c r="F43" s="399"/>
      <c r="G43" s="928"/>
      <c r="H43" s="928">
        <f>V43</f>
        <v>0</v>
      </c>
      <c r="I43" s="928"/>
      <c r="J43" s="928"/>
      <c r="K43" s="928"/>
      <c r="L43" s="928"/>
      <c r="M43" s="928"/>
      <c r="N43" s="928"/>
      <c r="O43" s="928"/>
      <c r="P43" s="928"/>
      <c r="Q43" s="928"/>
      <c r="R43" s="928"/>
      <c r="S43" s="295">
        <f t="shared" si="9"/>
        <v>0</v>
      </c>
      <c r="U43" s="276"/>
      <c r="V43" s="297">
        <f>12*('3. Ekonomikalkyl ingen moms'!J112+0.003*'3. Ekonomikalkyl ingen moms'!J69)/'3. Ekonomikalkyl ingen moms'!J33</f>
        <v>0</v>
      </c>
      <c r="W43" s="305"/>
      <c r="X43" s="359" t="s">
        <v>257</v>
      </c>
      <c r="Y43" s="645">
        <f t="shared" ref="Y43:AK43" si="30">F38</f>
        <v>8.1900000000000001E-2</v>
      </c>
      <c r="Z43" s="646">
        <f t="shared" si="30"/>
        <v>0</v>
      </c>
      <c r="AA43" s="646">
        <f t="shared" si="30"/>
        <v>0</v>
      </c>
      <c r="AB43" s="646">
        <f t="shared" si="30"/>
        <v>0</v>
      </c>
      <c r="AC43" s="646">
        <f t="shared" si="30"/>
        <v>0</v>
      </c>
      <c r="AD43" s="646">
        <f t="shared" si="30"/>
        <v>0</v>
      </c>
      <c r="AE43" s="646">
        <f t="shared" si="30"/>
        <v>0</v>
      </c>
      <c r="AF43" s="646">
        <f t="shared" si="30"/>
        <v>0</v>
      </c>
      <c r="AG43" s="646">
        <f t="shared" si="30"/>
        <v>0</v>
      </c>
      <c r="AH43" s="646">
        <f t="shared" si="30"/>
        <v>0</v>
      </c>
      <c r="AI43" s="646">
        <f t="shared" si="30"/>
        <v>0</v>
      </c>
      <c r="AJ43" s="646">
        <f t="shared" si="30"/>
        <v>0</v>
      </c>
      <c r="AK43" s="646">
        <f t="shared" si="30"/>
        <v>0</v>
      </c>
      <c r="AL43" s="646">
        <f t="shared" si="27"/>
        <v>0</v>
      </c>
    </row>
    <row r="44" spans="2:40" s="272" customFormat="1" ht="12" customHeight="1" x14ac:dyDescent="0.2">
      <c r="B44" s="653" t="s">
        <v>144</v>
      </c>
      <c r="C44" s="1274" t="s">
        <v>497</v>
      </c>
      <c r="D44" s="1274"/>
      <c r="E44" s="1274"/>
      <c r="F44" s="1276"/>
      <c r="G44" s="928">
        <f t="shared" ref="G44:R44" si="31">$V44/12</f>
        <v>0</v>
      </c>
      <c r="H44" s="928">
        <f t="shared" si="31"/>
        <v>0</v>
      </c>
      <c r="I44" s="928">
        <f t="shared" si="31"/>
        <v>0</v>
      </c>
      <c r="J44" s="928">
        <f t="shared" si="31"/>
        <v>0</v>
      </c>
      <c r="K44" s="928">
        <f t="shared" si="31"/>
        <v>0</v>
      </c>
      <c r="L44" s="928">
        <f t="shared" si="31"/>
        <v>0</v>
      </c>
      <c r="M44" s="928">
        <f t="shared" si="31"/>
        <v>0</v>
      </c>
      <c r="N44" s="928">
        <f t="shared" si="31"/>
        <v>0</v>
      </c>
      <c r="O44" s="928">
        <f t="shared" si="31"/>
        <v>0</v>
      </c>
      <c r="P44" s="928">
        <f t="shared" si="31"/>
        <v>0</v>
      </c>
      <c r="Q44" s="928">
        <f t="shared" si="31"/>
        <v>0</v>
      </c>
      <c r="R44" s="928">
        <f t="shared" si="31"/>
        <v>0</v>
      </c>
      <c r="S44" s="295">
        <f t="shared" si="9"/>
        <v>0</v>
      </c>
      <c r="U44" s="276"/>
      <c r="V44" s="297">
        <f>' 6 AT Palkat, alv '!T60</f>
        <v>0</v>
      </c>
      <c r="W44" s="305"/>
      <c r="X44" s="641" t="s">
        <v>253</v>
      </c>
      <c r="Y44" s="642"/>
      <c r="Z44" s="649">
        <f>Z41+Z42-Z39-Z40-Z43</f>
        <v>0</v>
      </c>
      <c r="AA44" s="649">
        <f t="shared" ref="AA44:AK44" si="32">AA41+AA42-AA39-AA40-AA43</f>
        <v>0</v>
      </c>
      <c r="AB44" s="649">
        <f t="shared" si="32"/>
        <v>0</v>
      </c>
      <c r="AC44" s="649">
        <f t="shared" si="32"/>
        <v>0</v>
      </c>
      <c r="AD44" s="649">
        <f t="shared" si="32"/>
        <v>0</v>
      </c>
      <c r="AE44" s="649">
        <f t="shared" si="32"/>
        <v>0</v>
      </c>
      <c r="AF44" s="649">
        <f t="shared" si="32"/>
        <v>0</v>
      </c>
      <c r="AG44" s="649">
        <f t="shared" si="32"/>
        <v>0</v>
      </c>
      <c r="AH44" s="649">
        <f t="shared" si="32"/>
        <v>0</v>
      </c>
      <c r="AI44" s="649">
        <f t="shared" si="32"/>
        <v>0</v>
      </c>
      <c r="AJ44" s="649">
        <f t="shared" si="32"/>
        <v>0</v>
      </c>
      <c r="AK44" s="649">
        <f t="shared" si="32"/>
        <v>0</v>
      </c>
      <c r="AL44" s="649">
        <f>SUM(Z44:AK44)</f>
        <v>0</v>
      </c>
    </row>
    <row r="45" spans="2:40" ht="12" customHeight="1" x14ac:dyDescent="0.2">
      <c r="B45" s="653" t="s">
        <v>145</v>
      </c>
      <c r="C45" s="1274" t="s">
        <v>498</v>
      </c>
      <c r="D45" s="1274"/>
      <c r="E45" s="1274"/>
      <c r="F45" s="1276"/>
      <c r="G45" s="928"/>
      <c r="H45" s="928"/>
      <c r="I45" s="928"/>
      <c r="J45" s="928"/>
      <c r="K45" s="928"/>
      <c r="L45" s="928">
        <f>$V45/2</f>
        <v>0</v>
      </c>
      <c r="M45" s="928"/>
      <c r="N45" s="928"/>
      <c r="O45" s="928">
        <v>0</v>
      </c>
      <c r="P45" s="928"/>
      <c r="Q45" s="928"/>
      <c r="R45" s="928">
        <f>$V45/2</f>
        <v>0</v>
      </c>
      <c r="S45" s="295">
        <f t="shared" si="9"/>
        <v>0</v>
      </c>
      <c r="U45" s="276"/>
      <c r="V45" s="297">
        <f>12*'3. Ekonomikalkyl ingen moms'!J35/'3. Ekonomikalkyl ingen moms'!J33</f>
        <v>0</v>
      </c>
      <c r="W45" s="305"/>
      <c r="X45" s="305"/>
    </row>
    <row r="46" spans="2:40" ht="12" customHeight="1" x14ac:dyDescent="0.2">
      <c r="B46" s="653" t="s">
        <v>146</v>
      </c>
      <c r="C46" s="1274" t="s">
        <v>499</v>
      </c>
      <c r="D46" s="1274"/>
      <c r="E46" s="1274"/>
      <c r="F46" s="1276"/>
      <c r="G46" s="928"/>
      <c r="H46" s="928"/>
      <c r="I46" s="928"/>
      <c r="J46" s="928"/>
      <c r="K46" s="928"/>
      <c r="L46" s="928"/>
      <c r="M46" s="928"/>
      <c r="N46" s="928"/>
      <c r="O46" s="928"/>
      <c r="P46" s="928"/>
      <c r="Q46" s="928"/>
      <c r="R46" s="928"/>
      <c r="S46" s="295">
        <f t="shared" si="9"/>
        <v>0</v>
      </c>
      <c r="U46" s="276"/>
      <c r="V46" s="297"/>
      <c r="W46" s="305"/>
      <c r="X46" s="305"/>
    </row>
    <row r="47" spans="2:40" ht="12" customHeight="1" x14ac:dyDescent="0.2">
      <c r="B47" s="653" t="s">
        <v>147</v>
      </c>
      <c r="C47" s="1274" t="s">
        <v>500</v>
      </c>
      <c r="D47" s="1274"/>
      <c r="E47" s="1274"/>
      <c r="F47" s="1276"/>
      <c r="G47" s="928">
        <f t="shared" ref="G47:R48" si="33">$V47/12</f>
        <v>0</v>
      </c>
      <c r="H47" s="928">
        <f t="shared" si="33"/>
        <v>0</v>
      </c>
      <c r="I47" s="928">
        <f t="shared" si="33"/>
        <v>0</v>
      </c>
      <c r="J47" s="928">
        <f t="shared" si="33"/>
        <v>0</v>
      </c>
      <c r="K47" s="928">
        <f t="shared" si="33"/>
        <v>0</v>
      </c>
      <c r="L47" s="928">
        <f t="shared" si="33"/>
        <v>0</v>
      </c>
      <c r="M47" s="928">
        <f t="shared" si="33"/>
        <v>0</v>
      </c>
      <c r="N47" s="928">
        <f t="shared" si="33"/>
        <v>0</v>
      </c>
      <c r="O47" s="928">
        <f t="shared" si="33"/>
        <v>0</v>
      </c>
      <c r="P47" s="928">
        <f t="shared" si="33"/>
        <v>0</v>
      </c>
      <c r="Q47" s="928">
        <f t="shared" si="33"/>
        <v>0</v>
      </c>
      <c r="R47" s="928">
        <f t="shared" si="33"/>
        <v>0</v>
      </c>
      <c r="S47" s="295">
        <f t="shared" si="9"/>
        <v>0</v>
      </c>
      <c r="U47" s="276"/>
      <c r="V47" s="297">
        <f>12*('3. Ekonomikalkyl ingen moms'!J92+'3. Ekonomikalkyl ingen moms'!J93)/'3. Ekonomikalkyl ingen moms'!J33</f>
        <v>0</v>
      </c>
      <c r="W47" s="305"/>
      <c r="X47" s="305"/>
    </row>
    <row r="48" spans="2:40" ht="12" customHeight="1" x14ac:dyDescent="0.2">
      <c r="B48" s="653" t="s">
        <v>148</v>
      </c>
      <c r="C48" s="1274" t="s">
        <v>501</v>
      </c>
      <c r="D48" s="1274"/>
      <c r="E48" s="1274"/>
      <c r="F48" s="1276"/>
      <c r="G48" s="928">
        <f>$V48/12</f>
        <v>0</v>
      </c>
      <c r="H48" s="928">
        <f t="shared" si="33"/>
        <v>0</v>
      </c>
      <c r="I48" s="928">
        <f t="shared" si="33"/>
        <v>0</v>
      </c>
      <c r="J48" s="928">
        <f t="shared" si="33"/>
        <v>0</v>
      </c>
      <c r="K48" s="928">
        <f t="shared" si="33"/>
        <v>0</v>
      </c>
      <c r="L48" s="928">
        <f t="shared" si="33"/>
        <v>0</v>
      </c>
      <c r="M48" s="928">
        <f t="shared" si="33"/>
        <v>0</v>
      </c>
      <c r="N48" s="928">
        <f t="shared" si="33"/>
        <v>0</v>
      </c>
      <c r="O48" s="928">
        <f t="shared" si="33"/>
        <v>0</v>
      </c>
      <c r="P48" s="928">
        <f t="shared" si="33"/>
        <v>0</v>
      </c>
      <c r="Q48" s="928">
        <f t="shared" si="33"/>
        <v>0</v>
      </c>
      <c r="R48" s="928">
        <f t="shared" si="33"/>
        <v>0</v>
      </c>
      <c r="S48" s="295">
        <f t="shared" si="9"/>
        <v>0</v>
      </c>
      <c r="U48" s="276"/>
      <c r="V48" s="603">
        <f>12*'3. Ekonomikalkyl ingen moms'!J115/'3. Ekonomikalkyl ingen moms'!J33</f>
        <v>0</v>
      </c>
      <c r="W48" s="305"/>
      <c r="X48" s="305">
        <v>0</v>
      </c>
    </row>
    <row r="49" spans="2:24" ht="12" customHeight="1" x14ac:dyDescent="0.2">
      <c r="B49" s="653" t="s">
        <v>149</v>
      </c>
      <c r="C49" s="1274" t="s">
        <v>502</v>
      </c>
      <c r="D49" s="1274"/>
      <c r="E49" s="1274"/>
      <c r="F49" s="1276"/>
      <c r="G49" s="928"/>
      <c r="H49" s="928"/>
      <c r="I49" s="928"/>
      <c r="J49" s="928"/>
      <c r="K49" s="928"/>
      <c r="L49" s="928">
        <f>V49/2</f>
        <v>0</v>
      </c>
      <c r="M49" s="928"/>
      <c r="N49" s="928"/>
      <c r="O49" s="928">
        <v>0</v>
      </c>
      <c r="P49" s="928"/>
      <c r="Q49" s="928"/>
      <c r="R49" s="928">
        <f>V49/2</f>
        <v>0</v>
      </c>
      <c r="S49" s="295">
        <f t="shared" si="9"/>
        <v>0</v>
      </c>
      <c r="U49" s="276"/>
      <c r="V49" s="297">
        <f>12*('3. Ekonomikalkyl ingen moms'!M10-'3. Ekonomikalkyl ingen moms'!J36)/'3. Ekonomikalkyl ingen moms'!J33</f>
        <v>0</v>
      </c>
      <c r="W49" s="305"/>
      <c r="X49" s="305"/>
    </row>
    <row r="50" spans="2:24" ht="12" customHeight="1" x14ac:dyDescent="0.2">
      <c r="B50" s="653" t="s">
        <v>150</v>
      </c>
      <c r="C50" s="1274" t="s">
        <v>503</v>
      </c>
      <c r="D50" s="1275"/>
      <c r="E50" s="1275"/>
      <c r="F50" s="387"/>
      <c r="G50" s="928">
        <f t="shared" ref="G50:R50" si="34">$V50/12</f>
        <v>0</v>
      </c>
      <c r="H50" s="928">
        <f t="shared" si="34"/>
        <v>0</v>
      </c>
      <c r="I50" s="928">
        <f t="shared" si="34"/>
        <v>0</v>
      </c>
      <c r="J50" s="928">
        <f t="shared" si="34"/>
        <v>0</v>
      </c>
      <c r="K50" s="928">
        <f t="shared" si="34"/>
        <v>0</v>
      </c>
      <c r="L50" s="928">
        <f t="shared" si="34"/>
        <v>0</v>
      </c>
      <c r="M50" s="928">
        <f t="shared" si="34"/>
        <v>0</v>
      </c>
      <c r="N50" s="928">
        <f t="shared" si="34"/>
        <v>0</v>
      </c>
      <c r="O50" s="928">
        <f t="shared" si="34"/>
        <v>0</v>
      </c>
      <c r="P50" s="928">
        <f t="shared" si="34"/>
        <v>0</v>
      </c>
      <c r="Q50" s="928">
        <f t="shared" si="34"/>
        <v>0</v>
      </c>
      <c r="R50" s="928">
        <f t="shared" si="34"/>
        <v>0</v>
      </c>
      <c r="S50" s="295">
        <f t="shared" si="9"/>
        <v>0</v>
      </c>
      <c r="T50" s="210"/>
      <c r="U50" s="276"/>
      <c r="V50" s="297">
        <f>12*'3. Ekonomikalkyl ingen moms'!J37/'3. Ekonomikalkyl ingen moms'!J33</f>
        <v>0</v>
      </c>
      <c r="W50" s="305"/>
      <c r="X50" s="305"/>
    </row>
    <row r="51" spans="2:24" ht="12" hidden="1" customHeight="1" x14ac:dyDescent="0.2">
      <c r="B51" s="653" t="s">
        <v>151</v>
      </c>
      <c r="C51" s="1274" t="s">
        <v>504</v>
      </c>
      <c r="D51" s="1274"/>
      <c r="E51" s="1274"/>
      <c r="F51" s="1276"/>
      <c r="G51" s="928">
        <f>V51</f>
        <v>0</v>
      </c>
      <c r="H51" s="928"/>
      <c r="I51" s="928"/>
      <c r="J51" s="928">
        <v>0</v>
      </c>
      <c r="K51" s="928"/>
      <c r="L51" s="928"/>
      <c r="M51" s="928"/>
      <c r="N51" s="928"/>
      <c r="O51" s="928"/>
      <c r="P51" s="928"/>
      <c r="Q51" s="928"/>
      <c r="R51" s="928"/>
      <c r="S51" s="295">
        <f>ROUND(SUM(G51:R51),0)</f>
        <v>0</v>
      </c>
      <c r="T51" s="617"/>
      <c r="U51" s="276"/>
      <c r="V51" s="369">
        <v>0</v>
      </c>
      <c r="W51" s="305"/>
      <c r="X51" s="305"/>
    </row>
    <row r="52" spans="2:24" ht="12" customHeight="1" thickBot="1" x14ac:dyDescent="0.25">
      <c r="B52" s="653" t="s">
        <v>151</v>
      </c>
      <c r="C52" s="1273" t="s">
        <v>505</v>
      </c>
      <c r="D52" s="1273"/>
      <c r="E52" s="1273"/>
      <c r="F52" s="391"/>
      <c r="G52" s="931">
        <v>0</v>
      </c>
      <c r="H52" s="931"/>
      <c r="I52" s="931"/>
      <c r="J52" s="931"/>
      <c r="K52" s="931"/>
      <c r="L52" s="931">
        <v>0</v>
      </c>
      <c r="M52" s="931"/>
      <c r="N52" s="931"/>
      <c r="O52" s="931"/>
      <c r="P52" s="931">
        <v>0</v>
      </c>
      <c r="Q52" s="931"/>
      <c r="R52" s="931"/>
      <c r="S52" s="295">
        <f t="shared" si="9"/>
        <v>0</v>
      </c>
      <c r="U52" s="276"/>
      <c r="V52" s="276"/>
      <c r="W52" s="305"/>
      <c r="X52" s="305"/>
    </row>
    <row r="53" spans="2:24" ht="18" customHeight="1" thickTop="1" thickBot="1" x14ac:dyDescent="0.25">
      <c r="B53" s="658"/>
      <c r="C53" s="1395" t="s">
        <v>554</v>
      </c>
      <c r="D53" s="1395"/>
      <c r="E53" s="1395"/>
      <c r="F53" s="406"/>
      <c r="G53" s="1022">
        <f t="shared" ref="G53:R53" si="35">G19+G20+G21+G22+G23+G24+G25+G26+G27+G28+G29+G30+G31+G32+G33+G39+G40+G41+G42+G43+G44+G45+G46+G47+G48+G49+G50+G51+G52</f>
        <v>0</v>
      </c>
      <c r="H53" s="1022">
        <f t="shared" si="35"/>
        <v>0</v>
      </c>
      <c r="I53" s="1022">
        <f t="shared" si="35"/>
        <v>0</v>
      </c>
      <c r="J53" s="1022">
        <f t="shared" si="35"/>
        <v>0</v>
      </c>
      <c r="K53" s="1022">
        <f t="shared" si="35"/>
        <v>0</v>
      </c>
      <c r="L53" s="1022">
        <f t="shared" si="35"/>
        <v>0</v>
      </c>
      <c r="M53" s="1022">
        <f t="shared" si="35"/>
        <v>0</v>
      </c>
      <c r="N53" s="1022">
        <f t="shared" si="35"/>
        <v>0</v>
      </c>
      <c r="O53" s="1022">
        <f t="shared" si="35"/>
        <v>0</v>
      </c>
      <c r="P53" s="1022">
        <f t="shared" si="35"/>
        <v>0</v>
      </c>
      <c r="Q53" s="1022">
        <f t="shared" si="35"/>
        <v>0</v>
      </c>
      <c r="R53" s="1022">
        <f t="shared" si="35"/>
        <v>0</v>
      </c>
      <c r="S53" s="1022">
        <f>SUM(G53:R53)</f>
        <v>0</v>
      </c>
    </row>
    <row r="54" spans="2:24" ht="6" customHeight="1" thickTop="1" x14ac:dyDescent="0.2">
      <c r="B54" s="650"/>
      <c r="C54" s="301"/>
      <c r="D54" s="301"/>
      <c r="E54" s="301"/>
      <c r="F54" s="301"/>
      <c r="G54" s="302"/>
      <c r="H54" s="302"/>
      <c r="I54" s="302"/>
      <c r="J54" s="302"/>
      <c r="K54" s="302"/>
      <c r="L54" s="302"/>
      <c r="M54" s="302"/>
      <c r="N54" s="302"/>
      <c r="O54" s="302"/>
      <c r="P54" s="302"/>
      <c r="Q54" s="302"/>
      <c r="R54" s="302"/>
      <c r="S54" s="303"/>
    </row>
    <row r="55" spans="2:24" ht="18" customHeight="1" x14ac:dyDescent="0.2">
      <c r="B55" s="659"/>
      <c r="C55" s="1267" t="s">
        <v>507</v>
      </c>
      <c r="D55" s="1268"/>
      <c r="E55" s="1268"/>
      <c r="F55" s="1268"/>
      <c r="G55" s="304">
        <f t="shared" ref="G55:R55" si="36">G16-G53</f>
        <v>0</v>
      </c>
      <c r="H55" s="304">
        <f t="shared" si="36"/>
        <v>0</v>
      </c>
      <c r="I55" s="304">
        <f t="shared" si="36"/>
        <v>0</v>
      </c>
      <c r="J55" s="304">
        <f t="shared" si="36"/>
        <v>0</v>
      </c>
      <c r="K55" s="304">
        <f t="shared" si="36"/>
        <v>0</v>
      </c>
      <c r="L55" s="304">
        <f t="shared" si="36"/>
        <v>0</v>
      </c>
      <c r="M55" s="304">
        <f t="shared" si="36"/>
        <v>0</v>
      </c>
      <c r="N55" s="304">
        <f t="shared" si="36"/>
        <v>0</v>
      </c>
      <c r="O55" s="304">
        <f t="shared" si="36"/>
        <v>0</v>
      </c>
      <c r="P55" s="304">
        <f t="shared" si="36"/>
        <v>0</v>
      </c>
      <c r="Q55" s="304">
        <f t="shared" si="36"/>
        <v>0</v>
      </c>
      <c r="R55" s="304">
        <f t="shared" si="36"/>
        <v>0</v>
      </c>
      <c r="S55" s="1269">
        <f>SUM(G55:R55)</f>
        <v>0</v>
      </c>
    </row>
    <row r="56" spans="2:24" ht="18" customHeight="1" x14ac:dyDescent="0.2">
      <c r="B56" s="659"/>
      <c r="C56" s="1267" t="s">
        <v>508</v>
      </c>
      <c r="D56" s="1268"/>
      <c r="E56" s="1268"/>
      <c r="F56" s="1268"/>
      <c r="G56" s="304">
        <f>G8+G55</f>
        <v>0</v>
      </c>
      <c r="H56" s="304">
        <f t="shared" ref="H56:R56" si="37">G56+H55</f>
        <v>0</v>
      </c>
      <c r="I56" s="304">
        <f t="shared" si="37"/>
        <v>0</v>
      </c>
      <c r="J56" s="304">
        <f t="shared" si="37"/>
        <v>0</v>
      </c>
      <c r="K56" s="304">
        <f t="shared" si="37"/>
        <v>0</v>
      </c>
      <c r="L56" s="304">
        <f t="shared" si="37"/>
        <v>0</v>
      </c>
      <c r="M56" s="304">
        <f t="shared" si="37"/>
        <v>0</v>
      </c>
      <c r="N56" s="304">
        <f t="shared" si="37"/>
        <v>0</v>
      </c>
      <c r="O56" s="304">
        <f t="shared" si="37"/>
        <v>0</v>
      </c>
      <c r="P56" s="304">
        <f t="shared" si="37"/>
        <v>0</v>
      </c>
      <c r="Q56" s="304">
        <f t="shared" si="37"/>
        <v>0</v>
      </c>
      <c r="R56" s="408">
        <f t="shared" si="37"/>
        <v>0</v>
      </c>
      <c r="S56" s="1270"/>
    </row>
    <row r="57" spans="2:24" x14ac:dyDescent="0.2">
      <c r="S57" s="434"/>
    </row>
    <row r="58" spans="2:24" x14ac:dyDescent="0.2">
      <c r="C58" s="73" t="str">
        <f>'2. Kassabudget'!C58</f>
        <v>FT4 NYFÖRETAGETS EKONOMIPLAN</v>
      </c>
      <c r="K58" s="1289" t="str">
        <f>Startsidan!E40</f>
        <v>Business Kristinestad | Dynamo Närpes</v>
      </c>
      <c r="L58" s="1289"/>
      <c r="M58" s="1289"/>
      <c r="N58" s="1289"/>
      <c r="O58" s="1289"/>
      <c r="P58" s="1289"/>
      <c r="Q58" s="1289"/>
      <c r="R58" s="1289"/>
      <c r="S58" s="1289"/>
    </row>
    <row r="62" spans="2:24" x14ac:dyDescent="0.2">
      <c r="B62" s="420" t="s">
        <v>519</v>
      </c>
      <c r="C62" s="421"/>
      <c r="D62" s="421"/>
      <c r="E62" s="421"/>
      <c r="F62" s="421"/>
      <c r="G62" s="421"/>
      <c r="H62" s="421"/>
      <c r="I62" s="421"/>
      <c r="J62" s="421"/>
      <c r="K62" s="421"/>
      <c r="L62" s="421"/>
      <c r="M62" s="421"/>
      <c r="N62" s="421"/>
      <c r="O62" s="421"/>
      <c r="P62" s="421"/>
      <c r="Q62" s="421"/>
      <c r="R62" s="421"/>
      <c r="S62" s="422"/>
    </row>
    <row r="63" spans="2:24" x14ac:dyDescent="0.2">
      <c r="B63" s="423"/>
      <c r="C63" s="383"/>
      <c r="D63" s="383"/>
      <c r="E63" s="383"/>
      <c r="F63" s="383"/>
      <c r="G63" s="383"/>
      <c r="H63" s="383"/>
      <c r="I63" s="383"/>
      <c r="J63" s="383"/>
      <c r="K63" s="383"/>
      <c r="L63" s="383"/>
      <c r="M63" s="383"/>
      <c r="N63" s="383"/>
      <c r="O63" s="383"/>
      <c r="P63" s="383"/>
      <c r="Q63" s="383"/>
      <c r="R63" s="383"/>
      <c r="S63" s="424"/>
    </row>
    <row r="64" spans="2:24" x14ac:dyDescent="0.2">
      <c r="B64" s="423"/>
      <c r="C64" s="383"/>
      <c r="D64" s="383"/>
      <c r="E64" s="383"/>
      <c r="F64" s="383"/>
      <c r="G64" s="383"/>
      <c r="H64" s="383"/>
      <c r="I64" s="383"/>
      <c r="J64" s="383"/>
      <c r="K64" s="383"/>
      <c r="L64" s="383"/>
      <c r="M64" s="383"/>
      <c r="N64" s="383"/>
      <c r="O64" s="383"/>
      <c r="P64" s="383"/>
      <c r="Q64" s="383"/>
      <c r="R64" s="383"/>
      <c r="S64" s="424"/>
    </row>
    <row r="65" spans="2:19" x14ac:dyDescent="0.2">
      <c r="B65" s="423"/>
      <c r="C65" s="383"/>
      <c r="D65" s="383"/>
      <c r="E65" s="383"/>
      <c r="F65" s="383"/>
      <c r="G65" s="383"/>
      <c r="H65" s="383"/>
      <c r="I65" s="383"/>
      <c r="J65" s="383"/>
      <c r="K65" s="383"/>
      <c r="L65" s="383"/>
      <c r="M65" s="383"/>
      <c r="N65" s="383"/>
      <c r="O65" s="383"/>
      <c r="P65" s="383"/>
      <c r="Q65" s="383"/>
      <c r="R65" s="383"/>
      <c r="S65" s="424"/>
    </row>
    <row r="66" spans="2:19" x14ac:dyDescent="0.2">
      <c r="B66" s="423"/>
      <c r="C66" s="383"/>
      <c r="D66" s="383"/>
      <c r="E66" s="383"/>
      <c r="F66" s="383"/>
      <c r="G66" s="383"/>
      <c r="H66" s="383"/>
      <c r="I66" s="383"/>
      <c r="J66" s="383"/>
      <c r="K66" s="383"/>
      <c r="L66" s="383"/>
      <c r="M66" s="383"/>
      <c r="N66" s="383"/>
      <c r="O66" s="383"/>
      <c r="P66" s="383"/>
      <c r="Q66" s="383"/>
      <c r="R66" s="383"/>
      <c r="S66" s="424"/>
    </row>
    <row r="67" spans="2:19" x14ac:dyDescent="0.2">
      <c r="B67" s="423"/>
      <c r="C67" s="383"/>
      <c r="D67" s="383"/>
      <c r="E67" s="383"/>
      <c r="F67" s="383"/>
      <c r="G67" s="383"/>
      <c r="H67" s="383"/>
      <c r="I67" s="383"/>
      <c r="J67" s="383"/>
      <c r="K67" s="383"/>
      <c r="L67" s="383"/>
      <c r="M67" s="383"/>
      <c r="N67" s="383"/>
      <c r="O67" s="383"/>
      <c r="P67" s="383"/>
      <c r="Q67" s="383"/>
      <c r="R67" s="383"/>
      <c r="S67" s="424"/>
    </row>
    <row r="68" spans="2:19" x14ac:dyDescent="0.2">
      <c r="B68" s="423"/>
      <c r="C68" s="383"/>
      <c r="D68" s="383"/>
      <c r="E68" s="383"/>
      <c r="F68" s="383"/>
      <c r="G68" s="383"/>
      <c r="H68" s="383"/>
      <c r="I68" s="383"/>
      <c r="J68" s="383"/>
      <c r="K68" s="383"/>
      <c r="L68" s="383"/>
      <c r="M68" s="383"/>
      <c r="N68" s="383"/>
      <c r="O68" s="383"/>
      <c r="P68" s="383"/>
      <c r="Q68" s="383"/>
      <c r="R68" s="383"/>
      <c r="S68" s="424"/>
    </row>
    <row r="69" spans="2:19" x14ac:dyDescent="0.2">
      <c r="B69" s="423"/>
      <c r="C69" s="383"/>
      <c r="D69" s="383"/>
      <c r="E69" s="383"/>
      <c r="F69" s="383"/>
      <c r="G69" s="383"/>
      <c r="H69" s="383"/>
      <c r="I69" s="383"/>
      <c r="J69" s="383"/>
      <c r="K69" s="383"/>
      <c r="L69" s="383"/>
      <c r="M69" s="383"/>
      <c r="N69" s="383"/>
      <c r="O69" s="383"/>
      <c r="P69" s="383"/>
      <c r="Q69" s="383"/>
      <c r="R69" s="383"/>
      <c r="S69" s="424"/>
    </row>
    <row r="70" spans="2:19" x14ac:dyDescent="0.2">
      <c r="B70" s="423"/>
      <c r="C70" s="383"/>
      <c r="D70" s="383"/>
      <c r="E70" s="383"/>
      <c r="F70" s="383"/>
      <c r="G70" s="383"/>
      <c r="H70" s="383"/>
      <c r="I70" s="383"/>
      <c r="J70" s="383"/>
      <c r="K70" s="383"/>
      <c r="L70" s="383"/>
      <c r="M70" s="383"/>
      <c r="N70" s="383"/>
      <c r="O70" s="383"/>
      <c r="P70" s="383"/>
      <c r="Q70" s="383"/>
      <c r="R70" s="383"/>
      <c r="S70" s="424"/>
    </row>
    <row r="71" spans="2:19" x14ac:dyDescent="0.2">
      <c r="B71" s="423"/>
      <c r="C71" s="383"/>
      <c r="D71" s="383"/>
      <c r="E71" s="383"/>
      <c r="F71" s="383"/>
      <c r="G71" s="383"/>
      <c r="H71" s="383"/>
      <c r="I71" s="383"/>
      <c r="J71" s="383"/>
      <c r="K71" s="383"/>
      <c r="L71" s="383"/>
      <c r="M71" s="383"/>
      <c r="N71" s="383"/>
      <c r="O71" s="383"/>
      <c r="P71" s="383"/>
      <c r="Q71" s="383"/>
      <c r="R71" s="383"/>
      <c r="S71" s="424"/>
    </row>
    <row r="72" spans="2:19" x14ac:dyDescent="0.2">
      <c r="B72" s="423"/>
      <c r="C72" s="383"/>
      <c r="D72" s="383"/>
      <c r="E72" s="383"/>
      <c r="F72" s="383"/>
      <c r="G72" s="383"/>
      <c r="H72" s="383"/>
      <c r="I72" s="383"/>
      <c r="J72" s="383"/>
      <c r="K72" s="383"/>
      <c r="L72" s="383"/>
      <c r="M72" s="383"/>
      <c r="N72" s="383"/>
      <c r="O72" s="383"/>
      <c r="P72" s="383"/>
      <c r="Q72" s="383"/>
      <c r="R72" s="383"/>
      <c r="S72" s="424"/>
    </row>
    <row r="73" spans="2:19" x14ac:dyDescent="0.2">
      <c r="B73" s="423"/>
      <c r="C73" s="383"/>
      <c r="D73" s="383"/>
      <c r="E73" s="383"/>
      <c r="F73" s="383"/>
      <c r="G73" s="383"/>
      <c r="H73" s="383"/>
      <c r="I73" s="383"/>
      <c r="J73" s="383"/>
      <c r="K73" s="383"/>
      <c r="L73" s="383"/>
      <c r="M73" s="383"/>
      <c r="N73" s="383"/>
      <c r="O73" s="383"/>
      <c r="P73" s="383"/>
      <c r="Q73" s="383"/>
      <c r="R73" s="383"/>
      <c r="S73" s="424"/>
    </row>
    <row r="74" spans="2:19" x14ac:dyDescent="0.2">
      <c r="B74" s="423"/>
      <c r="C74" s="383"/>
      <c r="D74" s="383"/>
      <c r="E74" s="383"/>
      <c r="F74" s="383"/>
      <c r="G74" s="383"/>
      <c r="H74" s="383"/>
      <c r="I74" s="383"/>
      <c r="J74" s="383"/>
      <c r="K74" s="383"/>
      <c r="L74" s="383"/>
      <c r="M74" s="383"/>
      <c r="N74" s="383"/>
      <c r="O74" s="383"/>
      <c r="P74" s="383"/>
      <c r="Q74" s="383"/>
      <c r="R74" s="383"/>
      <c r="S74" s="424"/>
    </row>
    <row r="75" spans="2:19" x14ac:dyDescent="0.2">
      <c r="B75" s="423"/>
      <c r="C75" s="383"/>
      <c r="D75" s="383"/>
      <c r="E75" s="383"/>
      <c r="F75" s="383"/>
      <c r="G75" s="383"/>
      <c r="H75" s="383"/>
      <c r="I75" s="383"/>
      <c r="J75" s="383"/>
      <c r="K75" s="383"/>
      <c r="L75" s="383"/>
      <c r="M75" s="383"/>
      <c r="N75" s="383"/>
      <c r="O75" s="383"/>
      <c r="P75" s="383"/>
      <c r="Q75" s="383"/>
      <c r="R75" s="383"/>
      <c r="S75" s="424"/>
    </row>
    <row r="76" spans="2:19" x14ac:dyDescent="0.2">
      <c r="B76" s="423"/>
      <c r="C76" s="383"/>
      <c r="D76" s="383"/>
      <c r="E76" s="383"/>
      <c r="F76" s="383"/>
      <c r="G76" s="383"/>
      <c r="H76" s="383"/>
      <c r="I76" s="383"/>
      <c r="J76" s="383"/>
      <c r="K76" s="383"/>
      <c r="L76" s="383"/>
      <c r="M76" s="383"/>
      <c r="N76" s="383"/>
      <c r="O76" s="383"/>
      <c r="P76" s="383"/>
      <c r="Q76" s="383"/>
      <c r="R76" s="383"/>
      <c r="S76" s="424"/>
    </row>
    <row r="77" spans="2:19" x14ac:dyDescent="0.2">
      <c r="B77" s="423"/>
      <c r="C77" s="383"/>
      <c r="D77" s="383"/>
      <c r="E77" s="383"/>
      <c r="F77" s="383"/>
      <c r="G77" s="383"/>
      <c r="H77" s="383"/>
      <c r="I77" s="383"/>
      <c r="J77" s="383"/>
      <c r="K77" s="383"/>
      <c r="L77" s="383"/>
      <c r="M77" s="383"/>
      <c r="N77" s="383"/>
      <c r="O77" s="383"/>
      <c r="P77" s="383"/>
      <c r="Q77" s="383"/>
      <c r="R77" s="383"/>
      <c r="S77" s="424"/>
    </row>
    <row r="78" spans="2:19" x14ac:dyDescent="0.2">
      <c r="B78" s="423"/>
      <c r="C78" s="383"/>
      <c r="D78" s="383"/>
      <c r="E78" s="383"/>
      <c r="F78" s="383"/>
      <c r="G78" s="383"/>
      <c r="H78" s="383"/>
      <c r="I78" s="383"/>
      <c r="J78" s="383"/>
      <c r="K78" s="383"/>
      <c r="L78" s="383"/>
      <c r="M78" s="383"/>
      <c r="N78" s="383"/>
      <c r="O78" s="383"/>
      <c r="P78" s="383"/>
      <c r="Q78" s="383"/>
      <c r="R78" s="383"/>
      <c r="S78" s="424"/>
    </row>
    <row r="79" spans="2:19" x14ac:dyDescent="0.2">
      <c r="B79" s="423"/>
      <c r="C79" s="383"/>
      <c r="D79" s="383"/>
      <c r="E79" s="383"/>
      <c r="F79" s="383"/>
      <c r="G79" s="383"/>
      <c r="H79" s="383"/>
      <c r="I79" s="383"/>
      <c r="J79" s="383"/>
      <c r="K79" s="383"/>
      <c r="L79" s="383"/>
      <c r="M79" s="383"/>
      <c r="N79" s="383"/>
      <c r="O79" s="383"/>
      <c r="P79" s="383"/>
      <c r="Q79" s="383"/>
      <c r="R79" s="383"/>
      <c r="S79" s="424"/>
    </row>
    <row r="80" spans="2:19" x14ac:dyDescent="0.2">
      <c r="B80" s="423"/>
      <c r="C80" s="383"/>
      <c r="D80" s="383"/>
      <c r="E80" s="383"/>
      <c r="F80" s="383"/>
      <c r="G80" s="383"/>
      <c r="H80" s="383"/>
      <c r="I80" s="383"/>
      <c r="J80" s="383"/>
      <c r="K80" s="383"/>
      <c r="L80" s="383"/>
      <c r="M80" s="383"/>
      <c r="N80" s="383"/>
      <c r="O80" s="383"/>
      <c r="P80" s="383"/>
      <c r="Q80" s="383"/>
      <c r="R80" s="383"/>
      <c r="S80" s="424"/>
    </row>
    <row r="81" spans="2:19" x14ac:dyDescent="0.2">
      <c r="B81" s="423"/>
      <c r="C81" s="383"/>
      <c r="D81" s="383"/>
      <c r="E81" s="383"/>
      <c r="F81" s="383"/>
      <c r="G81" s="383"/>
      <c r="H81" s="383"/>
      <c r="I81" s="383"/>
      <c r="J81" s="383"/>
      <c r="K81" s="383"/>
      <c r="L81" s="383"/>
      <c r="M81" s="383"/>
      <c r="N81" s="383"/>
      <c r="O81" s="383"/>
      <c r="P81" s="383"/>
      <c r="Q81" s="383"/>
      <c r="R81" s="383"/>
      <c r="S81" s="424"/>
    </row>
    <row r="82" spans="2:19" x14ac:dyDescent="0.2">
      <c r="B82" s="423"/>
      <c r="C82" s="383"/>
      <c r="D82" s="383"/>
      <c r="E82" s="383"/>
      <c r="F82" s="383"/>
      <c r="G82" s="383"/>
      <c r="H82" s="383"/>
      <c r="I82" s="383"/>
      <c r="J82" s="383"/>
      <c r="K82" s="383"/>
      <c r="L82" s="383"/>
      <c r="M82" s="383"/>
      <c r="N82" s="383"/>
      <c r="O82" s="383"/>
      <c r="P82" s="383"/>
      <c r="Q82" s="383"/>
      <c r="R82" s="383"/>
      <c r="S82" s="424"/>
    </row>
    <row r="83" spans="2:19" x14ac:dyDescent="0.2">
      <c r="B83" s="423"/>
      <c r="C83" s="383"/>
      <c r="D83" s="383"/>
      <c r="E83" s="383"/>
      <c r="F83" s="383"/>
      <c r="G83" s="383"/>
      <c r="H83" s="383"/>
      <c r="I83" s="383"/>
      <c r="J83" s="383"/>
      <c r="K83" s="383"/>
      <c r="L83" s="383"/>
      <c r="M83" s="383"/>
      <c r="N83" s="383"/>
      <c r="O83" s="383"/>
      <c r="P83" s="383"/>
      <c r="Q83" s="383"/>
      <c r="R83" s="383"/>
      <c r="S83" s="424"/>
    </row>
    <row r="84" spans="2:19" x14ac:dyDescent="0.2">
      <c r="B84" s="423"/>
      <c r="C84" s="383"/>
      <c r="D84" s="383"/>
      <c r="E84" s="383"/>
      <c r="F84" s="383"/>
      <c r="G84" s="383"/>
      <c r="H84" s="383"/>
      <c r="I84" s="383"/>
      <c r="J84" s="383"/>
      <c r="K84" s="383"/>
      <c r="L84" s="383"/>
      <c r="M84" s="383"/>
      <c r="N84" s="383"/>
      <c r="O84" s="383"/>
      <c r="P84" s="383"/>
      <c r="Q84" s="383"/>
      <c r="R84" s="383"/>
      <c r="S84" s="424"/>
    </row>
    <row r="85" spans="2:19" x14ac:dyDescent="0.2">
      <c r="B85" s="423"/>
      <c r="C85" s="383"/>
      <c r="D85" s="383"/>
      <c r="E85" s="383"/>
      <c r="F85" s="383"/>
      <c r="G85" s="383"/>
      <c r="H85" s="383"/>
      <c r="I85" s="383"/>
      <c r="J85" s="383"/>
      <c r="K85" s="383"/>
      <c r="L85" s="383"/>
      <c r="M85" s="383"/>
      <c r="N85" s="383"/>
      <c r="O85" s="383"/>
      <c r="P85" s="383"/>
      <c r="Q85" s="383"/>
      <c r="R85" s="383"/>
      <c r="S85" s="424"/>
    </row>
    <row r="86" spans="2:19" x14ac:dyDescent="0.2">
      <c r="B86" s="423"/>
      <c r="C86" s="383"/>
      <c r="D86" s="383"/>
      <c r="E86" s="383"/>
      <c r="F86" s="383"/>
      <c r="G86" s="383"/>
      <c r="H86" s="383"/>
      <c r="I86" s="383"/>
      <c r="J86" s="383"/>
      <c r="K86" s="383"/>
      <c r="L86" s="383"/>
      <c r="M86" s="383"/>
      <c r="N86" s="383"/>
      <c r="O86" s="383"/>
      <c r="P86" s="383"/>
      <c r="Q86" s="383"/>
      <c r="R86" s="383"/>
      <c r="S86" s="424"/>
    </row>
    <row r="87" spans="2:19" x14ac:dyDescent="0.2">
      <c r="B87" s="423"/>
      <c r="C87" s="383"/>
      <c r="D87" s="383"/>
      <c r="E87" s="383"/>
      <c r="F87" s="383"/>
      <c r="G87" s="383"/>
      <c r="H87" s="383"/>
      <c r="I87" s="383"/>
      <c r="J87" s="383"/>
      <c r="K87" s="383"/>
      <c r="L87" s="383"/>
      <c r="M87" s="383"/>
      <c r="N87" s="383"/>
      <c r="O87" s="383"/>
      <c r="P87" s="383"/>
      <c r="Q87" s="383"/>
      <c r="R87" s="383"/>
      <c r="S87" s="424"/>
    </row>
    <row r="88" spans="2:19" x14ac:dyDescent="0.2">
      <c r="B88" s="423"/>
      <c r="C88" s="383"/>
      <c r="D88" s="383"/>
      <c r="E88" s="383"/>
      <c r="F88" s="383"/>
      <c r="G88" s="383"/>
      <c r="H88" s="383"/>
      <c r="I88" s="383"/>
      <c r="J88" s="383"/>
      <c r="K88" s="383"/>
      <c r="L88" s="383"/>
      <c r="M88" s="383"/>
      <c r="N88" s="383"/>
      <c r="O88" s="383"/>
      <c r="P88" s="383"/>
      <c r="Q88" s="383"/>
      <c r="R88" s="383"/>
      <c r="S88" s="424"/>
    </row>
    <row r="89" spans="2:19" x14ac:dyDescent="0.2">
      <c r="B89" s="425"/>
      <c r="C89" s="426"/>
      <c r="D89" s="426"/>
      <c r="E89" s="426"/>
      <c r="F89" s="426"/>
      <c r="G89" s="426"/>
      <c r="H89" s="426"/>
      <c r="I89" s="426"/>
      <c r="J89" s="426"/>
      <c r="K89" s="426"/>
      <c r="L89" s="426"/>
      <c r="M89" s="426"/>
      <c r="N89" s="426"/>
      <c r="O89" s="426"/>
      <c r="P89" s="426"/>
      <c r="Q89" s="426"/>
      <c r="R89" s="426"/>
      <c r="S89" s="427"/>
    </row>
  </sheetData>
  <sheetProtection algorithmName="SHA-512" hashValue="7c6iJNCz8H51RULaaE/Rc6UvxYw74SEWBXiYP8aIP/SOEL3d9+++GOyh+iM8L9ZHfAO9kO3Af58P5mYfsItcxg==" saltValue="Td2AEqxeV4bUSOHgTElKMQ==" spinCount="100000" sheet="1" objects="1" scenarios="1" selectLockedCells="1"/>
  <mergeCells count="46">
    <mergeCell ref="C37:E37"/>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t="str">
        <f>'2. Kassabudget'!G7</f>
        <v>JAN</v>
      </c>
      <c r="D2" s="308" t="str">
        <f>'2. Kassabudget'!H7</f>
        <v>FEB</v>
      </c>
      <c r="E2" s="308" t="str">
        <f>'2. Kassabudget'!I7</f>
        <v>MARS</v>
      </c>
      <c r="F2" s="308" t="str">
        <f>'2. Kassabudget'!J7</f>
        <v>APR</v>
      </c>
      <c r="G2" s="308" t="str">
        <f>'2. Kassabudget'!K7</f>
        <v>MAJ</v>
      </c>
      <c r="H2" s="308" t="str">
        <f>'2. Kassabudget'!L7</f>
        <v>JUNI</v>
      </c>
      <c r="I2" s="308" t="str">
        <f>'2. Kassabudget'!M7</f>
        <v>JULI</v>
      </c>
      <c r="J2" s="308" t="str">
        <f>'2. Kassabudget'!N7</f>
        <v>AUG</v>
      </c>
      <c r="K2" s="308" t="str">
        <f>'2. Kassabudget'!O7</f>
        <v>SEP</v>
      </c>
      <c r="L2" s="308" t="str">
        <f>'2. Kassabudget'!P7</f>
        <v>OKT</v>
      </c>
      <c r="M2" s="308" t="str">
        <f>'2. Kassabudget'!Q7</f>
        <v>NOV</v>
      </c>
      <c r="N2" s="308" t="str">
        <f>'2. Kassabudget'!R7</f>
        <v>DEC</v>
      </c>
    </row>
    <row r="3" spans="1:14" x14ac:dyDescent="0.2">
      <c r="B3" s="307" t="s">
        <v>177</v>
      </c>
      <c r="C3" s="309">
        <f>'2. Kassabudget'!E13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178</v>
      </c>
      <c r="C4" s="310">
        <f>'2. Kassabudget'!G11</f>
        <v>0</v>
      </c>
      <c r="D4" s="310">
        <f>'2. Kassabudget'!H11</f>
        <v>0</v>
      </c>
      <c r="E4" s="310">
        <f>'2. Kassabudget'!I11</f>
        <v>0</v>
      </c>
      <c r="F4" s="310">
        <f>'2. Kassabudget'!J11</f>
        <v>0</v>
      </c>
      <c r="G4" s="310">
        <f>'2. Kassabudget'!K11</f>
        <v>0</v>
      </c>
      <c r="H4" s="310">
        <f>'2. Kassabudget'!L11</f>
        <v>0</v>
      </c>
      <c r="I4" s="310">
        <f>'2. Kassabudget'!M11</f>
        <v>0</v>
      </c>
      <c r="J4" s="310">
        <f>'2. Kassabudget'!N11</f>
        <v>0</v>
      </c>
      <c r="K4" s="310">
        <f>'2. Kassabudget'!O11</f>
        <v>0</v>
      </c>
      <c r="L4" s="310">
        <f>'2. Kassabudget'!P11</f>
        <v>0</v>
      </c>
      <c r="M4" s="310">
        <f>'2. Kassabudget'!Q11</f>
        <v>0</v>
      </c>
      <c r="N4" s="310">
        <f>'2. Kassabudget'!R11</f>
        <v>0</v>
      </c>
    </row>
    <row r="5" spans="1:14" x14ac:dyDescent="0.2">
      <c r="A5" s="311" t="s">
        <v>179</v>
      </c>
      <c r="B5" s="311" t="s">
        <v>180</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181</v>
      </c>
      <c r="B6" s="2" t="s">
        <v>182</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181</v>
      </c>
      <c r="B7" s="311" t="s">
        <v>182</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183</v>
      </c>
      <c r="B8" s="2" t="s">
        <v>184</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183</v>
      </c>
      <c r="B9" s="311" t="s">
        <v>184</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185</v>
      </c>
      <c r="B10" s="2" t="s">
        <v>186</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185</v>
      </c>
      <c r="B11" s="311" t="s">
        <v>186</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187</v>
      </c>
      <c r="B12" s="2" t="s">
        <v>188</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187</v>
      </c>
      <c r="B13" s="311" t="s">
        <v>188</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189</v>
      </c>
      <c r="B14" s="2" t="s">
        <v>190</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189</v>
      </c>
      <c r="B15" s="311" t="s">
        <v>190</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191</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192</v>
      </c>
      <c r="C17" s="308" t="str">
        <f>C2</f>
        <v>JAN</v>
      </c>
      <c r="D17" s="308" t="str">
        <f t="shared" ref="D17:N17" si="13">D2</f>
        <v>FEB</v>
      </c>
      <c r="E17" s="308" t="str">
        <f t="shared" si="13"/>
        <v>MARS</v>
      </c>
      <c r="F17" s="308" t="str">
        <f t="shared" si="13"/>
        <v>APR</v>
      </c>
      <c r="G17" s="308" t="str">
        <f t="shared" si="13"/>
        <v>MAJ</v>
      </c>
      <c r="H17" s="308" t="str">
        <f t="shared" si="13"/>
        <v>JUNI</v>
      </c>
      <c r="I17" s="308" t="str">
        <f t="shared" si="13"/>
        <v>JULI</v>
      </c>
      <c r="J17" s="308" t="str">
        <f t="shared" si="13"/>
        <v>AUG</v>
      </c>
      <c r="K17" s="308" t="str">
        <f t="shared" si="13"/>
        <v>SEP</v>
      </c>
      <c r="L17" s="308" t="str">
        <f t="shared" si="13"/>
        <v>OKT</v>
      </c>
      <c r="M17" s="308" t="str">
        <f t="shared" si="13"/>
        <v>NOV</v>
      </c>
      <c r="N17" s="308" t="str">
        <f t="shared" si="13"/>
        <v>DEC</v>
      </c>
    </row>
    <row r="18" spans="1:14" x14ac:dyDescent="0.2">
      <c r="A18" s="2"/>
      <c r="B18" s="2" t="s">
        <v>193</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182</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184</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186</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188</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190</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191</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194</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Y20" sqref="Y20"/>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197</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198</v>
      </c>
      <c r="E5" s="326" t="str">
        <f>'2. Kassabudget'!G7</f>
        <v>JAN</v>
      </c>
      <c r="F5" s="326" t="str">
        <f>'2. Kassabudget'!H7</f>
        <v>FEB</v>
      </c>
      <c r="G5" s="326" t="str">
        <f>'2. Kassabudget'!I7</f>
        <v>MARS</v>
      </c>
      <c r="H5" s="326" t="str">
        <f>'2. Kassabudget'!J7</f>
        <v>APR</v>
      </c>
      <c r="I5" s="326" t="str">
        <f>'2. Kassabudget'!K7</f>
        <v>MAJ</v>
      </c>
      <c r="J5" s="326" t="str">
        <f>'2. Kassabudget'!L7</f>
        <v>JUNI</v>
      </c>
      <c r="K5" s="326" t="str">
        <f>'2. Kassabudget'!M7</f>
        <v>JULI</v>
      </c>
      <c r="L5" s="326" t="str">
        <f>'2. Kassabudget'!N7</f>
        <v>AUG</v>
      </c>
      <c r="M5" s="326" t="str">
        <f>'2. Kassabudget'!O7</f>
        <v>SEP</v>
      </c>
      <c r="N5" s="326" t="str">
        <f>'2. Kassabudget'!P7</f>
        <v>OKT</v>
      </c>
      <c r="O5" s="326" t="str">
        <f>'2. Kassabudget'!Q7</f>
        <v>NOV</v>
      </c>
      <c r="P5" s="326" t="str">
        <f>'2. Kassabudget'!R7</f>
        <v>DEC</v>
      </c>
      <c r="Q5" s="327" t="s">
        <v>171</v>
      </c>
    </row>
    <row r="6" spans="2:17" x14ac:dyDescent="0.2">
      <c r="C6" s="328" t="s">
        <v>228</v>
      </c>
      <c r="D6" s="329">
        <f>'2 Myynnin ALV'!B24</f>
        <v>0</v>
      </c>
      <c r="E6" s="330">
        <f>'2. Kassabudget'!G9</f>
        <v>0</v>
      </c>
      <c r="F6" s="330">
        <f>'2. Kassabudget'!H9</f>
        <v>0</v>
      </c>
      <c r="G6" s="330">
        <f>'2. Kassabudget'!I9</f>
        <v>0</v>
      </c>
      <c r="H6" s="330">
        <f>'2. Kassabudget'!J9</f>
        <v>0</v>
      </c>
      <c r="I6" s="330">
        <f>'2. Kassabudget'!K9</f>
        <v>0</v>
      </c>
      <c r="J6" s="330">
        <f>'2. Kassabudget'!L9</f>
        <v>0</v>
      </c>
      <c r="K6" s="330">
        <f>'2. Kassabudget'!M9</f>
        <v>0</v>
      </c>
      <c r="L6" s="330">
        <f>'2. Kassabudget'!N9</f>
        <v>0</v>
      </c>
      <c r="M6" s="330">
        <f>'2. Kassabudget'!O9</f>
        <v>0</v>
      </c>
      <c r="N6" s="330">
        <f>'2. Kassabudget'!P9</f>
        <v>0</v>
      </c>
      <c r="O6" s="330">
        <f>'2. Kassabudget'!Q9</f>
        <v>0</v>
      </c>
      <c r="P6" s="330">
        <f>'2. Kassabudget'!R9</f>
        <v>0</v>
      </c>
      <c r="Q6" s="331">
        <f>SUM(E6:P6)</f>
        <v>0</v>
      </c>
    </row>
    <row r="7" spans="2:17" x14ac:dyDescent="0.2">
      <c r="C7" s="332" t="s">
        <v>199</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229</v>
      </c>
      <c r="D8" s="336">
        <f>D6</f>
        <v>0</v>
      </c>
      <c r="E8" s="330">
        <f>'2. Kassabudget'!G11</f>
        <v>0</v>
      </c>
      <c r="F8" s="330">
        <f>'2. Kassabudget'!H11</f>
        <v>0</v>
      </c>
      <c r="G8" s="330">
        <f>'2. Kassabudget'!I11</f>
        <v>0</v>
      </c>
      <c r="H8" s="330">
        <f>'2. Kassabudget'!J11</f>
        <v>0</v>
      </c>
      <c r="I8" s="330">
        <f>'2. Kassabudget'!K11</f>
        <v>0</v>
      </c>
      <c r="J8" s="330">
        <f>'2. Kassabudget'!L11</f>
        <v>0</v>
      </c>
      <c r="K8" s="330">
        <f>'2. Kassabudget'!M11</f>
        <v>0</v>
      </c>
      <c r="L8" s="330">
        <f>'2. Kassabudget'!N11</f>
        <v>0</v>
      </c>
      <c r="M8" s="330">
        <f>'2. Kassabudget'!O11</f>
        <v>0</v>
      </c>
      <c r="N8" s="330">
        <f>'2. Kassabudget'!P11</f>
        <v>0</v>
      </c>
      <c r="O8" s="330">
        <f>'2. Kassabudget'!Q11</f>
        <v>0</v>
      </c>
      <c r="P8" s="330">
        <f>'2. Kassabudget'!R11</f>
        <v>0</v>
      </c>
      <c r="Q8" s="331">
        <f>SUM(E8:P8)</f>
        <v>0</v>
      </c>
    </row>
    <row r="9" spans="2:17" x14ac:dyDescent="0.2">
      <c r="C9" s="332" t="s">
        <v>199</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227</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230</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200</v>
      </c>
      <c r="D15" s="325" t="s">
        <v>198</v>
      </c>
      <c r="E15" s="341" t="str">
        <f>E5</f>
        <v>JAN</v>
      </c>
      <c r="F15" s="341" t="str">
        <f t="shared" ref="F15:P15" si="4">F5</f>
        <v>FEB</v>
      </c>
      <c r="G15" s="341" t="str">
        <f t="shared" si="4"/>
        <v>MARS</v>
      </c>
      <c r="H15" s="341" t="str">
        <f t="shared" si="4"/>
        <v>APR</v>
      </c>
      <c r="I15" s="341" t="str">
        <f t="shared" si="4"/>
        <v>MAJ</v>
      </c>
      <c r="J15" s="341" t="str">
        <f t="shared" si="4"/>
        <v>JUNI</v>
      </c>
      <c r="K15" s="341" t="str">
        <f t="shared" si="4"/>
        <v>JULI</v>
      </c>
      <c r="L15" s="341" t="str">
        <f t="shared" si="4"/>
        <v>AUG</v>
      </c>
      <c r="M15" s="341" t="str">
        <f t="shared" si="4"/>
        <v>SEP</v>
      </c>
      <c r="N15" s="341" t="str">
        <f t="shared" si="4"/>
        <v>OKT</v>
      </c>
      <c r="O15" s="341" t="str">
        <f t="shared" si="4"/>
        <v>NOV</v>
      </c>
      <c r="P15" s="341" t="str">
        <f t="shared" si="4"/>
        <v>DEC</v>
      </c>
      <c r="Q15" s="342" t="s">
        <v>171</v>
      </c>
    </row>
    <row r="16" spans="2:17" x14ac:dyDescent="0.2">
      <c r="B16" s="279">
        <v>6</v>
      </c>
      <c r="C16" s="343" t="s">
        <v>239</v>
      </c>
      <c r="D16" s="441">
        <f>'2 Myynnin ALV'!B37*100</f>
        <v>0</v>
      </c>
      <c r="E16" s="562">
        <f>IF('2. Kassabudget'!$U12=0,0,(('2. Kassabudget'!G9+'2. Kassabudget'!G11)/'2. Kassabudget'!$U12)*'1. Ekonomikalkyl'!$J237)</f>
        <v>0</v>
      </c>
      <c r="F16" s="562">
        <f>IF('2. Kassabudget'!$U12=0,0,(('2. Kassabudget'!H9+'2. Kassabudget'!H11)/'2. Kassabudget'!$U12)*'1. Ekonomikalkyl'!$J237)</f>
        <v>0</v>
      </c>
      <c r="G16" s="562">
        <f>IF('2. Kassabudget'!$U12=0,0,(('2. Kassabudget'!I9+'2. Kassabudget'!I11)/'2. Kassabudget'!$U12)*'1. Ekonomikalkyl'!$J237)</f>
        <v>0</v>
      </c>
      <c r="H16" s="562">
        <f>IF('2. Kassabudget'!$U12=0,0,(('2. Kassabudget'!J9+'2. Kassabudget'!J11)/'2. Kassabudget'!$U12)*'1. Ekonomikalkyl'!$J237)</f>
        <v>0</v>
      </c>
      <c r="I16" s="562">
        <f>IF('2. Kassabudget'!$U12=0,0,(('2. Kassabudget'!K9+'2. Kassabudget'!K11)/'2. Kassabudget'!$U12)*'1. Ekonomikalkyl'!$J237)</f>
        <v>0</v>
      </c>
      <c r="J16" s="562">
        <f>IF('2. Kassabudget'!$U12=0,0,(('2. Kassabudget'!L9+'2. Kassabudget'!L11)/'2. Kassabudget'!$U12)*'1. Ekonomikalkyl'!$J237)</f>
        <v>0</v>
      </c>
      <c r="K16" s="562">
        <f>IF('2. Kassabudget'!$U12=0,0,(('2. Kassabudget'!M9+'2. Kassabudget'!M11)/'2. Kassabudget'!$U12)*'1. Ekonomikalkyl'!$J237)</f>
        <v>0</v>
      </c>
      <c r="L16" s="562">
        <f>IF('2. Kassabudget'!$U12=0,0,(('2. Kassabudget'!N9+'2. Kassabudget'!N11)/'2. Kassabudget'!$U12)*'1. Ekonomikalkyl'!$J237)</f>
        <v>0</v>
      </c>
      <c r="M16" s="562">
        <f>IF('2. Kassabudget'!$U12=0,0,(('2. Kassabudget'!O9+'2. Kassabudget'!O11)/'2. Kassabudget'!$U12)*'1. Ekonomikalkyl'!$J237)</f>
        <v>0</v>
      </c>
      <c r="N16" s="562">
        <f>IF('2. Kassabudget'!$U12=0,0,(('2. Kassabudget'!P9+'2. Kassabudget'!P11)/'2. Kassabudget'!$U12)*'1. Ekonomikalkyl'!$J237)</f>
        <v>0</v>
      </c>
      <c r="O16" s="562">
        <f>IF('2. Kassabudget'!$U12=0,0,(('2. Kassabudget'!Q9+'2. Kassabudget'!Q11)/'2. Kassabudget'!$U12)*'1. Ekonomikalkyl'!$J237)</f>
        <v>0</v>
      </c>
      <c r="P16" s="562">
        <f>IF('2. Kassabudget'!$U12=0,0,(('2. Kassabudget'!R9+'2. Kassabudget'!R11)/'2. Kassabudget'!$U12)*'1. Ekonomikalkyl'!$J237)</f>
        <v>0</v>
      </c>
      <c r="Q16" s="331">
        <f>SUM(E16:P16)</f>
        <v>0</v>
      </c>
    </row>
    <row r="17" spans="2:21" x14ac:dyDescent="0.2">
      <c r="C17" s="348" t="s">
        <v>201</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t="str">
        <f>'2. Kassabudget'!B21</f>
        <v>7.</v>
      </c>
      <c r="C18" s="348" t="str">
        <f>'2. Kassabudget'!C21</f>
        <v xml:space="preserve"> Lokalhyror</v>
      </c>
      <c r="D18" s="371">
        <f>'2. Kassabudget'!F21</f>
        <v>25.5</v>
      </c>
      <c r="E18" s="349">
        <f>'2. Kassabudget'!G21</f>
        <v>0</v>
      </c>
      <c r="F18" s="349">
        <f>'2. Kassabudget'!H21</f>
        <v>0</v>
      </c>
      <c r="G18" s="349">
        <f>'2. Kassabudget'!I21</f>
        <v>0</v>
      </c>
      <c r="H18" s="349">
        <f>'2. Kassabudget'!J21</f>
        <v>0</v>
      </c>
      <c r="I18" s="349">
        <f>'2. Kassabudget'!K21</f>
        <v>0</v>
      </c>
      <c r="J18" s="349">
        <f>'2. Kassabudget'!L21</f>
        <v>0</v>
      </c>
      <c r="K18" s="349">
        <f>'2. Kassabudget'!M21</f>
        <v>0</v>
      </c>
      <c r="L18" s="349">
        <f>'2. Kassabudget'!N21</f>
        <v>0</v>
      </c>
      <c r="M18" s="349">
        <f>'2. Kassabudget'!O21</f>
        <v>0</v>
      </c>
      <c r="N18" s="349">
        <f>'2. Kassabudget'!P21</f>
        <v>0</v>
      </c>
      <c r="O18" s="349">
        <f>'2. Kassabudget'!Q21</f>
        <v>0</v>
      </c>
      <c r="P18" s="349">
        <f>'2. Kassabudget'!R21</f>
        <v>0</v>
      </c>
      <c r="Q18" s="331">
        <f>SUM(E18:P18)</f>
        <v>0</v>
      </c>
    </row>
    <row r="19" spans="2:21" x14ac:dyDescent="0.2">
      <c r="C19" s="348" t="s">
        <v>201</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t="str">
        <f>'2. Kassabudget'!B22</f>
        <v>8.</v>
      </c>
      <c r="C20" s="343" t="str">
        <f>'2. Kassabudget'!C22</f>
        <v xml:space="preserve"> Leasing- och inventariehyror</v>
      </c>
      <c r="D20" s="371">
        <f>'2. Kassabudget'!F22</f>
        <v>25.5</v>
      </c>
      <c r="E20" s="344">
        <f>'2. Kassabudget'!G22</f>
        <v>0</v>
      </c>
      <c r="F20" s="344">
        <f>'2. Kassabudget'!H22</f>
        <v>0</v>
      </c>
      <c r="G20" s="344">
        <f>'2. Kassabudget'!I22</f>
        <v>0</v>
      </c>
      <c r="H20" s="344">
        <f>'2. Kassabudget'!J22</f>
        <v>0</v>
      </c>
      <c r="I20" s="344">
        <f>'2. Kassabudget'!K22</f>
        <v>0</v>
      </c>
      <c r="J20" s="344">
        <f>'2. Kassabudget'!L22</f>
        <v>0</v>
      </c>
      <c r="K20" s="344">
        <f>'2. Kassabudget'!M22</f>
        <v>0</v>
      </c>
      <c r="L20" s="344">
        <f>'2. Kassabudget'!N22</f>
        <v>0</v>
      </c>
      <c r="M20" s="344">
        <f>'2. Kassabudget'!O22</f>
        <v>0</v>
      </c>
      <c r="N20" s="344">
        <f>'2. Kassabudget'!P22</f>
        <v>0</v>
      </c>
      <c r="O20" s="344">
        <f>'2. Kassabudget'!Q22</f>
        <v>0</v>
      </c>
      <c r="P20" s="344">
        <f>'2. Kassabudget'!R22</f>
        <v>0</v>
      </c>
      <c r="Q20" s="331">
        <f>SUM(E20:P20)</f>
        <v>0</v>
      </c>
    </row>
    <row r="21" spans="2:21" x14ac:dyDescent="0.2">
      <c r="C21" s="345" t="s">
        <v>201</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t="str">
        <f>'2. Kassabudget'!B23</f>
        <v>9.</v>
      </c>
      <c r="C22" s="348" t="str">
        <f>'2. Kassabudget'!C23</f>
        <v xml:space="preserve"> El-, värme- och vattenkostnader</v>
      </c>
      <c r="D22" s="372">
        <f>'2. Kassabudget'!F23</f>
        <v>25.5</v>
      </c>
      <c r="E22" s="349">
        <f>'2. Kassabudget'!G23</f>
        <v>0</v>
      </c>
      <c r="F22" s="349">
        <f>'2. Kassabudget'!H23</f>
        <v>0</v>
      </c>
      <c r="G22" s="349">
        <f>'2. Kassabudget'!I23</f>
        <v>0</v>
      </c>
      <c r="H22" s="349">
        <f>'2. Kassabudget'!J23</f>
        <v>0</v>
      </c>
      <c r="I22" s="349">
        <f>'2. Kassabudget'!K23</f>
        <v>0</v>
      </c>
      <c r="J22" s="349">
        <f>'2. Kassabudget'!L23</f>
        <v>0</v>
      </c>
      <c r="K22" s="349">
        <f>'2. Kassabudget'!M23</f>
        <v>0</v>
      </c>
      <c r="L22" s="349">
        <f>'2. Kassabudget'!N23</f>
        <v>0</v>
      </c>
      <c r="M22" s="349">
        <f>'2. Kassabudget'!O23</f>
        <v>0</v>
      </c>
      <c r="N22" s="349">
        <f>'2. Kassabudget'!P23</f>
        <v>0</v>
      </c>
      <c r="O22" s="349">
        <f>'2. Kassabudget'!Q23</f>
        <v>0</v>
      </c>
      <c r="P22" s="349">
        <f>'2. Kassabudget'!R23</f>
        <v>0</v>
      </c>
      <c r="Q22" s="331">
        <f>SUM(E22:P22)</f>
        <v>0</v>
      </c>
    </row>
    <row r="23" spans="2:21" x14ac:dyDescent="0.2">
      <c r="C23" s="348" t="s">
        <v>201</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t="str">
        <f>'2. Kassabudget'!B24</f>
        <v>10.</v>
      </c>
      <c r="C24" s="343" t="str">
        <f>'2. Kassabudget'!C24</f>
        <v>Telekommunikationskostnader</v>
      </c>
      <c r="D24" s="371">
        <f>'2. Kassabudget'!F24</f>
        <v>25.5</v>
      </c>
      <c r="E24" s="344">
        <f>'2. Kassabudget'!G24</f>
        <v>0</v>
      </c>
      <c r="F24" s="344">
        <f>'2. Kassabudget'!H24</f>
        <v>0</v>
      </c>
      <c r="G24" s="344">
        <f>'2. Kassabudget'!I24</f>
        <v>0</v>
      </c>
      <c r="H24" s="344">
        <f>'2. Kassabudget'!J24</f>
        <v>0</v>
      </c>
      <c r="I24" s="344">
        <f>'2. Kassabudget'!K24</f>
        <v>0</v>
      </c>
      <c r="J24" s="344">
        <f>'2. Kassabudget'!L24</f>
        <v>0</v>
      </c>
      <c r="K24" s="344">
        <f>'2. Kassabudget'!M24</f>
        <v>0</v>
      </c>
      <c r="L24" s="344">
        <f>'2. Kassabudget'!N24</f>
        <v>0</v>
      </c>
      <c r="M24" s="344">
        <f>'2. Kassabudget'!O24</f>
        <v>0</v>
      </c>
      <c r="N24" s="344">
        <f>'2. Kassabudget'!P24</f>
        <v>0</v>
      </c>
      <c r="O24" s="344">
        <f>'2. Kassabudget'!Q24</f>
        <v>0</v>
      </c>
      <c r="P24" s="344">
        <f>'2. Kassabudget'!R24</f>
        <v>0</v>
      </c>
      <c r="Q24" s="331">
        <f>SUM(E24:P24)</f>
        <v>0</v>
      </c>
    </row>
    <row r="25" spans="2:21" x14ac:dyDescent="0.2">
      <c r="C25" s="345" t="s">
        <v>201</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t="str">
        <f>'2. Kassabudget'!B25</f>
        <v>11.</v>
      </c>
      <c r="C26" s="348" t="str">
        <f>'2. Kassabudget'!C25</f>
        <v xml:space="preserve"> Marknadsföring och reklam</v>
      </c>
      <c r="D26" s="372">
        <f>'2. Kassabudget'!F25</f>
        <v>25.5</v>
      </c>
      <c r="E26" s="349">
        <f>'2. Kassabudget'!G25</f>
        <v>0</v>
      </c>
      <c r="F26" s="349">
        <f>'2. Kassabudget'!H25</f>
        <v>0</v>
      </c>
      <c r="G26" s="349">
        <f>'2. Kassabudget'!I25</f>
        <v>0</v>
      </c>
      <c r="H26" s="349">
        <f>'2. Kassabudget'!J25</f>
        <v>0</v>
      </c>
      <c r="I26" s="349">
        <f>'2. Kassabudget'!K25</f>
        <v>0</v>
      </c>
      <c r="J26" s="349">
        <f>'2. Kassabudget'!L25</f>
        <v>0</v>
      </c>
      <c r="K26" s="349">
        <f>'2. Kassabudget'!M25</f>
        <v>0</v>
      </c>
      <c r="L26" s="349">
        <f>'2. Kassabudget'!N25</f>
        <v>0</v>
      </c>
      <c r="M26" s="349">
        <f>'2. Kassabudget'!O25</f>
        <v>0</v>
      </c>
      <c r="N26" s="349">
        <f>'2. Kassabudget'!P25</f>
        <v>0</v>
      </c>
      <c r="O26" s="349">
        <f>'2. Kassabudget'!Q25</f>
        <v>0</v>
      </c>
      <c r="P26" s="349">
        <f>'2. Kassabudget'!R25</f>
        <v>0</v>
      </c>
      <c r="Q26" s="331">
        <f>SUM(E26:P26)</f>
        <v>0</v>
      </c>
    </row>
    <row r="27" spans="2:21" x14ac:dyDescent="0.2">
      <c r="C27" s="348" t="s">
        <v>201</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t="str">
        <f>'2. Kassabudget'!B26</f>
        <v>12.</v>
      </c>
      <c r="C28" s="348" t="str">
        <f>'2. Kassabudget'!C26</f>
        <v xml:space="preserve"> Investeringar inkl. moms</v>
      </c>
      <c r="D28" s="371">
        <f>'2. Kassabudget'!F26</f>
        <v>25.5</v>
      </c>
      <c r="E28" s="344">
        <f>'2. Kassabudget'!G26</f>
        <v>0</v>
      </c>
      <c r="F28" s="344">
        <f>'2. Kassabudget'!H26</f>
        <v>0</v>
      </c>
      <c r="G28" s="344">
        <f>'2. Kassabudget'!I26</f>
        <v>0</v>
      </c>
      <c r="H28" s="344">
        <f>'2. Kassabudget'!J26</f>
        <v>0</v>
      </c>
      <c r="I28" s="344">
        <f>'2. Kassabudget'!K26</f>
        <v>0</v>
      </c>
      <c r="J28" s="344">
        <f>'2. Kassabudget'!L26</f>
        <v>0</v>
      </c>
      <c r="K28" s="344">
        <f>'2. Kassabudget'!M26</f>
        <v>0</v>
      </c>
      <c r="L28" s="344">
        <f>'2. Kassabudget'!N26</f>
        <v>0</v>
      </c>
      <c r="M28" s="344">
        <f>'2. Kassabudget'!O26</f>
        <v>0</v>
      </c>
      <c r="N28" s="344">
        <f>'2. Kassabudget'!P26</f>
        <v>0</v>
      </c>
      <c r="O28" s="344">
        <f>'2. Kassabudget'!Q26</f>
        <v>0</v>
      </c>
      <c r="P28" s="344">
        <f>'2. Kassabudget'!R26</f>
        <v>0</v>
      </c>
      <c r="Q28" s="331">
        <f>SUM(E28:P28)</f>
        <v>0</v>
      </c>
    </row>
    <row r="29" spans="2:21" x14ac:dyDescent="0.2">
      <c r="C29" s="345" t="s">
        <v>201</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t="str">
        <f>'2. Kassabudget'!B27</f>
        <v>13.</v>
      </c>
      <c r="C30" s="348" t="str">
        <f>'2. Kassabudget'!C27</f>
        <v xml:space="preserve"> Bil/arbetsmaskinkostnader (moms-avdragbara)</v>
      </c>
      <c r="D30" s="371">
        <f>'2. Kassabudget'!F27</f>
        <v>25.5</v>
      </c>
      <c r="E30" s="318">
        <f>'2. Kassabudget'!G27</f>
        <v>0</v>
      </c>
      <c r="F30" s="318">
        <f>'2. Kassabudget'!H27</f>
        <v>0</v>
      </c>
      <c r="G30" s="318">
        <f>'2. Kassabudget'!I27</f>
        <v>0</v>
      </c>
      <c r="H30" s="318">
        <f>'2. Kassabudget'!J27</f>
        <v>0</v>
      </c>
      <c r="I30" s="318">
        <f>'2. Kassabudget'!K27</f>
        <v>0</v>
      </c>
      <c r="J30" s="318">
        <f>'2. Kassabudget'!L27</f>
        <v>0</v>
      </c>
      <c r="K30" s="318">
        <f>'2. Kassabudget'!M27</f>
        <v>0</v>
      </c>
      <c r="L30" s="318">
        <f>'2. Kassabudget'!N27</f>
        <v>0</v>
      </c>
      <c r="M30" s="318">
        <f>'2. Kassabudget'!O27</f>
        <v>0</v>
      </c>
      <c r="N30" s="318">
        <f>'2. Kassabudget'!P27</f>
        <v>0</v>
      </c>
      <c r="O30" s="318">
        <f>'2. Kassabudget'!Q27</f>
        <v>0</v>
      </c>
      <c r="P30" s="318">
        <f>'2. Kassabudget'!R27</f>
        <v>0</v>
      </c>
      <c r="Q30" s="331">
        <f>SUM(E30:P30)</f>
        <v>0</v>
      </c>
    </row>
    <row r="31" spans="2:21" x14ac:dyDescent="0.2">
      <c r="C31" s="345" t="s">
        <v>201</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t="str">
        <f>'2. Kassabudget'!B28</f>
        <v>14.</v>
      </c>
      <c r="C32" s="348" t="str">
        <f>'2. Kassabudget'!C28</f>
        <v xml:space="preserve"> Städning- och avfallskostnader</v>
      </c>
      <c r="D32" s="372">
        <f>'2. Kassabudget'!F28</f>
        <v>25.5</v>
      </c>
      <c r="E32" s="318">
        <f>'2. Kassabudget'!G28</f>
        <v>0</v>
      </c>
      <c r="F32" s="318">
        <f>'2. Kassabudget'!H28</f>
        <v>0</v>
      </c>
      <c r="G32" s="318">
        <f>'2. Kassabudget'!I28</f>
        <v>0</v>
      </c>
      <c r="H32" s="318">
        <f>'2. Kassabudget'!J28</f>
        <v>0</v>
      </c>
      <c r="I32" s="318">
        <f>'2. Kassabudget'!K28</f>
        <v>0</v>
      </c>
      <c r="J32" s="318">
        <f>'2. Kassabudget'!L28</f>
        <v>0</v>
      </c>
      <c r="K32" s="318">
        <f>'2. Kassabudget'!M28</f>
        <v>0</v>
      </c>
      <c r="L32" s="318">
        <f>'2. Kassabudget'!N28</f>
        <v>0</v>
      </c>
      <c r="M32" s="318">
        <f>'2. Kassabudget'!O28</f>
        <v>0</v>
      </c>
      <c r="N32" s="318">
        <f>'2. Kassabudget'!P28</f>
        <v>0</v>
      </c>
      <c r="O32" s="318">
        <f>'2. Kassabudget'!Q28</f>
        <v>0</v>
      </c>
      <c r="P32" s="318">
        <f>'2. Kassabudget'!R28</f>
        <v>0</v>
      </c>
      <c r="Q32" s="331">
        <f>SUM(E32:P32)</f>
        <v>0</v>
      </c>
    </row>
    <row r="33" spans="2:22" x14ac:dyDescent="0.2">
      <c r="C33" s="345" t="s">
        <v>201</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t="str">
        <f>'2. Kassabudget'!B29</f>
        <v>15.</v>
      </c>
      <c r="C34" s="348" t="str">
        <f>'2. Kassabudget'!C29</f>
        <v xml:space="preserve"> Övriga maskin- och apparaturkostnader</v>
      </c>
      <c r="D34" s="371">
        <f>'2. Kassabudget'!F29</f>
        <v>25.5</v>
      </c>
      <c r="E34" s="318">
        <f>'2. Kassabudget'!G29</f>
        <v>0</v>
      </c>
      <c r="F34" s="318">
        <f>'2. Kassabudget'!H29</f>
        <v>0</v>
      </c>
      <c r="G34" s="318">
        <f>'2. Kassabudget'!I29</f>
        <v>0</v>
      </c>
      <c r="H34" s="318">
        <f>'2. Kassabudget'!J29</f>
        <v>0</v>
      </c>
      <c r="I34" s="318">
        <f>'2. Kassabudget'!K29</f>
        <v>0</v>
      </c>
      <c r="J34" s="318">
        <f>'2. Kassabudget'!L29</f>
        <v>0</v>
      </c>
      <c r="K34" s="318">
        <f>'2. Kassabudget'!M29</f>
        <v>0</v>
      </c>
      <c r="L34" s="318">
        <f>'2. Kassabudget'!N29</f>
        <v>0</v>
      </c>
      <c r="M34" s="318">
        <f>'2. Kassabudget'!O29</f>
        <v>0</v>
      </c>
      <c r="N34" s="318">
        <f>'2. Kassabudget'!P29</f>
        <v>0</v>
      </c>
      <c r="O34" s="318">
        <f>'2. Kassabudget'!Q29</f>
        <v>0</v>
      </c>
      <c r="P34" s="318">
        <f>'2. Kassabudget'!R29</f>
        <v>0</v>
      </c>
      <c r="Q34" s="331">
        <f>SUM(E34:P34)</f>
        <v>0</v>
      </c>
    </row>
    <row r="35" spans="2:22" x14ac:dyDescent="0.2">
      <c r="C35" s="345" t="s">
        <v>201</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t="str">
        <f>'2. Kassabudget'!B30</f>
        <v>16.</v>
      </c>
      <c r="C36" s="348" t="str">
        <f>'2. Kassabudget'!C30</f>
        <v xml:space="preserve"> Datorutrustning och -program</v>
      </c>
      <c r="D36" s="350">
        <f>'2. Kassabudget'!F30</f>
        <v>25.5</v>
      </c>
      <c r="E36" s="318">
        <f>'2. Kassabudget'!G30</f>
        <v>0</v>
      </c>
      <c r="F36" s="318">
        <f>'2. Kassabudget'!H30</f>
        <v>0</v>
      </c>
      <c r="G36" s="318">
        <f>'2. Kassabudget'!I30</f>
        <v>0</v>
      </c>
      <c r="H36" s="318">
        <f>'2. Kassabudget'!J30</f>
        <v>0</v>
      </c>
      <c r="I36" s="318">
        <f>'2. Kassabudget'!K30</f>
        <v>0</v>
      </c>
      <c r="J36" s="318">
        <f>'2. Kassabudget'!L30</f>
        <v>0</v>
      </c>
      <c r="K36" s="318">
        <f>'2. Kassabudget'!M30</f>
        <v>0</v>
      </c>
      <c r="L36" s="318">
        <f>'2. Kassabudget'!N30</f>
        <v>0</v>
      </c>
      <c r="M36" s="318">
        <f>'2. Kassabudget'!O30</f>
        <v>0</v>
      </c>
      <c r="N36" s="318">
        <f>'2. Kassabudget'!P30</f>
        <v>0</v>
      </c>
      <c r="O36" s="318">
        <f>'2. Kassabudget'!Q30</f>
        <v>0</v>
      </c>
      <c r="P36" s="318">
        <f>'2. Kassabudget'!R30</f>
        <v>0</v>
      </c>
      <c r="Q36" s="331">
        <f>SUM(E36:P36)</f>
        <v>0</v>
      </c>
    </row>
    <row r="37" spans="2:22" x14ac:dyDescent="0.2">
      <c r="C37" s="348" t="s">
        <v>202</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t="str">
        <f>'2. Kassabudget'!B31</f>
        <v>17.</v>
      </c>
      <c r="C38" s="343" t="s">
        <v>268</v>
      </c>
      <c r="D38" s="575"/>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201</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202</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203</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54" t="s">
        <v>269</v>
      </c>
      <c r="D45" s="1034">
        <v>25.5</v>
      </c>
      <c r="E45" s="756">
        <f>SUM(E47:E50)</f>
        <v>0</v>
      </c>
      <c r="F45" s="756">
        <f t="shared" ref="F45:P45" si="17">SUM(F47:F50)</f>
        <v>0</v>
      </c>
      <c r="G45" s="756">
        <f t="shared" si="17"/>
        <v>0</v>
      </c>
      <c r="H45" s="756">
        <f t="shared" si="17"/>
        <v>0</v>
      </c>
      <c r="I45" s="756">
        <f t="shared" si="17"/>
        <v>0</v>
      </c>
      <c r="J45" s="756">
        <f t="shared" si="17"/>
        <v>0</v>
      </c>
      <c r="K45" s="756">
        <f t="shared" si="17"/>
        <v>0</v>
      </c>
      <c r="L45" s="756">
        <f t="shared" si="17"/>
        <v>0</v>
      </c>
      <c r="M45" s="756">
        <f t="shared" si="17"/>
        <v>0</v>
      </c>
      <c r="N45" s="756">
        <f t="shared" si="17"/>
        <v>0</v>
      </c>
      <c r="O45" s="756">
        <f t="shared" si="17"/>
        <v>0</v>
      </c>
      <c r="P45" s="756">
        <f t="shared" si="17"/>
        <v>0</v>
      </c>
      <c r="Q45" s="757">
        <f t="shared" ref="Q45:Q50" si="18">SUM(E45:P45)</f>
        <v>0</v>
      </c>
      <c r="S45" s="741" t="s">
        <v>211</v>
      </c>
      <c r="T45" s="741" t="s">
        <v>174</v>
      </c>
      <c r="U45" s="352"/>
    </row>
    <row r="46" spans="2:22" ht="13.5" thickBot="1" x14ac:dyDescent="0.25">
      <c r="C46" s="758" t="s">
        <v>201</v>
      </c>
      <c r="D46" s="759"/>
      <c r="E46" s="760">
        <f>E45-E45/(1+$D45/100)</f>
        <v>0</v>
      </c>
      <c r="F46" s="760">
        <f t="shared" ref="F46:P46" si="19">F45-F45/(1+$D45/100)</f>
        <v>0</v>
      </c>
      <c r="G46" s="760">
        <f t="shared" si="19"/>
        <v>0</v>
      </c>
      <c r="H46" s="760">
        <f t="shared" si="19"/>
        <v>0</v>
      </c>
      <c r="I46" s="760">
        <f t="shared" si="19"/>
        <v>0</v>
      </c>
      <c r="J46" s="760">
        <f t="shared" si="19"/>
        <v>0</v>
      </c>
      <c r="K46" s="760">
        <f t="shared" si="19"/>
        <v>0</v>
      </c>
      <c r="L46" s="760">
        <f t="shared" si="19"/>
        <v>0</v>
      </c>
      <c r="M46" s="760">
        <f t="shared" si="19"/>
        <v>0</v>
      </c>
      <c r="N46" s="760">
        <f t="shared" si="19"/>
        <v>0</v>
      </c>
      <c r="O46" s="760">
        <f t="shared" si="19"/>
        <v>0</v>
      </c>
      <c r="P46" s="760">
        <f t="shared" si="19"/>
        <v>0</v>
      </c>
      <c r="Q46" s="761">
        <f t="shared" si="18"/>
        <v>0</v>
      </c>
      <c r="S46" s="741">
        <f>SUM(S47:S50)</f>
        <v>0</v>
      </c>
      <c r="T46" s="741">
        <f>SUM(T47:T50)</f>
        <v>0</v>
      </c>
      <c r="U46" s="352"/>
    </row>
    <row r="47" spans="2:22" x14ac:dyDescent="0.2">
      <c r="C47" s="752" t="s">
        <v>204</v>
      </c>
      <c r="D47" s="755">
        <v>25.5</v>
      </c>
      <c r="E47" s="753">
        <f>$T47/12*(1+$D47/100)</f>
        <v>0</v>
      </c>
      <c r="F47" s="753">
        <f t="shared" ref="F47:P48" si="20">$T47/12*(1+$D47/100)</f>
        <v>0</v>
      </c>
      <c r="G47" s="753">
        <f t="shared" si="20"/>
        <v>0</v>
      </c>
      <c r="H47" s="753">
        <f t="shared" si="20"/>
        <v>0</v>
      </c>
      <c r="I47" s="753">
        <f t="shared" si="20"/>
        <v>0</v>
      </c>
      <c r="J47" s="753">
        <f t="shared" si="20"/>
        <v>0</v>
      </c>
      <c r="K47" s="753">
        <f t="shared" si="20"/>
        <v>0</v>
      </c>
      <c r="L47" s="753">
        <f t="shared" si="20"/>
        <v>0</v>
      </c>
      <c r="M47" s="753">
        <f t="shared" si="20"/>
        <v>0</v>
      </c>
      <c r="N47" s="753">
        <f t="shared" si="20"/>
        <v>0</v>
      </c>
      <c r="O47" s="753">
        <f t="shared" si="20"/>
        <v>0</v>
      </c>
      <c r="P47" s="753">
        <f t="shared" si="20"/>
        <v>0</v>
      </c>
      <c r="Q47" s="319">
        <f t="shared" si="18"/>
        <v>0</v>
      </c>
      <c r="R47" s="723"/>
      <c r="S47" s="742">
        <f>T47*(1+' 3 AT Palkat, alv'!D47/100)</f>
        <v>0</v>
      </c>
      <c r="T47" s="762">
        <f>'1. Ekonomikalkyl'!J57</f>
        <v>0</v>
      </c>
      <c r="V47" s="280"/>
    </row>
    <row r="48" spans="2:22" x14ac:dyDescent="0.2">
      <c r="C48" s="355" t="s">
        <v>264</v>
      </c>
      <c r="D48" s="354">
        <f>D47</f>
        <v>25.5</v>
      </c>
      <c r="E48" s="749">
        <f>$T48/12*(1+$D48/100)</f>
        <v>0</v>
      </c>
      <c r="F48" s="749">
        <f t="shared" si="20"/>
        <v>0</v>
      </c>
      <c r="G48" s="750">
        <f t="shared" si="20"/>
        <v>0</v>
      </c>
      <c r="H48" s="750">
        <f t="shared" si="20"/>
        <v>0</v>
      </c>
      <c r="I48" s="750">
        <f t="shared" si="20"/>
        <v>0</v>
      </c>
      <c r="J48" s="750">
        <f t="shared" si="20"/>
        <v>0</v>
      </c>
      <c r="K48" s="750">
        <f t="shared" si="20"/>
        <v>0</v>
      </c>
      <c r="L48" s="750">
        <f t="shared" si="20"/>
        <v>0</v>
      </c>
      <c r="M48" s="750">
        <f t="shared" si="20"/>
        <v>0</v>
      </c>
      <c r="N48" s="750">
        <f t="shared" si="20"/>
        <v>0</v>
      </c>
      <c r="O48" s="750">
        <f t="shared" si="20"/>
        <v>0</v>
      </c>
      <c r="P48" s="750">
        <f t="shared" si="20"/>
        <v>0</v>
      </c>
      <c r="Q48" s="722">
        <f t="shared" si="18"/>
        <v>0</v>
      </c>
      <c r="R48" s="723"/>
      <c r="S48" s="742">
        <f>T48*(1+' 3 AT Palkat, alv'!D48/100)</f>
        <v>0</v>
      </c>
      <c r="T48" s="762">
        <f>'1. Ekonomikalkyl'!J113</f>
        <v>0</v>
      </c>
      <c r="V48" s="280"/>
    </row>
    <row r="49" spans="3:24" x14ac:dyDescent="0.2">
      <c r="C49" s="363" t="s">
        <v>210</v>
      </c>
      <c r="D49" s="354">
        <f>D48</f>
        <v>25.5</v>
      </c>
      <c r="E49" s="749">
        <f>$T49/12*(1+$D49/100)</f>
        <v>0</v>
      </c>
      <c r="F49" s="749">
        <f t="shared" ref="F49:P50" si="21">$T49/12*(1+$D49/100)</f>
        <v>0</v>
      </c>
      <c r="G49" s="749">
        <f t="shared" si="21"/>
        <v>0</v>
      </c>
      <c r="H49" s="749">
        <f t="shared" si="21"/>
        <v>0</v>
      </c>
      <c r="I49" s="749">
        <f t="shared" si="21"/>
        <v>0</v>
      </c>
      <c r="J49" s="749">
        <f t="shared" si="21"/>
        <v>0</v>
      </c>
      <c r="K49" s="749">
        <f t="shared" si="21"/>
        <v>0</v>
      </c>
      <c r="L49" s="749">
        <f t="shared" si="21"/>
        <v>0</v>
      </c>
      <c r="M49" s="749">
        <f t="shared" si="21"/>
        <v>0</v>
      </c>
      <c r="N49" s="749">
        <f t="shared" si="21"/>
        <v>0</v>
      </c>
      <c r="O49" s="749">
        <f t="shared" si="21"/>
        <v>0</v>
      </c>
      <c r="P49" s="749">
        <f t="shared" si="21"/>
        <v>0</v>
      </c>
      <c r="Q49" s="331">
        <f t="shared" si="18"/>
        <v>0</v>
      </c>
      <c r="R49" s="723"/>
      <c r="S49" s="742">
        <f>T49*(1+' 3 AT Palkat, alv'!D49/100)</f>
        <v>0</v>
      </c>
      <c r="T49" s="762">
        <f>'1. Ekonomikalkyl'!J114</f>
        <v>0</v>
      </c>
      <c r="V49" s="280"/>
    </row>
    <row r="50" spans="3:24" x14ac:dyDescent="0.2">
      <c r="C50" s="355" t="s">
        <v>205</v>
      </c>
      <c r="D50" s="354">
        <f>D49</f>
        <v>25.5</v>
      </c>
      <c r="E50" s="749">
        <f>$T50/12*(1+$D50/100)</f>
        <v>0</v>
      </c>
      <c r="F50" s="749">
        <f t="shared" si="21"/>
        <v>0</v>
      </c>
      <c r="G50" s="749">
        <f t="shared" si="21"/>
        <v>0</v>
      </c>
      <c r="H50" s="749">
        <f t="shared" si="21"/>
        <v>0</v>
      </c>
      <c r="I50" s="749">
        <f t="shared" si="21"/>
        <v>0</v>
      </c>
      <c r="J50" s="749">
        <f t="shared" si="21"/>
        <v>0</v>
      </c>
      <c r="K50" s="749">
        <f t="shared" si="21"/>
        <v>0</v>
      </c>
      <c r="L50" s="749">
        <f t="shared" si="21"/>
        <v>0</v>
      </c>
      <c r="M50" s="749">
        <f t="shared" si="21"/>
        <v>0</v>
      </c>
      <c r="N50" s="749">
        <f t="shared" si="21"/>
        <v>0</v>
      </c>
      <c r="O50" s="749">
        <f t="shared" si="21"/>
        <v>0</v>
      </c>
      <c r="P50" s="749">
        <f t="shared" si="21"/>
        <v>0</v>
      </c>
      <c r="Q50" s="331">
        <f t="shared" si="18"/>
        <v>0</v>
      </c>
      <c r="R50" s="723"/>
      <c r="S50" s="742">
        <f>T50*(1+' 3 AT Palkat, alv'!D50/100)</f>
        <v>0</v>
      </c>
      <c r="T50" s="762">
        <f>'1. Ekonomikalkyl'!J102</f>
        <v>0</v>
      </c>
      <c r="V50" s="280"/>
    </row>
    <row r="51" spans="3:24" x14ac:dyDescent="0.2">
      <c r="C51" s="724"/>
      <c r="D51" s="725"/>
      <c r="G51" s="726"/>
      <c r="H51" s="726"/>
      <c r="I51" s="726"/>
      <c r="J51" s="726"/>
      <c r="K51" s="726"/>
      <c r="L51" s="726"/>
      <c r="M51" s="726"/>
      <c r="N51" s="726"/>
      <c r="O51" s="726"/>
      <c r="P51" s="726"/>
      <c r="Q51" s="727"/>
      <c r="S51" s="744"/>
      <c r="T51" s="745"/>
      <c r="V51" s="280"/>
    </row>
    <row r="52" spans="3:24" x14ac:dyDescent="0.2">
      <c r="C52" s="724"/>
      <c r="D52" s="725"/>
      <c r="G52" s="726"/>
      <c r="H52" s="726"/>
      <c r="I52" s="726"/>
      <c r="J52" s="726"/>
      <c r="K52" s="726"/>
      <c r="L52" s="726"/>
      <c r="M52" s="726"/>
      <c r="N52" s="726"/>
      <c r="O52" s="726"/>
      <c r="P52" s="726"/>
      <c r="Q52" s="727"/>
      <c r="S52" s="741" t="s">
        <v>211</v>
      </c>
      <c r="T52" s="741" t="s">
        <v>174</v>
      </c>
      <c r="V52" s="280"/>
    </row>
    <row r="53" spans="3:24" x14ac:dyDescent="0.2">
      <c r="C53" s="720" t="s">
        <v>263</v>
      </c>
      <c r="D53" s="1033">
        <v>10</v>
      </c>
      <c r="E53" s="751">
        <f t="shared" ref="E53:P53" si="22">$T53/12*(1+$D53/100)</f>
        <v>0</v>
      </c>
      <c r="F53" s="751">
        <f t="shared" si="22"/>
        <v>0</v>
      </c>
      <c r="G53" s="751">
        <f t="shared" si="22"/>
        <v>0</v>
      </c>
      <c r="H53" s="751">
        <f t="shared" si="22"/>
        <v>0</v>
      </c>
      <c r="I53" s="751">
        <f t="shared" si="22"/>
        <v>0</v>
      </c>
      <c r="J53" s="751">
        <f t="shared" si="22"/>
        <v>0</v>
      </c>
      <c r="K53" s="751">
        <f t="shared" si="22"/>
        <v>0</v>
      </c>
      <c r="L53" s="751">
        <f t="shared" si="22"/>
        <v>0</v>
      </c>
      <c r="M53" s="751">
        <f t="shared" si="22"/>
        <v>0</v>
      </c>
      <c r="N53" s="751">
        <f t="shared" si="22"/>
        <v>0</v>
      </c>
      <c r="O53" s="751">
        <f t="shared" si="22"/>
        <v>0</v>
      </c>
      <c r="P53" s="751">
        <f t="shared" si="22"/>
        <v>0</v>
      </c>
      <c r="Q53" s="331">
        <f>SUM(E53:P53)</f>
        <v>0</v>
      </c>
      <c r="R53" s="723"/>
      <c r="S53" s="742">
        <f>T53*(1+' 3 AT Palkat, alv'!D53/100)</f>
        <v>0</v>
      </c>
      <c r="T53" s="762">
        <f>'1. Ekonomikalkyl'!J105</f>
        <v>0</v>
      </c>
    </row>
    <row r="54" spans="3:24" x14ac:dyDescent="0.2">
      <c r="C54" s="721" t="s">
        <v>201</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38"/>
      <c r="S54" s="747"/>
      <c r="T54" s="748"/>
    </row>
    <row r="55" spans="3:24" x14ac:dyDescent="0.2">
      <c r="S55" s="741" t="s">
        <v>211</v>
      </c>
      <c r="T55" s="741" t="s">
        <v>174</v>
      </c>
    </row>
    <row r="56" spans="3:24" x14ac:dyDescent="0.2">
      <c r="C56" s="720" t="s">
        <v>262</v>
      </c>
      <c r="D56" s="1033">
        <v>13.5</v>
      </c>
      <c r="E56" s="719">
        <f t="shared" ref="E56:P56" si="24">$T56/12*(1+$D56/100)</f>
        <v>0</v>
      </c>
      <c r="F56" s="719">
        <f t="shared" si="24"/>
        <v>0</v>
      </c>
      <c r="G56" s="719">
        <f t="shared" si="24"/>
        <v>0</v>
      </c>
      <c r="H56" s="719">
        <f t="shared" si="24"/>
        <v>0</v>
      </c>
      <c r="I56" s="719">
        <f t="shared" si="24"/>
        <v>0</v>
      </c>
      <c r="J56" s="719">
        <f t="shared" si="24"/>
        <v>0</v>
      </c>
      <c r="K56" s="719">
        <f t="shared" si="24"/>
        <v>0</v>
      </c>
      <c r="L56" s="719">
        <f t="shared" si="24"/>
        <v>0</v>
      </c>
      <c r="M56" s="719">
        <f t="shared" si="24"/>
        <v>0</v>
      </c>
      <c r="N56" s="719">
        <f t="shared" si="24"/>
        <v>0</v>
      </c>
      <c r="O56" s="719">
        <f t="shared" si="24"/>
        <v>0</v>
      </c>
      <c r="P56" s="719">
        <f t="shared" si="24"/>
        <v>0</v>
      </c>
      <c r="Q56" s="331">
        <f>SUM(E56:P56)</f>
        <v>0</v>
      </c>
      <c r="R56" s="723"/>
      <c r="S56" s="742">
        <f>T56*(1+' 3 AT Palkat, alv'!D56/100)</f>
        <v>0</v>
      </c>
      <c r="T56" s="743">
        <f>'1. Ekonomikalkyl'!J106</f>
        <v>0</v>
      </c>
    </row>
    <row r="57" spans="3:24" x14ac:dyDescent="0.2">
      <c r="C57" s="721" t="s">
        <v>201</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38"/>
      <c r="S57" s="739"/>
      <c r="T57" s="740"/>
    </row>
    <row r="58" spans="3:24" x14ac:dyDescent="0.2">
      <c r="C58" s="724"/>
      <c r="D58" s="725"/>
      <c r="G58" s="726"/>
      <c r="H58" s="726"/>
      <c r="I58" s="726"/>
      <c r="J58" s="726"/>
      <c r="K58" s="726"/>
      <c r="L58" s="726"/>
      <c r="M58" s="726"/>
      <c r="N58" s="726"/>
      <c r="O58" s="726"/>
      <c r="P58" s="726"/>
      <c r="Q58" s="727"/>
      <c r="S58" s="744"/>
      <c r="T58" s="745"/>
      <c r="V58" s="280"/>
    </row>
    <row r="59" spans="3:24" x14ac:dyDescent="0.2">
      <c r="C59" s="724"/>
      <c r="D59" s="725"/>
      <c r="G59" s="726"/>
      <c r="H59" s="726"/>
      <c r="I59" s="726"/>
      <c r="J59" s="726"/>
      <c r="K59" s="726"/>
      <c r="L59" s="726"/>
      <c r="M59" s="726"/>
      <c r="N59" s="726"/>
      <c r="O59" s="726"/>
      <c r="P59" s="726"/>
      <c r="Q59" s="727"/>
      <c r="S59" s="741" t="s">
        <v>211</v>
      </c>
      <c r="T59" s="741" t="s">
        <v>174</v>
      </c>
      <c r="V59" s="280"/>
      <c r="W59" s="741" t="s">
        <v>211</v>
      </c>
      <c r="X59" s="741" t="s">
        <v>174</v>
      </c>
    </row>
    <row r="60" spans="3:24" ht="20.25" customHeight="1" x14ac:dyDescent="0.2">
      <c r="C60" s="356" t="s">
        <v>206</v>
      </c>
      <c r="E60" s="767">
        <f t="shared" ref="E60:P60" si="26">SUM(E61:E66)</f>
        <v>0</v>
      </c>
      <c r="F60" s="767">
        <f t="shared" si="26"/>
        <v>0</v>
      </c>
      <c r="G60" s="767">
        <f t="shared" si="26"/>
        <v>0</v>
      </c>
      <c r="H60" s="767">
        <f t="shared" si="26"/>
        <v>0</v>
      </c>
      <c r="I60" s="767">
        <f t="shared" si="26"/>
        <v>0</v>
      </c>
      <c r="J60" s="767">
        <f t="shared" si="26"/>
        <v>0</v>
      </c>
      <c r="K60" s="767">
        <f t="shared" si="26"/>
        <v>0</v>
      </c>
      <c r="L60" s="767">
        <f t="shared" si="26"/>
        <v>0</v>
      </c>
      <c r="M60" s="767">
        <f t="shared" si="26"/>
        <v>0</v>
      </c>
      <c r="N60" s="767">
        <f t="shared" si="26"/>
        <v>0</v>
      </c>
      <c r="O60" s="767">
        <f t="shared" si="26"/>
        <v>0</v>
      </c>
      <c r="P60" s="767">
        <f t="shared" si="26"/>
        <v>0</v>
      </c>
      <c r="Q60" s="352">
        <f>SUM(E60:P60)</f>
        <v>0</v>
      </c>
      <c r="R60" s="352" t="s">
        <v>0</v>
      </c>
      <c r="S60" s="768"/>
      <c r="T60" s="741">
        <f>SUM(T61:T67)</f>
        <v>0</v>
      </c>
      <c r="U60" s="352"/>
    </row>
    <row r="61" spans="3:24" x14ac:dyDescent="0.2">
      <c r="C61" s="353" t="s">
        <v>207</v>
      </c>
      <c r="D61" s="730"/>
      <c r="E61" s="751">
        <f t="shared" ref="E61:E67" si="27">$T61/12*(1+$D61/100)</f>
        <v>0</v>
      </c>
      <c r="F61" s="751">
        <f t="shared" ref="F61:P67" si="28">$T61/12*(1+$D61/100)</f>
        <v>0</v>
      </c>
      <c r="G61" s="751">
        <f t="shared" si="28"/>
        <v>0</v>
      </c>
      <c r="H61" s="751">
        <f t="shared" si="28"/>
        <v>0</v>
      </c>
      <c r="I61" s="751">
        <f t="shared" si="28"/>
        <v>0</v>
      </c>
      <c r="J61" s="751">
        <f t="shared" si="28"/>
        <v>0</v>
      </c>
      <c r="K61" s="751">
        <f t="shared" si="28"/>
        <v>0</v>
      </c>
      <c r="L61" s="751">
        <f t="shared" si="28"/>
        <v>0</v>
      </c>
      <c r="M61" s="751">
        <f t="shared" si="28"/>
        <v>0</v>
      </c>
      <c r="N61" s="751">
        <f t="shared" si="28"/>
        <v>0</v>
      </c>
      <c r="O61" s="751">
        <f t="shared" si="28"/>
        <v>0</v>
      </c>
      <c r="P61" s="751">
        <f t="shared" si="28"/>
        <v>0</v>
      </c>
      <c r="Q61" s="320">
        <f t="shared" ref="Q61:Q66" si="29">SUM(E61:P61)</f>
        <v>0</v>
      </c>
      <c r="R61" s="357"/>
      <c r="S61" s="763"/>
      <c r="T61" s="762">
        <f>'1. Ekonomikalkyl'!J56+'1. Ekonomikalkyl'!J58</f>
        <v>0</v>
      </c>
      <c r="U61" s="368"/>
      <c r="V61" s="280"/>
    </row>
    <row r="62" spans="3:24" x14ac:dyDescent="0.2">
      <c r="C62" s="733" t="s">
        <v>266</v>
      </c>
      <c r="D62" s="730"/>
      <c r="E62" s="751">
        <f t="shared" si="27"/>
        <v>0</v>
      </c>
      <c r="F62" s="751">
        <f t="shared" si="28"/>
        <v>0</v>
      </c>
      <c r="G62" s="751">
        <f t="shared" si="28"/>
        <v>0</v>
      </c>
      <c r="H62" s="751">
        <f t="shared" si="28"/>
        <v>0</v>
      </c>
      <c r="I62" s="751">
        <f t="shared" si="28"/>
        <v>0</v>
      </c>
      <c r="J62" s="751">
        <f t="shared" si="28"/>
        <v>0</v>
      </c>
      <c r="K62" s="751">
        <f t="shared" si="28"/>
        <v>0</v>
      </c>
      <c r="L62" s="751">
        <f t="shared" si="28"/>
        <v>0</v>
      </c>
      <c r="M62" s="751">
        <f t="shared" si="28"/>
        <v>0</v>
      </c>
      <c r="N62" s="751">
        <f t="shared" si="28"/>
        <v>0</v>
      </c>
      <c r="O62" s="751">
        <f t="shared" si="28"/>
        <v>0</v>
      </c>
      <c r="P62" s="751">
        <f t="shared" si="28"/>
        <v>0</v>
      </c>
      <c r="Q62" s="320">
        <f t="shared" si="29"/>
        <v>0</v>
      </c>
      <c r="S62" s="763"/>
      <c r="T62" s="762">
        <f>'1. Ekonomikalkyl'!J80</f>
        <v>0</v>
      </c>
    </row>
    <row r="63" spans="3:24" x14ac:dyDescent="0.2">
      <c r="C63" s="729" t="s">
        <v>259</v>
      </c>
      <c r="D63" s="730"/>
      <c r="E63" s="751">
        <f t="shared" si="27"/>
        <v>0</v>
      </c>
      <c r="F63" s="751">
        <f t="shared" si="28"/>
        <v>0</v>
      </c>
      <c r="G63" s="751">
        <f t="shared" si="28"/>
        <v>0</v>
      </c>
      <c r="H63" s="751">
        <f t="shared" si="28"/>
        <v>0</v>
      </c>
      <c r="I63" s="751">
        <f t="shared" si="28"/>
        <v>0</v>
      </c>
      <c r="J63" s="751">
        <f t="shared" si="28"/>
        <v>0</v>
      </c>
      <c r="K63" s="751">
        <f t="shared" si="28"/>
        <v>0</v>
      </c>
      <c r="L63" s="751">
        <f t="shared" si="28"/>
        <v>0</v>
      </c>
      <c r="M63" s="751">
        <f t="shared" si="28"/>
        <v>0</v>
      </c>
      <c r="N63" s="751">
        <f t="shared" si="28"/>
        <v>0</v>
      </c>
      <c r="O63" s="751">
        <f t="shared" si="28"/>
        <v>0</v>
      </c>
      <c r="P63" s="751">
        <f t="shared" si="28"/>
        <v>0</v>
      </c>
      <c r="Q63" s="320">
        <f t="shared" si="29"/>
        <v>0</v>
      </c>
      <c r="S63" s="763"/>
      <c r="T63" s="762">
        <f>'1. Ekonomikalkyl'!J103</f>
        <v>0</v>
      </c>
    </row>
    <row r="64" spans="3:24" x14ac:dyDescent="0.2">
      <c r="C64" s="732" t="s">
        <v>260</v>
      </c>
      <c r="D64" s="731"/>
      <c r="E64" s="751">
        <f t="shared" si="27"/>
        <v>0</v>
      </c>
      <c r="F64" s="751">
        <f t="shared" si="28"/>
        <v>0</v>
      </c>
      <c r="G64" s="751">
        <f t="shared" si="28"/>
        <v>0</v>
      </c>
      <c r="H64" s="751">
        <f t="shared" si="28"/>
        <v>0</v>
      </c>
      <c r="I64" s="751">
        <f t="shared" si="28"/>
        <v>0</v>
      </c>
      <c r="J64" s="751">
        <f t="shared" si="28"/>
        <v>0</v>
      </c>
      <c r="K64" s="751">
        <f t="shared" si="28"/>
        <v>0</v>
      </c>
      <c r="L64" s="751">
        <f t="shared" si="28"/>
        <v>0</v>
      </c>
      <c r="M64" s="751">
        <f t="shared" si="28"/>
        <v>0</v>
      </c>
      <c r="N64" s="751">
        <f t="shared" si="28"/>
        <v>0</v>
      </c>
      <c r="O64" s="751">
        <f t="shared" si="28"/>
        <v>0</v>
      </c>
      <c r="P64" s="751">
        <f t="shared" si="28"/>
        <v>0</v>
      </c>
      <c r="Q64" s="320">
        <f t="shared" si="29"/>
        <v>0</v>
      </c>
      <c r="S64" s="763"/>
      <c r="T64" s="762">
        <f>'1. Ekonomikalkyl'!J110</f>
        <v>0</v>
      </c>
    </row>
    <row r="65" spans="3:20" x14ac:dyDescent="0.2">
      <c r="C65" s="733" t="s">
        <v>261</v>
      </c>
      <c r="D65" s="731"/>
      <c r="E65" s="751">
        <f t="shared" si="27"/>
        <v>0</v>
      </c>
      <c r="F65" s="751">
        <f t="shared" si="28"/>
        <v>0</v>
      </c>
      <c r="G65" s="751">
        <f t="shared" si="28"/>
        <v>0</v>
      </c>
      <c r="H65" s="751">
        <f t="shared" si="28"/>
        <v>0</v>
      </c>
      <c r="I65" s="751">
        <f t="shared" si="28"/>
        <v>0</v>
      </c>
      <c r="J65" s="751">
        <f t="shared" si="28"/>
        <v>0</v>
      </c>
      <c r="K65" s="751">
        <f t="shared" si="28"/>
        <v>0</v>
      </c>
      <c r="L65" s="751">
        <f t="shared" si="28"/>
        <v>0</v>
      </c>
      <c r="M65" s="751">
        <f t="shared" si="28"/>
        <v>0</v>
      </c>
      <c r="N65" s="751">
        <f t="shared" si="28"/>
        <v>0</v>
      </c>
      <c r="O65" s="751">
        <f t="shared" si="28"/>
        <v>0</v>
      </c>
      <c r="P65" s="751">
        <f t="shared" si="28"/>
        <v>0</v>
      </c>
      <c r="Q65" s="320">
        <f t="shared" si="29"/>
        <v>0</v>
      </c>
      <c r="S65" s="764"/>
      <c r="T65" s="746">
        <f>'1. Ekonomikalkyl'!J107</f>
        <v>0</v>
      </c>
    </row>
    <row r="66" spans="3:20" x14ac:dyDescent="0.2">
      <c r="C66" s="729" t="s">
        <v>265</v>
      </c>
      <c r="D66" s="731"/>
      <c r="E66" s="751">
        <f t="shared" si="27"/>
        <v>0</v>
      </c>
      <c r="F66" s="751">
        <f t="shared" si="28"/>
        <v>0</v>
      </c>
      <c r="G66" s="751">
        <f t="shared" si="28"/>
        <v>0</v>
      </c>
      <c r="H66" s="751">
        <f t="shared" si="28"/>
        <v>0</v>
      </c>
      <c r="I66" s="751">
        <f t="shared" si="28"/>
        <v>0</v>
      </c>
      <c r="J66" s="751">
        <f t="shared" si="28"/>
        <v>0</v>
      </c>
      <c r="K66" s="751">
        <f t="shared" si="28"/>
        <v>0</v>
      </c>
      <c r="L66" s="751">
        <f t="shared" si="28"/>
        <v>0</v>
      </c>
      <c r="M66" s="751">
        <f t="shared" si="28"/>
        <v>0</v>
      </c>
      <c r="N66" s="751">
        <f t="shared" si="28"/>
        <v>0</v>
      </c>
      <c r="O66" s="751">
        <f t="shared" si="28"/>
        <v>0</v>
      </c>
      <c r="P66" s="751">
        <f t="shared" si="28"/>
        <v>0</v>
      </c>
      <c r="Q66" s="320">
        <f t="shared" si="29"/>
        <v>0</v>
      </c>
      <c r="S66" s="764"/>
      <c r="T66" s="746">
        <f>'1. Ekonomikalkyl'!J111</f>
        <v>0</v>
      </c>
    </row>
    <row r="67" spans="3:20" x14ac:dyDescent="0.2">
      <c r="C67" s="1396" t="s">
        <v>270</v>
      </c>
      <c r="D67" s="1397"/>
      <c r="E67" s="751">
        <f t="shared" si="27"/>
        <v>0</v>
      </c>
      <c r="F67" s="751">
        <f t="shared" si="28"/>
        <v>0</v>
      </c>
      <c r="G67" s="751">
        <f t="shared" si="28"/>
        <v>0</v>
      </c>
      <c r="H67" s="751">
        <f t="shared" si="28"/>
        <v>0</v>
      </c>
      <c r="I67" s="751">
        <f t="shared" si="28"/>
        <v>0</v>
      </c>
      <c r="J67" s="751">
        <f t="shared" si="28"/>
        <v>0</v>
      </c>
      <c r="K67" s="751">
        <f t="shared" si="28"/>
        <v>0</v>
      </c>
      <c r="L67" s="751">
        <f t="shared" si="28"/>
        <v>0</v>
      </c>
      <c r="M67" s="751">
        <f t="shared" si="28"/>
        <v>0</v>
      </c>
      <c r="N67" s="751">
        <f t="shared" si="28"/>
        <v>0</v>
      </c>
      <c r="O67" s="751">
        <f t="shared" si="28"/>
        <v>0</v>
      </c>
      <c r="P67" s="751">
        <f t="shared" si="28"/>
        <v>0</v>
      </c>
      <c r="Q67" s="320">
        <f t="shared" ref="Q67" si="30">SUM(E67:P67)</f>
        <v>0</v>
      </c>
      <c r="S67" s="764"/>
      <c r="T67" s="746">
        <f>'1. Ekonomikalkyl'!J116</f>
        <v>0</v>
      </c>
    </row>
    <row r="68" spans="3:20" x14ac:dyDescent="0.2">
      <c r="C68" s="728"/>
    </row>
  </sheetData>
  <sheetProtection algorithmName="SHA-512" hashValue="OxOIWm7Dppt2UHUdNAISZUJvsCidLTlvAbYOdzfScgjgBumpEzVAemfp2LethRAWz9jQp83g9wcxJLxiCcglMQ==" saltValue="pO3UAwI/QWrZewajJadFWg=="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6</v>
      </c>
      <c r="D3" s="49"/>
      <c r="E3" s="50"/>
      <c r="F3" s="51">
        <f>G43+G44</f>
        <v>0</v>
      </c>
      <c r="G3" s="51">
        <f>F3-F5</f>
        <v>0</v>
      </c>
      <c r="H3" s="51">
        <f>G3-G5</f>
        <v>0</v>
      </c>
      <c r="I3" s="52"/>
    </row>
    <row r="4" spans="1:16" s="22" customFormat="1" ht="11.25" x14ac:dyDescent="0.2">
      <c r="A4" s="46"/>
      <c r="B4" s="47"/>
      <c r="C4" s="48" t="s">
        <v>278</v>
      </c>
      <c r="D4" s="49"/>
      <c r="E4" s="50"/>
      <c r="F4" s="260">
        <v>7.0000000000000007E-2</v>
      </c>
      <c r="G4" s="260">
        <v>7.0000000000000007E-2</v>
      </c>
      <c r="H4" s="260">
        <v>7.0000000000000007E-2</v>
      </c>
      <c r="I4" s="261"/>
    </row>
    <row r="5" spans="1:16" s="22" customFormat="1" ht="11.25" x14ac:dyDescent="0.2">
      <c r="A5" s="46"/>
      <c r="B5" s="47"/>
      <c r="C5" s="48" t="s">
        <v>13</v>
      </c>
      <c r="D5" s="49"/>
      <c r="E5" s="50"/>
      <c r="F5" s="51">
        <f>F3*F4</f>
        <v>0</v>
      </c>
      <c r="G5" s="51">
        <f>G3*G4</f>
        <v>0</v>
      </c>
      <c r="H5" s="51">
        <f>H3*H4</f>
        <v>0</v>
      </c>
      <c r="I5" s="52"/>
    </row>
    <row r="6" spans="1:16" s="22" customFormat="1" ht="11.25" x14ac:dyDescent="0.2">
      <c r="A6" s="46"/>
      <c r="B6" s="47"/>
      <c r="C6" s="48" t="s">
        <v>11</v>
      </c>
      <c r="D6" s="49"/>
      <c r="E6" s="50"/>
      <c r="F6" s="51">
        <f>F3-F5</f>
        <v>0</v>
      </c>
      <c r="G6" s="51">
        <f>G3-G5</f>
        <v>0</v>
      </c>
      <c r="H6" s="51">
        <f>H3-H5</f>
        <v>0</v>
      </c>
      <c r="I6" s="52"/>
    </row>
    <row r="7" spans="1:16" s="22" customFormat="1" ht="11.25" x14ac:dyDescent="0.2">
      <c r="A7" s="46"/>
      <c r="B7" s="47"/>
      <c r="C7" s="48" t="s">
        <v>8</v>
      </c>
      <c r="D7" s="49"/>
      <c r="E7" s="50"/>
      <c r="F7" s="51">
        <f>IF(G54&lt;0,0,G54)</f>
        <v>0</v>
      </c>
      <c r="G7" s="51">
        <f>F7-F9</f>
        <v>0</v>
      </c>
      <c r="H7" s="51">
        <f>G7-G9</f>
        <v>0</v>
      </c>
      <c r="I7" s="52"/>
    </row>
    <row r="8" spans="1:16" s="22" customFormat="1" ht="11.25" x14ac:dyDescent="0.2">
      <c r="A8" s="46"/>
      <c r="B8" s="47"/>
      <c r="C8" s="48" t="s">
        <v>9</v>
      </c>
      <c r="D8" s="49"/>
      <c r="E8" s="50"/>
      <c r="F8" s="260">
        <v>0.25</v>
      </c>
      <c r="G8" s="260">
        <v>0.25</v>
      </c>
      <c r="H8" s="260">
        <v>0.25</v>
      </c>
      <c r="I8" s="261"/>
    </row>
    <row r="9" spans="1:16" s="22" customFormat="1" ht="11.25" x14ac:dyDescent="0.2">
      <c r="A9" s="46"/>
      <c r="B9" s="47"/>
      <c r="C9" s="48" t="s">
        <v>14</v>
      </c>
      <c r="D9" s="49"/>
      <c r="E9" s="50"/>
      <c r="F9" s="51">
        <f>F7*F8</f>
        <v>0</v>
      </c>
      <c r="G9" s="51">
        <f>G7*G8</f>
        <v>0</v>
      </c>
      <c r="H9" s="51">
        <f>H7*H8</f>
        <v>0</v>
      </c>
      <c r="I9" s="52"/>
    </row>
    <row r="10" spans="1:16" s="22" customFormat="1" ht="11.25" x14ac:dyDescent="0.2">
      <c r="A10" s="46"/>
      <c r="B10" s="47"/>
      <c r="C10" s="48" t="s">
        <v>12</v>
      </c>
      <c r="D10" s="49"/>
      <c r="E10" s="50"/>
      <c r="F10" s="51">
        <f>F7-F9</f>
        <v>0</v>
      </c>
      <c r="G10" s="51">
        <f>G7-G9</f>
        <v>0</v>
      </c>
      <c r="H10" s="51">
        <f>H7-H9</f>
        <v>0</v>
      </c>
      <c r="I10" s="52"/>
    </row>
    <row r="11" spans="1:16" s="22" customFormat="1" ht="12" x14ac:dyDescent="0.2">
      <c r="A11" s="46"/>
      <c r="B11" s="46"/>
      <c r="C11" s="1087" t="s">
        <v>275</v>
      </c>
      <c r="D11" s="1087"/>
      <c r="E11" s="1087"/>
      <c r="F11" s="52">
        <f>'1. Ekonomikalkyl'!F25</f>
        <v>0</v>
      </c>
      <c r="G11" s="51">
        <f>F11-F13</f>
        <v>0</v>
      </c>
      <c r="H11" s="51">
        <f>G11-G13</f>
        <v>0</v>
      </c>
      <c r="I11" s="52"/>
    </row>
    <row r="12" spans="1:16" s="22" customFormat="1" ht="11.25" x14ac:dyDescent="0.2">
      <c r="A12" s="46"/>
      <c r="B12" s="47"/>
      <c r="C12" s="48" t="s">
        <v>276</v>
      </c>
      <c r="D12" s="49"/>
      <c r="E12" s="50"/>
      <c r="F12" s="260">
        <v>0.25</v>
      </c>
      <c r="G12" s="260">
        <v>0.25</v>
      </c>
      <c r="H12" s="260">
        <v>0.25</v>
      </c>
      <c r="I12" s="261"/>
    </row>
    <row r="13" spans="1:16" s="22" customFormat="1" ht="11.25" x14ac:dyDescent="0.2">
      <c r="A13" s="46"/>
      <c r="B13" s="47"/>
      <c r="C13" s="48" t="s">
        <v>277</v>
      </c>
      <c r="D13" s="49"/>
      <c r="E13" s="50"/>
      <c r="F13" s="51">
        <f>F11*F12</f>
        <v>0</v>
      </c>
      <c r="G13" s="51">
        <f>G11*G12</f>
        <v>0</v>
      </c>
      <c r="H13" s="51">
        <f>H11*H12</f>
        <v>0</v>
      </c>
      <c r="I13" s="52"/>
    </row>
    <row r="14" spans="1:16" s="22" customFormat="1" ht="11.25" x14ac:dyDescent="0.2">
      <c r="A14" s="46"/>
      <c r="B14" s="46"/>
      <c r="C14" s="48" t="s">
        <v>274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98" t="s">
        <v>21</v>
      </c>
      <c r="H16" s="1398"/>
      <c r="I16" s="1398"/>
      <c r="J16" s="36"/>
      <c r="K16" s="37" t="s">
        <v>44</v>
      </c>
      <c r="L16" s="38"/>
      <c r="M16" s="38"/>
      <c r="N16" s="38"/>
      <c r="O16" s="38"/>
      <c r="P16" s="39"/>
    </row>
    <row r="17" spans="1:23" s="22" customFormat="1" ht="11.25" x14ac:dyDescent="0.2">
      <c r="C17" s="35"/>
      <c r="D17" s="35"/>
      <c r="E17" s="35"/>
      <c r="F17" s="53" t="s">
        <v>20</v>
      </c>
      <c r="G17" s="54" t="s">
        <v>1</v>
      </c>
      <c r="H17" s="54" t="s">
        <v>22</v>
      </c>
      <c r="I17" s="54" t="s">
        <v>4</v>
      </c>
      <c r="J17" s="40"/>
      <c r="K17" s="35" t="s">
        <v>45</v>
      </c>
      <c r="L17" s="41">
        <f>'1. Ekonomikalkyl'!J16/12</f>
        <v>0</v>
      </c>
      <c r="P17" s="42"/>
    </row>
    <row r="18" spans="1:23" s="22" customFormat="1" ht="11.25" x14ac:dyDescent="0.2">
      <c r="C18" s="55"/>
      <c r="D18" s="55"/>
      <c r="E18" s="55"/>
      <c r="F18" s="53" t="str">
        <f>A26</f>
        <v xml:space="preserve"> Bank</v>
      </c>
      <c r="G18" s="56">
        <f>IF('1. Ekonomikalkyl'!$K12=2,'1. Ekonomikalkyl'!$M12*'1. Ekonomikalkyl'!$J12,IF('1. Ekonomikalkyl'!$K12=1,'1. Ekonomikalkyl'!$M12*'1. Ekonomikalkyl'!$J12,('4 AT Lainat ja avustukset alv'!$B26-0.5*'4 AT Lainat ja avustukset alv'!$E26)*'1. Ekonomikalkyl'!$J12))</f>
        <v>0</v>
      </c>
      <c r="H18" s="56">
        <f>IF('1. Ekonomikalkyl'!$K12=2,'1. Ekonomikalkyl'!$M12*'1. Ekonomikalkyl'!$J12,IF('1. Ekonomikalkyl'!$K12=1,('1. Ekonomikalkyl'!$M12-0.5*B26)*'1. Ekonomikalkyl'!$J12,('4 AT Lainat ja avustukset alv'!$B26-1.5*'4 AT Lainat ja avustukset alv'!$E26)*'1. Ekonomikalkyl'!$J12))</f>
        <v>0</v>
      </c>
      <c r="I18" s="56">
        <f>IF('1. Ekonomikalkyl'!$K12=2,('1. Ekonomikalkyl'!$M12-0.5*D26)*'1. Ekonomikalkyl'!$J12,IF('1. Ekonomikalkyl'!$K12=1,('1. Ekonomikalkyl'!$M12-1.5*C26)*'1. Ekonomikalkyl'!$J12,('4 AT Lainat ja avustukset alv'!$B26-2.5*'4 AT Lainat ja avustukset alv'!$E26)*'1. Ekonomikalkyl'!$J12))</f>
        <v>0</v>
      </c>
      <c r="J18" s="40"/>
      <c r="K18" s="22" t="s">
        <v>46</v>
      </c>
      <c r="L18" s="22">
        <f>'1. Ekonomikalkyl'!K16*12</f>
        <v>0</v>
      </c>
      <c r="P18" s="42"/>
    </row>
    <row r="19" spans="1:23" s="22" customFormat="1" ht="11.25" x14ac:dyDescent="0.2">
      <c r="C19" s="55"/>
      <c r="D19" s="55"/>
      <c r="E19" s="55"/>
      <c r="F19" s="53" t="str">
        <f t="shared" ref="F19:F20" si="0">A27</f>
        <v xml:space="preserve"> Finnvera</v>
      </c>
      <c r="G19" s="56">
        <f>IF('1. Ekonomikalkyl'!$K13=2,'1. Ekonomikalkyl'!$M13*'1. Ekonomikalkyl'!$J13,IF('1. Ekonomikalkyl'!$K13=1,'1. Ekonomikalkyl'!$M13*'1. Ekonomikalkyl'!$J13,('4 AT Lainat ja avustukset alv'!$B27-0.5*'4 AT Lainat ja avustukset alv'!$E27)*'1. Ekonomikalkyl'!$J13))</f>
        <v>0</v>
      </c>
      <c r="H19" s="56">
        <f>IF('1. Ekonomikalkyl'!$K13=2,'1. Ekonomikalkyl'!$M13*'1. Ekonomikalkyl'!$J13,IF('1. Ekonomikalkyl'!$K13=1,('1. Ekonomikalkyl'!$M13-0.5*B27)*'1. Ekonomikalkyl'!$J13,('4 AT Lainat ja avustukset alv'!$B27-1.5*'4 AT Lainat ja avustukset alv'!$E27)*'1. Ekonomikalkyl'!$J13))</f>
        <v>0</v>
      </c>
      <c r="I19" s="56">
        <f>IF('1. Ekonomikalkyl'!$K13=2,('1. Ekonomikalkyl'!$M13-0.5*D27)*'1. Ekonomikalkyl'!$J13,IF('1. Ekonomikalkyl'!$K13=1,('1. Ekonomikalkyl'!$M13-1.5*C27)*'1. Ekonomikalkyl'!$J13,('4 AT Lainat ja avustukset alv'!$B27-2.5*'4 AT Lainat ja avustukset alv'!$E27)*'1. Ekonomikalkyl'!$J13))</f>
        <v>0</v>
      </c>
      <c r="J19" s="40"/>
      <c r="K19" s="22" t="s">
        <v>18</v>
      </c>
      <c r="L19" s="43">
        <f>'1. Ekonomikalkyl'!M16</f>
        <v>0</v>
      </c>
      <c r="P19" s="42"/>
    </row>
    <row r="20" spans="1:23" s="22" customFormat="1" ht="11.25" x14ac:dyDescent="0.2">
      <c r="C20" s="55"/>
      <c r="D20" s="55"/>
      <c r="E20" s="55"/>
      <c r="F20" s="53">
        <f t="shared" si="0"/>
        <v>0</v>
      </c>
      <c r="G20" s="56">
        <f>IF('1. Ekonomikalkyl'!$K14=2,'1. Ekonomikalkyl'!$M14*'1. Ekonomikalkyl'!$J14,IF('1. Ekonomikalkyl'!$K14=1,'1. Ekonomikalkyl'!$M14*'1. Ekonomikalkyl'!$J14,('4 AT Lainat ja avustukset alv'!$B28-0.5*'4 AT Lainat ja avustukset alv'!$E28)*'1. Ekonomikalkyl'!$J14))</f>
        <v>0</v>
      </c>
      <c r="H20" s="56">
        <f>IF('1. Ekonomikalkyl'!$K14=2,'1. Ekonomikalkyl'!$M14*'1. Ekonomikalkyl'!$J14,IF('1. Ekonomikalkyl'!$K14=1,('1. Ekonomikalkyl'!$M14-0.5*B28)*'1. Ekonomikalkyl'!$J14,('4 AT Lainat ja avustukset alv'!$B28-1.5*'4 AT Lainat ja avustukset alv'!$E28)*'1. Ekonomikalkyl'!$J14))</f>
        <v>0</v>
      </c>
      <c r="I20" s="56">
        <f>IF('1. Ekonomikalkyl'!$K14=2,('1. Ekonomikalkyl'!$M14-0.5*D28)*'1. Ekonomikalkyl'!$J14,IF('1. Ekonomikalkyl'!$K14=1,('1. Ekonomikalkyl'!$M14-1.5*C28)*'1. Ekonomikalkyl'!$J14,('4 AT Lainat ja avustukset alv'!$B28-2.5*'4 AT Lainat ja avustukset alv'!$E28)*'1. Ekonomikalkyl'!$J14))</f>
        <v>0</v>
      </c>
      <c r="J20" s="40"/>
      <c r="K20" s="22" t="s">
        <v>47</v>
      </c>
      <c r="L20" s="44">
        <f>IF(L17=0,0,-PMT(L17,L18,L19)*12)</f>
        <v>0</v>
      </c>
      <c r="P20" s="42"/>
    </row>
    <row r="21" spans="1:23" s="22" customFormat="1" ht="11.25" x14ac:dyDescent="0.2">
      <c r="C21" s="57"/>
      <c r="D21" s="57"/>
      <c r="E21" s="57"/>
      <c r="F21" s="53" t="s">
        <v>0</v>
      </c>
      <c r="G21" s="56">
        <v>0</v>
      </c>
      <c r="H21" s="56">
        <v>0</v>
      </c>
      <c r="I21" s="56">
        <v>0</v>
      </c>
      <c r="K21" s="22" t="s">
        <v>95</v>
      </c>
      <c r="L21" s="44">
        <f>L20/4</f>
        <v>0</v>
      </c>
    </row>
    <row r="22" spans="1:23" s="22" customFormat="1" ht="11.25" x14ac:dyDescent="0.2">
      <c r="C22" s="57"/>
      <c r="D22" s="57"/>
      <c r="E22" s="57"/>
      <c r="F22" s="53" t="s">
        <v>10</v>
      </c>
      <c r="G22" s="56">
        <f>SUM(G18:G21)</f>
        <v>0</v>
      </c>
      <c r="H22" s="56">
        <f>SUM(H18:H21)</f>
        <v>0</v>
      </c>
      <c r="I22" s="56">
        <f>SUM(I18:I21)</f>
        <v>0</v>
      </c>
      <c r="J22" s="40"/>
      <c r="K22" s="14" t="s">
        <v>79</v>
      </c>
      <c r="L22" s="14" t="s">
        <v>80</v>
      </c>
      <c r="M22" s="14" t="s">
        <v>81</v>
      </c>
      <c r="N22" s="14" t="s">
        <v>82</v>
      </c>
      <c r="O22" s="14" t="s">
        <v>83</v>
      </c>
      <c r="P22" s="58" t="s">
        <v>84</v>
      </c>
      <c r="Q22" s="14" t="s">
        <v>85</v>
      </c>
      <c r="R22" s="14" t="s">
        <v>86</v>
      </c>
      <c r="S22" s="14" t="s">
        <v>87</v>
      </c>
      <c r="T22" s="14" t="s">
        <v>88</v>
      </c>
      <c r="U22" s="14" t="s">
        <v>89</v>
      </c>
      <c r="V22" s="14" t="s">
        <v>90</v>
      </c>
      <c r="W22" s="14" t="s">
        <v>91</v>
      </c>
    </row>
    <row r="23" spans="1:23" s="22" customFormat="1" ht="11.25" x14ac:dyDescent="0.2">
      <c r="A23" s="46"/>
      <c r="B23" s="46"/>
      <c r="C23" s="46"/>
      <c r="D23" s="46"/>
      <c r="E23" s="46"/>
      <c r="F23" s="46"/>
      <c r="G23" s="46"/>
      <c r="H23" s="46"/>
      <c r="I23" s="46"/>
      <c r="J23" s="40" t="s">
        <v>48</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99" t="s">
        <v>26</v>
      </c>
      <c r="D24" s="1399"/>
      <c r="E24" s="1399"/>
      <c r="G24" s="1399" t="s">
        <v>248</v>
      </c>
      <c r="H24" s="1399"/>
      <c r="I24" s="1399"/>
      <c r="J24" s="40" t="s">
        <v>92</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20</v>
      </c>
      <c r="B25" s="60" t="s">
        <v>18</v>
      </c>
      <c r="C25" s="54" t="s">
        <v>23</v>
      </c>
      <c r="D25" s="54" t="s">
        <v>24</v>
      </c>
      <c r="E25" s="54" t="s">
        <v>25</v>
      </c>
      <c r="F25" s="53" t="s">
        <v>20</v>
      </c>
      <c r="G25" s="54" t="s">
        <v>1</v>
      </c>
      <c r="H25" s="54" t="s">
        <v>22</v>
      </c>
      <c r="I25" s="54" t="s">
        <v>4</v>
      </c>
      <c r="J25" s="40" t="s">
        <v>93</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Ekonomikalkyl'!H12</f>
        <v xml:space="preserve"> Bank</v>
      </c>
      <c r="B26" s="61">
        <f>'1. Ekonomikalkyl'!M12</f>
        <v>0</v>
      </c>
      <c r="C26" s="62">
        <f>IF('1. Ekonomikalkyl'!$L12=0,0,$B26/('1. Ekonomikalkyl'!$L12-1))</f>
        <v>0</v>
      </c>
      <c r="D26" s="62">
        <f>IF('1. Ekonomikalkyl'!$L12=0,0,$B26/('1. Ekonomikalkyl'!$L12-2))</f>
        <v>0</v>
      </c>
      <c r="E26" s="62">
        <f>IF('1. Ekonomikalkyl'!$L12=0,0,$B26/'1. Ekonomikalkyl'!$L12)</f>
        <v>0</v>
      </c>
      <c r="F26" s="53" t="str">
        <f>A26</f>
        <v xml:space="preserve"> Bank</v>
      </c>
      <c r="G26" s="63">
        <f>IF('1. Ekonomikalkyl'!$K12=2,'4 AT Lainat ja avustukset alv'!G18,IF('1. Ekonomikalkyl'!$K12=1,'4 AT Lainat ja avustukset alv'!$G18,'4 AT Lainat ja avustukset alv'!$E26+$G18))</f>
        <v>0</v>
      </c>
      <c r="H26" s="63">
        <f>IF('1. Ekonomikalkyl'!$K12=2,'4 AT Lainat ja avustukset alv'!H18,IF('1. Ekonomikalkyl'!$K12=1,H18+C26,'4 AT Lainat ja avustukset alv'!$E26+H18))</f>
        <v>0</v>
      </c>
      <c r="I26" s="63">
        <f>IF('1. Ekonomikalkyl'!$K12=2,'4 AT Lainat ja avustukset alv'!I18+D26,IF('1. Ekonomikalkyl'!$K12=1,I18+C26,'4 AT Lainat ja avustukset alv'!$E26+I18))</f>
        <v>0</v>
      </c>
      <c r="J26" s="45" t="s">
        <v>94</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Ekonomikalkyl'!H13</f>
        <v xml:space="preserve"> Finnvera</v>
      </c>
      <c r="B27" s="61">
        <f>'1. Ekonomikalkyl'!M13</f>
        <v>0</v>
      </c>
      <c r="C27" s="62">
        <f>IF('1. Ekonomikalkyl'!$L13=0,0,$B27/('1. Ekonomikalkyl'!$L13-1))</f>
        <v>0</v>
      </c>
      <c r="D27" s="62">
        <f>IF('1. Ekonomikalkyl'!$L13=0,0,$B27/('1. Ekonomikalkyl'!$L13-2))</f>
        <v>0</v>
      </c>
      <c r="E27" s="62">
        <f>IF('1. Ekonomikalkyl'!$L13=0,0,$B27/'1. Ekonomikalkyl'!$L13)</f>
        <v>0</v>
      </c>
      <c r="F27" s="53" t="str">
        <f t="shared" ref="F27:F28" si="4">A27</f>
        <v xml:space="preserve"> Finnvera</v>
      </c>
      <c r="G27" s="63">
        <f>IF('1. Ekonomikalkyl'!$K13=2,'4 AT Lainat ja avustukset alv'!G19,IF('1. Ekonomikalkyl'!$K13=1,'4 AT Lainat ja avustukset alv'!$G19,'4 AT Lainat ja avustukset alv'!$E27+$G19))</f>
        <v>0</v>
      </c>
      <c r="H27" s="63">
        <f>IF('1. Ekonomikalkyl'!$K13=2,'4 AT Lainat ja avustukset alv'!H19,IF('1. Ekonomikalkyl'!$K13=1,H19+C27,'4 AT Lainat ja avustukset alv'!$E27+H19))</f>
        <v>0</v>
      </c>
      <c r="I27" s="63">
        <f>IF('1. Ekonomikalkyl'!$K13=2,'4 AT Lainat ja avustukset alv'!I19+D27,IF('1. Ekonomikalkyl'!$K13=1,I19+C27,'4 AT Lainat ja avustukset alv'!$E27+I19))</f>
        <v>0</v>
      </c>
      <c r="J27" s="40"/>
      <c r="P27" s="42"/>
    </row>
    <row r="28" spans="1:23" s="22" customFormat="1" ht="11.25" x14ac:dyDescent="0.2">
      <c r="A28" s="53">
        <f>'1. Ekonomikalkyl'!H14</f>
        <v>0</v>
      </c>
      <c r="B28" s="61">
        <f>'1. Ekonomikalkyl'!M14</f>
        <v>0</v>
      </c>
      <c r="C28" s="62">
        <f>IF('1. Ekonomikalkyl'!$L14=0,0,$B28/('1. Ekonomikalkyl'!$L14-1))</f>
        <v>0</v>
      </c>
      <c r="D28" s="62">
        <f>IF('1. Ekonomikalkyl'!$L14=0,0,$B28/('1. Ekonomikalkyl'!$L14-2))</f>
        <v>0</v>
      </c>
      <c r="E28" s="62">
        <f>IF('1. Ekonomikalkyl'!$L14=0,0,$B28/'1. Ekonomikalkyl'!$L14)</f>
        <v>0</v>
      </c>
      <c r="F28" s="53">
        <f t="shared" si="4"/>
        <v>0</v>
      </c>
      <c r="G28" s="63">
        <f>IF('1. Ekonomikalkyl'!$K14=2,'4 AT Lainat ja avustukset alv'!G20,IF('1. Ekonomikalkyl'!$K14=1,'4 AT Lainat ja avustukset alv'!$G20,'4 AT Lainat ja avustukset alv'!$E28+$G20))</f>
        <v>0</v>
      </c>
      <c r="H28" s="63">
        <f>IF('1. Ekonomikalkyl'!$K14=2,'4 AT Lainat ja avustukset alv'!H20,IF('1. Ekonomikalkyl'!$K14=1,H20+C28,'4 AT Lainat ja avustukset alv'!$E28+H20))</f>
        <v>0</v>
      </c>
      <c r="I28" s="63">
        <f>IF('1. Ekonomikalkyl'!$K14=2,'4 AT Lainat ja avustukset alv'!I20+D28,IF('1. Ekonomikalkyl'!$K14=1,I20+C28,'4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10</v>
      </c>
      <c r="B30" s="64">
        <f>SUM(B26:B29)</f>
        <v>0</v>
      </c>
      <c r="C30" s="62">
        <f>SUM(C26:C29)</f>
        <v>0</v>
      </c>
      <c r="D30" s="62">
        <f>SUM(D26:D29)</f>
        <v>0</v>
      </c>
      <c r="E30" s="62">
        <f>SUM(E26:E29)</f>
        <v>0</v>
      </c>
      <c r="F30" s="65" t="s">
        <v>10</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98" t="s">
        <v>27</v>
      </c>
      <c r="H33" s="1398"/>
      <c r="I33" s="1398"/>
    </row>
    <row r="34" spans="2:12" s="22" customFormat="1" ht="12" x14ac:dyDescent="0.2">
      <c r="B34" s="2"/>
      <c r="C34" s="2"/>
      <c r="D34" s="2"/>
      <c r="E34" s="2"/>
      <c r="F34" s="6" t="s">
        <v>20</v>
      </c>
      <c r="G34" s="805" t="s">
        <v>1</v>
      </c>
      <c r="H34" s="805" t="s">
        <v>22</v>
      </c>
      <c r="I34" s="805" t="s">
        <v>4</v>
      </c>
      <c r="J34" s="2"/>
      <c r="K34" s="2"/>
      <c r="L34" s="2"/>
    </row>
    <row r="35" spans="2:12" s="22" customFormat="1" ht="12" x14ac:dyDescent="0.2">
      <c r="B35" s="2"/>
      <c r="C35" s="2"/>
      <c r="D35" s="2"/>
      <c r="E35" s="2"/>
      <c r="F35" s="6" t="str">
        <f>A26</f>
        <v xml:space="preserve"> Bank</v>
      </c>
      <c r="G35" s="313">
        <f>IF('1. Ekonomikalkyl'!$K12=2,'4 AT Lainat ja avustukset alv'!$B26,IF('1. Ekonomikalkyl'!$K12=1,'4 AT Lainat ja avustukset alv'!$B26,'4 AT Lainat ja avustukset alv'!$B26-'4 AT Lainat ja avustukset alv'!$E26))</f>
        <v>0</v>
      </c>
      <c r="H35" s="313">
        <f>IF('1. Ekonomikalkyl'!$K12=2,'4 AT Lainat ja avustukset alv'!$B26,IF('1. Ekonomikalkyl'!$K12=1,'4 AT Lainat ja avustukset alv'!$B26-$C26,'4 AT Lainat ja avustukset alv'!$B26-2*'4 AT Lainat ja avustukset alv'!$E26))</f>
        <v>0</v>
      </c>
      <c r="I35" s="313">
        <f>IF('1. Ekonomikalkyl'!$K12=2,'4 AT Lainat ja avustukset alv'!$B26-D26,IF('1. Ekonomikalkyl'!$K12=1,'4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Ekonomikalkyl'!$K13=2,'4 AT Lainat ja avustukset alv'!$B27,IF('1. Ekonomikalkyl'!$K13=1,'4 AT Lainat ja avustukset alv'!$B27,'4 AT Lainat ja avustukset alv'!$B27-'4 AT Lainat ja avustukset alv'!$E27))</f>
        <v>0</v>
      </c>
      <c r="H36" s="313">
        <f>IF('1. Ekonomikalkyl'!$K13=2,'4 AT Lainat ja avustukset alv'!$B27,IF('1. Ekonomikalkyl'!$K13=1,'4 AT Lainat ja avustukset alv'!$B27-$C27,'4 AT Lainat ja avustukset alv'!$B27-2*'4 AT Lainat ja avustukset alv'!$E27))</f>
        <v>0</v>
      </c>
      <c r="I36" s="313">
        <f>IF('1. Ekonomikalkyl'!$K13=2,'4 AT Lainat ja avustukset alv'!$B27-D27,IF('1. Ekonomikalkyl'!$K13=1,'4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Ekonomikalkyl'!$K14=2,'4 AT Lainat ja avustukset alv'!$B28,IF('1. Ekonomikalkyl'!$K14=1,'4 AT Lainat ja avustukset alv'!$B28,'4 AT Lainat ja avustukset alv'!$B28-'4 AT Lainat ja avustukset alv'!$E28))</f>
        <v>0</v>
      </c>
      <c r="H37" s="313">
        <f>IF('1. Ekonomikalkyl'!$K14=2,'4 AT Lainat ja avustukset alv'!$B28,IF('1. Ekonomikalkyl'!$K14=1,'4 AT Lainat ja avustukset alv'!$B28-$C28,'4 AT Lainat ja avustukset alv'!$B28-2*'4 AT Lainat ja avustukset alv'!$E28))</f>
        <v>0</v>
      </c>
      <c r="I37" s="313">
        <f>IF('1. Ekonomikalkyl'!$K14=2,'4 AT Lainat ja avustukset alv'!$B28-D28,IF('1. Ekonomikalkyl'!$K14=1,'4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806" t="s">
        <v>10</v>
      </c>
      <c r="G39" s="807">
        <f>SUM(G35:G38)</f>
        <v>0</v>
      </c>
      <c r="H39" s="807">
        <f>SUM(H35:H38)</f>
        <v>0</v>
      </c>
      <c r="I39" s="807">
        <f>SUM(I35:I38)</f>
        <v>0</v>
      </c>
      <c r="J39" s="2"/>
      <c r="K39" s="2"/>
      <c r="L39" s="2"/>
    </row>
    <row r="40" spans="2:12" s="22" customFormat="1" ht="12" x14ac:dyDescent="0.2">
      <c r="B40" s="808" t="s">
        <v>49</v>
      </c>
      <c r="C40" s="2"/>
      <c r="D40" s="2"/>
      <c r="E40" s="2"/>
      <c r="F40" s="809"/>
      <c r="G40" s="810" t="s">
        <v>50</v>
      </c>
      <c r="H40" s="810"/>
      <c r="I40" s="811">
        <f>IF($I38=6,B127,IF($I38=7,F144,IF($F32=8,G145,IF($F32=9,H146,IF($F32=10,I147,IF($F32=11,J148,IF($F32=12,K149,IF($F32=13,L150,IF($F32=14,M151,IF($F32=15,N152,IF($F32=16,O153,IF($F32=17,P154,Q155))))))))))))</f>
        <v>0</v>
      </c>
      <c r="J40" s="2"/>
      <c r="K40" s="2"/>
      <c r="L40" s="2"/>
    </row>
    <row r="41" spans="2:12" s="22" customFormat="1" ht="12" x14ac:dyDescent="0.2">
      <c r="B41" s="307" t="s">
        <v>43</v>
      </c>
      <c r="C41" s="7" t="s">
        <v>28</v>
      </c>
      <c r="D41" s="7" t="s">
        <v>18</v>
      </c>
      <c r="E41" s="2" t="s">
        <v>30</v>
      </c>
      <c r="F41" s="812"/>
      <c r="G41" s="313" t="s">
        <v>50</v>
      </c>
      <c r="H41" s="313"/>
      <c r="I41" s="813"/>
      <c r="J41" s="2"/>
      <c r="K41" s="2"/>
      <c r="L41" s="2"/>
    </row>
    <row r="42" spans="2:12" s="22" customFormat="1" ht="12" x14ac:dyDescent="0.2">
      <c r="B42" s="814" t="s">
        <v>15</v>
      </c>
      <c r="C42" s="815">
        <f>'1. Ekonomikalkyl'!E11</f>
        <v>0</v>
      </c>
      <c r="D42" s="816">
        <f>'1. Ekonomikalkyl'!F11</f>
        <v>0</v>
      </c>
      <c r="E42" s="817">
        <f>C42*D42</f>
        <v>0</v>
      </c>
      <c r="F42" s="850"/>
      <c r="G42" s="816">
        <f>D42-E42</f>
        <v>0</v>
      </c>
      <c r="H42" s="313"/>
      <c r="I42" s="813"/>
      <c r="J42" s="2"/>
      <c r="K42" s="2"/>
      <c r="L42" s="2"/>
    </row>
    <row r="43" spans="2:12" s="22" customFormat="1" ht="12" x14ac:dyDescent="0.2">
      <c r="B43" s="814" t="s">
        <v>16</v>
      </c>
      <c r="C43" s="815">
        <f>'1. Ekonomikalkyl'!E12</f>
        <v>0</v>
      </c>
      <c r="D43" s="816">
        <f>'1. Ekonomikalkyl'!F12</f>
        <v>0</v>
      </c>
      <c r="E43" s="817">
        <f>C43*D43</f>
        <v>0</v>
      </c>
      <c r="F43" s="850"/>
      <c r="G43" s="816">
        <f>D43-E43</f>
        <v>0</v>
      </c>
      <c r="H43" s="313"/>
      <c r="I43" s="813"/>
      <c r="J43" s="2"/>
      <c r="K43" s="2"/>
      <c r="L43" s="2"/>
    </row>
    <row r="44" spans="2:12" s="22" customFormat="1" ht="12" x14ac:dyDescent="0.2">
      <c r="B44" s="814" t="s">
        <v>42</v>
      </c>
      <c r="C44" s="815">
        <f>'1. Ekonomikalkyl'!E13</f>
        <v>0</v>
      </c>
      <c r="D44" s="816">
        <f>'1. Ekonomikalkyl'!F13</f>
        <v>0</v>
      </c>
      <c r="E44" s="818">
        <f>C44*D44/1.255</f>
        <v>0</v>
      </c>
      <c r="F44" s="849"/>
      <c r="G44" s="819">
        <f>D44/1.255-E44</f>
        <v>0</v>
      </c>
      <c r="H44" s="2"/>
      <c r="I44" s="820"/>
      <c r="J44" s="2"/>
      <c r="K44" s="2"/>
      <c r="L44" s="2"/>
    </row>
    <row r="45" spans="2:12" s="22" customFormat="1" ht="12" x14ac:dyDescent="0.2">
      <c r="B45" s="307"/>
      <c r="C45" s="307"/>
      <c r="D45" s="307" t="s">
        <v>10</v>
      </c>
      <c r="E45" s="309">
        <f>SUM(E42:E44)</f>
        <v>0</v>
      </c>
      <c r="F45" s="821"/>
      <c r="G45" s="2"/>
      <c r="H45" s="2"/>
      <c r="I45" s="820"/>
      <c r="J45" s="2"/>
      <c r="K45" s="2"/>
      <c r="L45" s="2"/>
    </row>
    <row r="46" spans="2:12" s="22" customFormat="1" ht="12" x14ac:dyDescent="0.2">
      <c r="B46" s="2"/>
      <c r="C46" s="2"/>
      <c r="D46" s="2"/>
      <c r="E46" s="2"/>
      <c r="F46" s="2"/>
      <c r="G46" s="2"/>
      <c r="H46" s="2"/>
      <c r="I46" s="820"/>
      <c r="J46" s="2"/>
      <c r="K46" s="2"/>
      <c r="L46" s="2"/>
    </row>
    <row r="47" spans="2:12" s="22" customFormat="1" ht="12" x14ac:dyDescent="0.2">
      <c r="B47" s="307" t="s">
        <v>29</v>
      </c>
      <c r="C47" s="822" t="s">
        <v>28</v>
      </c>
      <c r="D47" s="822" t="s">
        <v>272</v>
      </c>
      <c r="E47" s="822" t="s">
        <v>30</v>
      </c>
      <c r="F47" s="821"/>
      <c r="G47" s="822" t="s">
        <v>51</v>
      </c>
      <c r="H47" s="2"/>
      <c r="I47" s="820"/>
      <c r="J47" s="2"/>
      <c r="K47" s="2"/>
      <c r="L47" s="2"/>
    </row>
    <row r="48" spans="2:12" s="22" customFormat="1" ht="12" x14ac:dyDescent="0.2">
      <c r="B48" s="817">
        <f>'1. Ekonomikalkyl'!C15</f>
        <v>0</v>
      </c>
      <c r="C48" s="823">
        <f>'1. Ekonomikalkyl'!E15</f>
        <v>0</v>
      </c>
      <c r="D48" s="816">
        <f>'1. Ekonomikalkyl'!F15</f>
        <v>0</v>
      </c>
      <c r="E48" s="818">
        <f>C48*D48/1.255</f>
        <v>0</v>
      </c>
      <c r="F48" s="849"/>
      <c r="G48" s="818">
        <f>D48/1.255-E48</f>
        <v>0</v>
      </c>
      <c r="H48" s="2"/>
      <c r="I48" s="820"/>
      <c r="J48" s="2"/>
      <c r="K48" s="2"/>
      <c r="L48" s="2"/>
    </row>
    <row r="49" spans="2:12" s="22" customFormat="1" ht="12" x14ac:dyDescent="0.2">
      <c r="B49" s="817">
        <f>'1. Ekonomikalkyl'!C16</f>
        <v>0</v>
      </c>
      <c r="C49" s="823">
        <f>'1. Ekonomikalkyl'!E16</f>
        <v>0</v>
      </c>
      <c r="D49" s="816">
        <f>'1. Ekonomikalkyl'!F16</f>
        <v>0</v>
      </c>
      <c r="E49" s="818">
        <f>C49*D49/1.255</f>
        <v>0</v>
      </c>
      <c r="F49" s="849"/>
      <c r="G49" s="818">
        <f>D49/1.255-E49</f>
        <v>0</v>
      </c>
      <c r="H49" s="2"/>
      <c r="I49" s="820"/>
      <c r="J49" s="2"/>
      <c r="K49" s="2"/>
      <c r="L49" s="2"/>
    </row>
    <row r="50" spans="2:12" s="22" customFormat="1" ht="12" x14ac:dyDescent="0.2">
      <c r="B50" s="817">
        <f>'1. Ekonomikalkyl'!C17</f>
        <v>0</v>
      </c>
      <c r="C50" s="823">
        <f>'1. Ekonomikalkyl'!E17</f>
        <v>0</v>
      </c>
      <c r="D50" s="816">
        <f>'1. Ekonomikalkyl'!F17</f>
        <v>0</v>
      </c>
      <c r="E50" s="818">
        <f>C50*D50/1.255</f>
        <v>0</v>
      </c>
      <c r="F50" s="849"/>
      <c r="G50" s="818">
        <f>D50/1.255-E50</f>
        <v>0</v>
      </c>
      <c r="H50" s="2"/>
      <c r="I50" s="820"/>
      <c r="J50" s="2"/>
      <c r="K50" s="2"/>
      <c r="L50" s="2"/>
    </row>
    <row r="51" spans="2:12" s="22" customFormat="1" ht="12" x14ac:dyDescent="0.2">
      <c r="B51" s="832" t="s">
        <v>41</v>
      </c>
      <c r="C51" s="839">
        <f>IF(D51=0,0,1.255*(E51/D51))</f>
        <v>0</v>
      </c>
      <c r="D51" s="840">
        <f>SUM(D47:D50)</f>
        <v>0</v>
      </c>
      <c r="E51" s="841">
        <f>SUM(E47:E50)</f>
        <v>0</v>
      </c>
      <c r="F51" s="849"/>
      <c r="G51" s="829"/>
      <c r="H51" s="2"/>
      <c r="I51" s="820"/>
      <c r="J51" s="2"/>
      <c r="K51" s="2"/>
      <c r="L51" s="2"/>
    </row>
    <row r="52" spans="2:12" s="22" customFormat="1" ht="18" customHeight="1" x14ac:dyDescent="0.2">
      <c r="B52" s="817" t="s">
        <v>32</v>
      </c>
      <c r="C52" s="817"/>
      <c r="D52" s="816">
        <f>B58</f>
        <v>0</v>
      </c>
      <c r="E52" s="848">
        <v>0</v>
      </c>
      <c r="F52" s="849"/>
      <c r="G52" s="818">
        <f>-(D52/1.255+E52)</f>
        <v>0</v>
      </c>
      <c r="H52" s="2"/>
      <c r="I52" s="820"/>
      <c r="J52" s="2"/>
      <c r="K52" s="2"/>
      <c r="L52" s="2"/>
    </row>
    <row r="53" spans="2:12" s="22" customFormat="1" ht="12" x14ac:dyDescent="0.2">
      <c r="B53" s="817" t="s">
        <v>54</v>
      </c>
      <c r="C53" s="828">
        <f>'1. Ekonomikalkyl'!E20</f>
        <v>0</v>
      </c>
      <c r="D53" s="816">
        <f>'1. Ekonomikalkyl'!F20</f>
        <v>0</v>
      </c>
      <c r="E53" s="817">
        <f>C53*D53</f>
        <v>0</v>
      </c>
      <c r="F53" s="849"/>
      <c r="G53" s="829">
        <f>D53-E53</f>
        <v>0</v>
      </c>
      <c r="H53" s="2"/>
      <c r="I53" s="820"/>
      <c r="J53" s="2"/>
      <c r="K53" s="2"/>
      <c r="L53" s="2"/>
    </row>
    <row r="54" spans="2:12" s="22" customFormat="1" ht="12" x14ac:dyDescent="0.2">
      <c r="B54" s="817" t="s">
        <v>33</v>
      </c>
      <c r="C54" s="830" t="s">
        <v>31</v>
      </c>
      <c r="D54" s="817"/>
      <c r="E54" s="831">
        <f>E45+E51+E52+E53</f>
        <v>0</v>
      </c>
      <c r="F54" s="832" t="s">
        <v>10</v>
      </c>
      <c r="G54" s="831">
        <f>SUM(G48:G53)</f>
        <v>0</v>
      </c>
      <c r="H54" s="2"/>
      <c r="I54" s="820"/>
      <c r="J54" s="2"/>
      <c r="K54" s="2"/>
      <c r="L54" s="2"/>
    </row>
    <row r="55" spans="2:12" s="22" customFormat="1" ht="12" x14ac:dyDescent="0.2">
      <c r="B55" s="2"/>
      <c r="C55" s="2"/>
      <c r="D55" s="2"/>
      <c r="E55" s="2"/>
      <c r="F55" s="824"/>
      <c r="G55" s="825"/>
      <c r="H55" s="825"/>
      <c r="I55" s="826"/>
      <c r="J55" s="2"/>
      <c r="K55" s="2"/>
      <c r="L55" s="2"/>
    </row>
    <row r="56" spans="2:12" s="22" customFormat="1" ht="12" x14ac:dyDescent="0.2">
      <c r="B56" s="307" t="s">
        <v>35</v>
      </c>
      <c r="C56" s="2"/>
      <c r="D56" s="2"/>
      <c r="E56" s="2"/>
      <c r="F56" s="2"/>
      <c r="G56" s="2"/>
      <c r="H56" s="2"/>
      <c r="I56" s="2"/>
      <c r="J56" s="2"/>
      <c r="K56" s="2"/>
      <c r="L56" s="2"/>
    </row>
    <row r="57" spans="2:12" s="22" customFormat="1" ht="12" x14ac:dyDescent="0.2">
      <c r="B57" s="833" t="s">
        <v>18</v>
      </c>
      <c r="C57" s="833" t="s">
        <v>17</v>
      </c>
      <c r="D57" s="833" t="s">
        <v>34</v>
      </c>
      <c r="E57" s="833" t="s">
        <v>37</v>
      </c>
      <c r="F57" s="817" t="s">
        <v>36</v>
      </c>
      <c r="G57" s="833" t="s">
        <v>39</v>
      </c>
      <c r="H57" s="2"/>
      <c r="I57" s="2"/>
      <c r="J57" s="2"/>
      <c r="K57" s="2" t="s">
        <v>65</v>
      </c>
      <c r="L57" s="2"/>
    </row>
    <row r="58" spans="2:12" s="22" customFormat="1" ht="12" x14ac:dyDescent="0.2">
      <c r="B58" s="816">
        <f>'1. Ekonomikalkyl'!M15</f>
        <v>0</v>
      </c>
      <c r="C58" s="828">
        <f>'1. Ekonomikalkyl'!J15</f>
        <v>0</v>
      </c>
      <c r="D58" s="834">
        <f>'1. Ekonomikalkyl'!K15</f>
        <v>0</v>
      </c>
      <c r="E58" s="835">
        <f>'1. Ekonomikalkyl'!H74</f>
        <v>0.3</v>
      </c>
      <c r="F58" s="816">
        <f>B58*E58</f>
        <v>0</v>
      </c>
      <c r="G58" s="836">
        <f>IF(B58=0,0,-PMT(C58,D58,B58-F58)+12*K58)</f>
        <v>0</v>
      </c>
      <c r="H58" s="2" t="s">
        <v>66</v>
      </c>
      <c r="I58" s="2"/>
      <c r="J58" s="2"/>
      <c r="K58" s="827">
        <v>15</v>
      </c>
      <c r="L58" s="2"/>
    </row>
    <row r="59" spans="2:12" s="22" customFormat="1" ht="12" x14ac:dyDescent="0.2">
      <c r="B59" s="816">
        <f>B58</f>
        <v>0</v>
      </c>
      <c r="C59" s="828">
        <f>C58</f>
        <v>0</v>
      </c>
      <c r="D59" s="834">
        <f>D58</f>
        <v>0</v>
      </c>
      <c r="E59" s="828">
        <f>E58</f>
        <v>0.3</v>
      </c>
      <c r="F59" s="816">
        <f>F58</f>
        <v>0</v>
      </c>
      <c r="G59" s="837">
        <f>IF(D59=0,0,(C59*F59))</f>
        <v>0</v>
      </c>
      <c r="H59" s="2" t="s">
        <v>67</v>
      </c>
      <c r="I59" s="2"/>
      <c r="J59" s="2"/>
      <c r="K59" s="2"/>
      <c r="L59" s="2"/>
    </row>
    <row r="60" spans="2:12" s="22" customFormat="1" ht="12" x14ac:dyDescent="0.2">
      <c r="B60" s="817"/>
      <c r="C60" s="816"/>
      <c r="D60" s="828"/>
      <c r="E60" s="817"/>
      <c r="F60" s="838" t="s">
        <v>38</v>
      </c>
      <c r="G60" s="851"/>
      <c r="H60" s="2"/>
      <c r="I60" s="2"/>
      <c r="J60" s="2"/>
      <c r="K60" s="2"/>
      <c r="L60" s="2"/>
    </row>
    <row r="61" spans="2:12" s="22" customFormat="1" ht="12" x14ac:dyDescent="0.2">
      <c r="B61" s="817"/>
      <c r="C61" s="817"/>
      <c r="D61" s="817"/>
      <c r="E61" s="817"/>
      <c r="F61" s="833" t="s">
        <v>40</v>
      </c>
      <c r="G61" s="816">
        <f>G58+G59</f>
        <v>0</v>
      </c>
      <c r="H61" s="2" t="s">
        <v>68</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20</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96</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97</v>
      </c>
      <c r="B70" s="99">
        <f>'1. Ekonomikalkyl'!M13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98</v>
      </c>
      <c r="B71" s="6">
        <f>IF(B70=0,0,IF('1. Ekonomikalkyl'!$K13=2,0,IF('1. Ekonomikalkyl'!$K13=1,0,'1. Ekonomikalkyl'!$M13/(2*'1. Ekonomikalkyl'!$L13))))</f>
        <v>0</v>
      </c>
      <c r="C71" s="103"/>
      <c r="D71" s="104"/>
      <c r="E71" s="104"/>
      <c r="F71" s="104"/>
      <c r="G71" s="104"/>
      <c r="H71" s="6">
        <f>IF(H70=0,0,IF('1. Ekonomikalkyl'!$K13=2,0,IF('1. Ekonomikalkyl'!$K13=1,0,'1. Ekonomikalkyl'!$M13/(2*'1. Ekonomikalkyl'!$L13))))</f>
        <v>0</v>
      </c>
      <c r="I71" s="104"/>
      <c r="J71" s="104"/>
      <c r="K71" s="104"/>
      <c r="L71" s="104"/>
      <c r="M71" s="104"/>
      <c r="N71" s="6">
        <f>IF(N70=0,0,IF('1. Ekonomikalkyl'!$K13=2,0,IF('1. Ekonomikalkyl'!$K13=1,0,'1. Ekonomikalkyl'!$M13/(2*'1. Ekonomikalkyl'!$L13))))</f>
        <v>0</v>
      </c>
      <c r="O71" s="104"/>
      <c r="P71" s="105"/>
      <c r="Q71" s="2"/>
      <c r="R71" s="2"/>
      <c r="S71" s="2"/>
      <c r="T71" s="6">
        <f>IF(T70=0,0,IF('1. Ekonomikalkyl'!$K13=2,0,IF('1. Ekonomikalkyl'!$K13=1,0,'1. Ekonomikalkyl'!$M13/(2*'1. Ekonomikalkyl'!$L13))))</f>
        <v>0</v>
      </c>
      <c r="U71" s="2"/>
      <c r="V71" s="2"/>
      <c r="W71" s="2"/>
      <c r="X71" s="2"/>
      <c r="Y71" s="2"/>
      <c r="Z71" s="6">
        <f>IF(Z70=0,0,IF('1. Ekonomikalkyl'!$K13=2,0,IF('1. Ekonomikalkyl'!$K13=1,0,'1. Ekonomikalkyl'!$M13/(2*'1. Ekonomikalkyl'!$L13))))</f>
        <v>0</v>
      </c>
      <c r="AA71" s="2"/>
      <c r="AB71" s="2"/>
      <c r="AC71" s="2"/>
      <c r="AD71" s="2"/>
      <c r="AE71" s="2"/>
      <c r="AF71" s="6">
        <f>IF(AF70=0,0,IF('1. Ekonomikalkyl'!$K13=2,0,IF('1. Ekonomikalkyl'!$K13=1,0,'1. Ekonomikalkyl'!$M13/(2*'1. Ekonomikalkyl'!$L13))))</f>
        <v>0</v>
      </c>
      <c r="AG71" s="2"/>
      <c r="AH71" s="2"/>
      <c r="AI71" s="2"/>
      <c r="AJ71" s="2"/>
      <c r="AK71" s="2"/>
      <c r="AL71" s="6">
        <f>IF(AL70=0,0,IF('1. Ekonomikalkyl'!$K13=2,0,IF('1. Ekonomikalkyl'!$K13=1,0,'1. Ekonomikalkyl'!$M13/(2*'1. Ekonomikalkyl'!$L13))))</f>
        <v>0</v>
      </c>
    </row>
    <row r="72" spans="1:38" s="22" customFormat="1" ht="12" x14ac:dyDescent="0.2">
      <c r="A72" s="106" t="s">
        <v>117</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17</v>
      </c>
      <c r="B73" s="108">
        <f>'1. Ekonomikalkyl'!J12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99</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100</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101</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102</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103</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104</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105</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106</v>
      </c>
      <c r="B81" s="6"/>
      <c r="C81" s="103"/>
      <c r="D81" s="105"/>
      <c r="E81" s="105"/>
      <c r="F81" s="105"/>
      <c r="G81" s="105"/>
      <c r="H81" s="884">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107</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108</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109</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110</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111</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112</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119</v>
      </c>
      <c r="B88" s="99">
        <f>'1. Ekonomikalkyl'!M12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98</v>
      </c>
      <c r="B89" s="6">
        <f>IF(B88=0,0,IF('1. Ekonomikalkyl'!$K12=2,0,IF('1. Ekonomikalkyl'!$K12=1,0,'1. Ekonomikalkyl'!$M12/(2*'1. Ekonomikalkyl'!$L12))))</f>
        <v>0</v>
      </c>
      <c r="C89" s="103"/>
      <c r="D89" s="104"/>
      <c r="E89" s="104"/>
      <c r="F89" s="104"/>
      <c r="G89" s="104"/>
      <c r="H89" s="6">
        <f>IF(H88=0,0,IF('1. Ekonomikalkyl'!$K12=2,0,IF('1. Ekonomikalkyl'!$K12=1,0,'1. Ekonomikalkyl'!$M12/(2*'1. Ekonomikalkyl'!$L12))))</f>
        <v>0</v>
      </c>
      <c r="I89" s="104"/>
      <c r="J89" s="104"/>
      <c r="K89" s="104"/>
      <c r="L89" s="104"/>
      <c r="M89" s="104"/>
      <c r="N89" s="6">
        <f>IF(N88=0,0,IF('1. Ekonomikalkyl'!$K12=2,0,IF('1. Ekonomikalkyl'!$K12=1,0,'1. Ekonomikalkyl'!$M12/(2*'1. Ekonomikalkyl'!$L12))))</f>
        <v>0</v>
      </c>
      <c r="O89" s="104"/>
      <c r="P89" s="105"/>
      <c r="T89" s="6">
        <f>IF(T88=0,0,IF('1. Ekonomikalkyl'!$K12=2,0,IF('1. Ekonomikalkyl'!$K12=1,0,'1. Ekonomikalkyl'!$M12/(2*'1. Ekonomikalkyl'!$L12))))</f>
        <v>0</v>
      </c>
      <c r="Z89" s="6">
        <f>IF(Z88=0,0,IF('1. Ekonomikalkyl'!$K12=2,0,IF('1. Ekonomikalkyl'!$K12=1,0,'1. Ekonomikalkyl'!$M12/(2*'1. Ekonomikalkyl'!$L12))))</f>
        <v>0</v>
      </c>
      <c r="AF89" s="6">
        <f>IF(AF88=0,0,IF('1. Ekonomikalkyl'!$K12=2,0,IF('1. Ekonomikalkyl'!$K12=1,0,'1. Ekonomikalkyl'!$M12/(2*'1. Ekonomikalkyl'!$L12))))</f>
        <v>0</v>
      </c>
      <c r="AL89" s="6">
        <f>IF(AL88=0,0,IF('1. Ekonomikalkyl'!$K12=2,0,IF('1. Ekonomikalkyl'!$K12=1,0,'1. Ekonomikalkyl'!$M12/(2*'1. Ekonomikalkyl'!$L12))))</f>
        <v>0</v>
      </c>
    </row>
    <row r="90" spans="1:38" s="2" customFormat="1" ht="12" x14ac:dyDescent="0.2">
      <c r="A90" s="106" t="s">
        <v>117</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17</v>
      </c>
      <c r="B91" s="108">
        <f>'1. Ekonomikalkyl'!J13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99</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100</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101</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102</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103</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104</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105</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106</v>
      </c>
      <c r="B99" s="6"/>
      <c r="C99" s="103"/>
      <c r="D99" s="105"/>
      <c r="E99" s="105"/>
      <c r="F99" s="105"/>
      <c r="G99" s="105"/>
      <c r="H99" s="881">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107</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108</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109</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110</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111</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112</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118</v>
      </c>
      <c r="B106" s="99">
        <f>'1. Ekonomikalkyl'!M14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98</v>
      </c>
      <c r="B107" s="6">
        <f>IF(B106=0,0,IF('1. Ekonomikalkyl'!$K14=2,0,IF('1. Ekonomikalkyl'!$K14=1,0,'1. Ekonomikalkyl'!$M14/(2*'1. Ekonomikalkyl'!$L14))))</f>
        <v>0</v>
      </c>
      <c r="C107" s="103"/>
      <c r="D107" s="104"/>
      <c r="E107" s="104"/>
      <c r="F107" s="104"/>
      <c r="G107" s="104"/>
      <c r="H107" s="6">
        <f>IF(H106=0,0,IF('1. Ekonomikalkyl'!$K14=2,0,IF('1. Ekonomikalkyl'!$K14=1,0,'1. Ekonomikalkyl'!$M14/(2*'1. Ekonomikalkyl'!$L14))))</f>
        <v>0</v>
      </c>
      <c r="I107" s="104"/>
      <c r="J107" s="104"/>
      <c r="K107" s="104"/>
      <c r="L107" s="104"/>
      <c r="M107" s="104"/>
      <c r="N107" s="6">
        <f>IF(N106=0,0,IF('1. Ekonomikalkyl'!$K14=2,0,IF('1. Ekonomikalkyl'!$K14=1,'1. Ekonomikalkyl'!$M14/(2*('1. Ekonomikalkyl'!$L14-'1. Ekonomikalkyl'!$K14)),'1. Ekonomikalkyl'!$M14/(2*'1. Ekonomikalkyl'!$L14))))</f>
        <v>0</v>
      </c>
      <c r="O107" s="104"/>
      <c r="P107" s="105"/>
      <c r="T107" s="6">
        <f>IF(T106=0,0,IF('1. Ekonomikalkyl'!$K14=2,0,IF('1. Ekonomikalkyl'!$K14=1,'1. Ekonomikalkyl'!$M14/(2*('1. Ekonomikalkyl'!$L14-'1. Ekonomikalkyl'!$K14)),'1. Ekonomikalkyl'!$M14/(2*'1. Ekonomikalkyl'!$L14))))</f>
        <v>0</v>
      </c>
      <c r="Z107" s="6">
        <f>IF(Z106=0,0,IF('1. Ekonomikalkyl'!$K14=2,'1. Ekonomikalkyl'!$M14/(2*('1. Ekonomikalkyl'!$L14-'1. Ekonomikalkyl'!$K14)),IF('1. Ekonomikalkyl'!$K14=1,'1. Ekonomikalkyl'!$M14/(2*('1. Ekonomikalkyl'!$L14-'1. Ekonomikalkyl'!$K14)),'1. Ekonomikalkyl'!$M14/(2*'1. Ekonomikalkyl'!$L14))))</f>
        <v>0</v>
      </c>
      <c r="AF107" s="6">
        <f>IF(AF106=0,0,IF('1. Ekonomikalkyl'!$K14=2,'1. Ekonomikalkyl'!$M14/(2*('1. Ekonomikalkyl'!$L14-'1. Ekonomikalkyl'!$K14)),IF('1. Ekonomikalkyl'!$K14=1,'1. Ekonomikalkyl'!$M14/(2*('1. Ekonomikalkyl'!$L14-'1. Ekonomikalkyl'!$K14)),'1. Ekonomikalkyl'!$M14/(2*'1. Ekonomikalkyl'!$L14))))</f>
        <v>0</v>
      </c>
      <c r="AL107" s="6">
        <f>IF(AL106=0,0,IF('1. Ekonomikalkyl'!$K14=2,'1. Ekonomikalkyl'!$M14/(2*('1. Ekonomikalkyl'!$L14-'1. Ekonomikalkyl'!$K14)),IF('1. Ekonomikalkyl'!$K14=1,'1. Ekonomikalkyl'!$M14/(2*('1. Ekonomikalkyl'!$L14-'1. Ekonomikalkyl'!$K14)),'1. Ekonomikalkyl'!$M14/(2*'1. Ekonomikalkyl'!$L14))))</f>
        <v>0</v>
      </c>
    </row>
    <row r="108" spans="1:38" s="2" customFormat="1" ht="12" x14ac:dyDescent="0.2">
      <c r="A108" s="106" t="s">
        <v>117</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17</v>
      </c>
      <c r="B109" s="108">
        <f>'1. Ekonomikalkyl'!J14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99</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100</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101</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102</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103</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104</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105</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106</v>
      </c>
      <c r="B117" s="6"/>
      <c r="C117" s="103"/>
      <c r="D117" s="105"/>
      <c r="E117" s="105"/>
      <c r="F117" s="105"/>
      <c r="G117" s="105"/>
      <c r="H117" s="881">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107</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108</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109</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110</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111</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112</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120</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121</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122</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123</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101</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102</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103</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104</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105</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82" customFormat="1" x14ac:dyDescent="0.2">
      <c r="A133" s="878" t="s">
        <v>106</v>
      </c>
      <c r="B133" s="879"/>
      <c r="C133" s="880"/>
      <c r="D133" s="881"/>
      <c r="E133" s="881"/>
      <c r="F133" s="881"/>
      <c r="G133" s="881"/>
      <c r="H133" s="881">
        <f>H117+H99+H81</f>
        <v>0</v>
      </c>
      <c r="I133" s="881"/>
      <c r="J133" s="881"/>
      <c r="K133" s="881"/>
      <c r="L133" s="881"/>
      <c r="M133" s="881"/>
      <c r="N133" s="881"/>
      <c r="O133" s="881"/>
      <c r="P133" s="881"/>
      <c r="T133" s="881">
        <f>T117+T99+T81</f>
        <v>0</v>
      </c>
      <c r="AA133" s="881"/>
      <c r="AB133" s="881"/>
      <c r="AF133" s="881">
        <f>AF117+AF99+AF81</f>
        <v>0</v>
      </c>
      <c r="AL133" s="883"/>
    </row>
    <row r="134" spans="1:38" s="2" customFormat="1" ht="12" x14ac:dyDescent="0.2">
      <c r="A134" s="135" t="s">
        <v>107</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108</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109</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110</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111</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112</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129</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126</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101</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102</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103</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104</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105</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82" customFormat="1" x14ac:dyDescent="0.2">
      <c r="A147" s="878" t="s">
        <v>106</v>
      </c>
      <c r="B147" s="879"/>
      <c r="C147" s="880"/>
      <c r="D147" s="881"/>
      <c r="E147" s="881"/>
      <c r="F147" s="881"/>
      <c r="G147" s="881"/>
      <c r="H147" s="881">
        <f>H$125+B125+C125+D125+E125+F125+G125+H133</f>
        <v>0</v>
      </c>
      <c r="I147" s="881"/>
      <c r="J147" s="881"/>
      <c r="K147" s="881"/>
      <c r="L147" s="881"/>
      <c r="M147" s="881"/>
      <c r="N147" s="881"/>
      <c r="O147" s="881"/>
      <c r="P147" s="881"/>
      <c r="T147" s="881">
        <f>T$125+N$125+M$125+L$125+K$125+J$125+I$125+O$125+P$125+Q$125+R$125+S$125+T133</f>
        <v>0</v>
      </c>
      <c r="AA147" s="881"/>
      <c r="AB147" s="881"/>
      <c r="AF147" s="881">
        <f>AF$125+Z$125+Y$125+X$125+W$125+V$125+U$125+AA$125+AB$125+AC$125+AD$125+AE$125+AF133</f>
        <v>0</v>
      </c>
      <c r="AL147" s="883"/>
    </row>
    <row r="148" spans="1:38" x14ac:dyDescent="0.2">
      <c r="A148" s="220" t="s">
        <v>107</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108</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109</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110</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111</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112</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113</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98</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99</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100</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101</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102</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103</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104</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105</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106</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107</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108</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109</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110</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111</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112</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124</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125</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114</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115</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101</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102</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103</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104</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105</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106</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107</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108</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109</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110</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111</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112</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116</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101</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102</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103</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104</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105</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106</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107</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108</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109</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110</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111</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112</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s0D9jD6ZLYt10PwPM+jyhG31ZAzQ8d21ETY+Ngg1H44VRha/Ap2fQFvIrSj1jIYJyJOcwE9FqoqIyYpltRi75Q==" saltValue="8avBxdnCNEIDqSu/w3VpFg=="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3</v>
      </c>
    </row>
    <row r="5" spans="1:16384" ht="13.5" thickBot="1" x14ac:dyDescent="0.25">
      <c r="A5" t="s">
        <v>0</v>
      </c>
    </row>
    <row r="6" spans="1:16384" x14ac:dyDescent="0.2">
      <c r="B6" s="3" t="s">
        <v>1</v>
      </c>
      <c r="C6" s="4" t="s">
        <v>2</v>
      </c>
      <c r="D6" s="4" t="s">
        <v>4</v>
      </c>
      <c r="H6" s="16"/>
      <c r="I6" s="16"/>
      <c r="J6" s="16"/>
    </row>
    <row r="7" spans="1:16384" x14ac:dyDescent="0.2">
      <c r="A7" s="15" t="str">
        <f>'1. Ekonomikalkyl'!C123</f>
        <v xml:space="preserve"> Arbetsprestationen eller tjänst</v>
      </c>
      <c r="B7" s="21">
        <f>'1. Ekonomikalkyl'!$F123*'1. Ekonomikalkyl'!J123</f>
        <v>0</v>
      </c>
      <c r="C7" s="21">
        <f>'1. Ekonomikalkyl'!$F123*'1. Ekonomikalkyl'!K123</f>
        <v>0</v>
      </c>
      <c r="D7" s="21">
        <f>'1. Ekonomikalkyl'!$F123*'1. Ekonomikalkyl'!M123</f>
        <v>0</v>
      </c>
      <c r="G7" s="5"/>
      <c r="H7" s="10"/>
      <c r="I7" s="10"/>
      <c r="J7" s="10"/>
    </row>
    <row r="8" spans="1:16384" x14ac:dyDescent="0.2">
      <c r="A8" s="15">
        <f>'1. Ekonomikalkyl'!C128</f>
        <v>0</v>
      </c>
      <c r="B8" s="21">
        <f>'1. Ekonomikalkyl'!$F128*'1. Ekonomikalkyl'!J128</f>
        <v>0</v>
      </c>
      <c r="C8" s="21">
        <f>'1. Ekonomikalkyl'!$F128*'1. Ekonomikalkyl'!K128</f>
        <v>0</v>
      </c>
      <c r="D8" s="21">
        <f>'1. Ekonomikalkyl'!$F128*'1. Ekonomikalkyl'!M128</f>
        <v>0</v>
      </c>
      <c r="G8" s="5"/>
      <c r="H8" s="10"/>
      <c r="I8" s="10"/>
      <c r="J8" s="10"/>
    </row>
    <row r="9" spans="1:16384" ht="13.5" thickBot="1" x14ac:dyDescent="0.25">
      <c r="A9" s="15">
        <f>'1. Ekonomikalkyl'!C133</f>
        <v>0</v>
      </c>
      <c r="B9" s="21">
        <f>'1. Ekonomikalkyl'!$F133*'1. Ekonomikalkyl'!J133</f>
        <v>0</v>
      </c>
      <c r="C9" s="21">
        <f>'1. Ekonomikalkyl'!$F133*'1. Ekonomikalkyl'!K133</f>
        <v>0</v>
      </c>
      <c r="D9" s="21">
        <f>'1. Ekonomikalkyl'!$F133*'1. Ekonomikalkyl'!M133</f>
        <v>0</v>
      </c>
      <c r="G9" s="5"/>
      <c r="H9" s="10"/>
      <c r="I9" s="10"/>
      <c r="J9" s="10"/>
    </row>
    <row r="10" spans="1:16384" ht="13.5" thickBot="1" x14ac:dyDescent="0.25">
      <c r="A10" s="15">
        <f>'1. Ekonomikalkyl'!C138</f>
        <v>0</v>
      </c>
      <c r="B10" s="21">
        <f>'1. Ekonomikalkyl'!$F138*'1. Ekonomikalkyl'!J138</f>
        <v>0</v>
      </c>
      <c r="C10" s="21">
        <f>'1. Ekonomikalkyl'!$F138*'1. Ekonomikalkyl'!K138</f>
        <v>0</v>
      </c>
      <c r="D10" s="21">
        <f>'1. Ekonomikalkyl'!$F138*'1. Ekonomikalkyl'!M138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Ekonomikalkyl'!C143</f>
        <v>0</v>
      </c>
      <c r="B11" s="21">
        <f>'1. Ekonomikalkyl'!$F143*'1. Ekonomikalkyl'!J143</f>
        <v>0</v>
      </c>
      <c r="C11" s="21">
        <f>'1. Ekonomikalkyl'!$F143*'1. Ekonomikalkyl'!K143</f>
        <v>0</v>
      </c>
      <c r="D11" s="21">
        <f>'1. Ekonomikalkyl'!$F143*'1. Ekonomikalkyl'!M143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Ekonomikalkyl'!C148</f>
        <v>0</v>
      </c>
      <c r="B12" s="21">
        <f>'1. Ekonomikalkyl'!$F148*'1. Ekonomikalkyl'!J148</f>
        <v>0</v>
      </c>
      <c r="C12" s="21">
        <f>'1. Ekonomikalkyl'!$F148*'1. Ekonomikalkyl'!K148</f>
        <v>0</v>
      </c>
      <c r="D12" s="21">
        <f>'1. Ekonomikalkyl'!$F148*'1. Ekonomikalkyl'!M148</f>
        <v>0</v>
      </c>
      <c r="G12" s="5"/>
      <c r="H12" s="10"/>
      <c r="I12" s="10"/>
      <c r="J12" s="10"/>
    </row>
    <row r="13" spans="1:16384" x14ac:dyDescent="0.2">
      <c r="A13" s="15" t="str">
        <f>'1. Ekonomikalkyl'!C158</f>
        <v xml:space="preserve"> Produkt </v>
      </c>
      <c r="B13" s="21">
        <f>'1. Ekonomikalkyl'!$F158*'1. Ekonomikalkyl'!J158</f>
        <v>0</v>
      </c>
      <c r="C13" s="21">
        <f>'1. Ekonomikalkyl'!$F158*'1. Ekonomikalkyl'!K158</f>
        <v>0</v>
      </c>
      <c r="D13" s="21">
        <f>'1. Ekonomikalkyl'!$F158*'1. Ekonomikalkyl'!M158</f>
        <v>0</v>
      </c>
      <c r="G13" s="5"/>
      <c r="H13" s="10"/>
      <c r="I13" s="10"/>
      <c r="J13" s="10"/>
    </row>
    <row r="14" spans="1:16384" x14ac:dyDescent="0.2">
      <c r="A14" s="15">
        <f>'1. Ekonomikalkyl'!C166</f>
        <v>0</v>
      </c>
      <c r="B14" s="21">
        <f>'1. Ekonomikalkyl'!$F166*'1. Ekonomikalkyl'!J166</f>
        <v>0</v>
      </c>
      <c r="C14" s="21">
        <f>'1. Ekonomikalkyl'!$F166*'1. Ekonomikalkyl'!K166</f>
        <v>0</v>
      </c>
      <c r="D14" s="21">
        <f>'1. Ekonomikalkyl'!$F166*'1. Ekonomikalkyl'!M166</f>
        <v>0</v>
      </c>
      <c r="G14" s="5"/>
      <c r="H14" s="10"/>
      <c r="I14" s="10"/>
      <c r="J14" s="10"/>
    </row>
    <row r="15" spans="1:16384" ht="13.5" thickBot="1" x14ac:dyDescent="0.25">
      <c r="A15" s="15">
        <f>'1. Ekonomikalkyl'!C174</f>
        <v>0</v>
      </c>
      <c r="B15" s="21">
        <f>'1. Ekonomikalkyl'!$F174*'1. Ekonomikalkyl'!J174</f>
        <v>0</v>
      </c>
      <c r="C15" s="21">
        <f>'1. Ekonomikalkyl'!$F174*'1. Ekonomikalkyl'!K174</f>
        <v>0</v>
      </c>
      <c r="D15" s="21">
        <f>'1. Ekonomikalkyl'!$F174*'1. Ekonomikalkyl'!M174</f>
        <v>0</v>
      </c>
      <c r="G15" s="5"/>
      <c r="H15" s="10"/>
      <c r="I15" s="10"/>
      <c r="J15" s="10"/>
    </row>
    <row r="16" spans="1:16384" x14ac:dyDescent="0.2">
      <c r="A16" s="15">
        <f>'1. Ekonomikalkyl'!C182</f>
        <v>0</v>
      </c>
      <c r="B16" s="21">
        <f>'1. Ekonomikalkyl'!$F182*'1. Ekonomikalkyl'!J182</f>
        <v>0</v>
      </c>
      <c r="C16" s="21">
        <f>'1. Ekonomikalkyl'!$F182*'1. Ekonomikalkyl'!K182</f>
        <v>0</v>
      </c>
      <c r="D16" s="21">
        <f>'1. Ekonomikalkyl'!$F182*'1. Ekonomikalkyl'!M182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Ekonomikalkyl'!C190</f>
        <v>0</v>
      </c>
      <c r="B17" s="21">
        <f>'1. Ekonomikalkyl'!$F190*'1. Ekonomikalkyl'!J190</f>
        <v>0</v>
      </c>
      <c r="C17" s="21">
        <f>'1. Ekonomikalkyl'!$F190*'1. Ekonomikalkyl'!K190</f>
        <v>0</v>
      </c>
      <c r="D17" s="21">
        <f>'1. Ekonomikalkyl'!$F190*'1. Ekonomikalkyl'!M190</f>
        <v>0</v>
      </c>
    </row>
    <row r="18" spans="1:10" ht="13.5" thickBot="1" x14ac:dyDescent="0.25">
      <c r="A18" s="15" t="str">
        <f>'1. Ekonomikalkyl'!C198</f>
        <v xml:space="preserve"> Produkt (Vinstmarginalbaserad moms)</v>
      </c>
      <c r="B18" s="21">
        <f>'1. Ekonomikalkyl'!$F198*B21</f>
        <v>0</v>
      </c>
      <c r="C18" s="21">
        <f>'1. Ekonomikalkyl'!$F198*C21</f>
        <v>0</v>
      </c>
      <c r="D18" s="21">
        <f>'1. Ekonomikalkyl'!$F198*D21</f>
        <v>0</v>
      </c>
      <c r="G18" s="5"/>
      <c r="H18" s="10"/>
      <c r="I18" s="10"/>
      <c r="J18" s="10"/>
    </row>
    <row r="19" spans="1:10" ht="13.5" thickBot="1" x14ac:dyDescent="0.25">
      <c r="A19" s="8" t="s">
        <v>52</v>
      </c>
      <c r="B19" s="20">
        <f>SUM(B7:B18)</f>
        <v>0</v>
      </c>
      <c r="C19" s="20">
        <f>SUM(C7:C18)</f>
        <v>0</v>
      </c>
      <c r="D19" s="20">
        <f>SUM(D7:D18)</f>
        <v>0</v>
      </c>
      <c r="G19" s="5"/>
      <c r="H19" s="10"/>
      <c r="I19" s="10"/>
      <c r="J19" s="10"/>
    </row>
    <row r="20" spans="1:10" x14ac:dyDescent="0.2">
      <c r="A20" s="5" t="s">
        <v>232</v>
      </c>
      <c r="B20" s="10">
        <f>('1. Ekonomikalkyl'!J199-'1. Ekonomikalkyl'!J201)*'1. Ekonomikalkyl'!J200</f>
        <v>0</v>
      </c>
      <c r="C20" s="10">
        <f>('1. Ekonomikalkyl'!K199-'1. Ekonomikalkyl'!K201)*'1. Ekonomikalkyl'!K200</f>
        <v>0</v>
      </c>
      <c r="D20" s="10">
        <f>('1. Ekonomikalkyl'!M199-'1. Ekonomikalkyl'!M201)*'1. Ekonomikalkyl'!M200</f>
        <v>0</v>
      </c>
      <c r="G20" s="5"/>
      <c r="H20" s="10"/>
      <c r="I20" s="10"/>
      <c r="J20" s="10"/>
    </row>
    <row r="21" spans="1:10" x14ac:dyDescent="0.2">
      <c r="A21" s="5" t="s">
        <v>231</v>
      </c>
      <c r="B21" s="21">
        <f>B20-B20*('1. Ekonomikalkyl'!$F198*100/(100+'1. Ekonomikalkyl'!$F198*100))</f>
        <v>0</v>
      </c>
      <c r="C21" s="21">
        <f>C20-C20*('1. Ekonomikalkyl'!$F198*100/(100+'1. Ekonomikalkyl'!$F198*100))</f>
        <v>0</v>
      </c>
      <c r="D21" s="21">
        <f>D20-D20*('1. Ekonomikalkyl'!$F198*100/(100+'1. Ekonomikalkyl'!$F198*100))</f>
        <v>0</v>
      </c>
      <c r="G21" s="5"/>
      <c r="H21" s="10"/>
      <c r="I21" s="10"/>
      <c r="J21" s="10"/>
    </row>
    <row r="22" spans="1:10" x14ac:dyDescent="0.2">
      <c r="A22" s="5" t="s">
        <v>240</v>
      </c>
      <c r="B22" s="9">
        <f>'1. Ekonomikalkyl'!J218</f>
        <v>0</v>
      </c>
      <c r="C22" s="9">
        <f>'1. Ekonomikalkyl'!K218</f>
        <v>0</v>
      </c>
      <c r="D22" s="9">
        <f>'1. Ekonomikalkyl'!M218</f>
        <v>0</v>
      </c>
      <c r="G22" s="5"/>
      <c r="H22" s="10"/>
      <c r="I22" s="10"/>
      <c r="J22" s="10"/>
    </row>
    <row r="23" spans="1:10" x14ac:dyDescent="0.2">
      <c r="A23" s="5" t="s">
        <v>235</v>
      </c>
      <c r="B23" s="9">
        <f>'1. Ekonomikalkyl'!J233</f>
        <v>0</v>
      </c>
      <c r="C23" s="9">
        <f>'1. Ekonomikalkyl'!K233</f>
        <v>0</v>
      </c>
      <c r="D23" s="9">
        <f>'1. Ekonomikalkyl'!M233</f>
        <v>0</v>
      </c>
      <c r="G23" s="5"/>
      <c r="H23" s="10"/>
      <c r="I23" s="10"/>
      <c r="J23" s="10"/>
    </row>
    <row r="24" spans="1:10" x14ac:dyDescent="0.2">
      <c r="A24" s="5" t="s">
        <v>236</v>
      </c>
      <c r="B24" s="358">
        <f>IF(B19=0,0,B19/'1. Ekonomikalkyl'!J218)</f>
        <v>0</v>
      </c>
      <c r="C24" s="358">
        <f>IF(C19=0,0,C19/'1. Ekonomikalkyl'!K218)</f>
        <v>0</v>
      </c>
      <c r="D24" s="358">
        <f>IF(D19=0,0,D19/'1. Ekonomikalkyl'!M218)</f>
        <v>0</v>
      </c>
      <c r="G24" s="17"/>
      <c r="H24" s="10"/>
      <c r="I24" s="10"/>
      <c r="J24" s="10"/>
    </row>
    <row r="25" spans="1:10" x14ac:dyDescent="0.2">
      <c r="G25" s="18"/>
      <c r="H25" s="10"/>
      <c r="I25" s="10"/>
      <c r="J25" s="10"/>
    </row>
    <row r="26" spans="1:10" ht="13.5" thickBot="1" x14ac:dyDescent="0.25">
      <c r="A26" s="436" t="s">
        <v>226</v>
      </c>
      <c r="G26" s="5"/>
      <c r="H26" s="9"/>
      <c r="I26" s="9"/>
      <c r="J26" s="9"/>
    </row>
    <row r="27" spans="1:10" x14ac:dyDescent="0.2">
      <c r="B27" s="3" t="s">
        <v>1</v>
      </c>
      <c r="C27" s="4" t="s">
        <v>2</v>
      </c>
      <c r="D27" s="4" t="s">
        <v>4</v>
      </c>
      <c r="G27" s="5"/>
      <c r="H27" s="9"/>
      <c r="I27" s="9"/>
      <c r="J27" s="9"/>
    </row>
    <row r="28" spans="1:10" x14ac:dyDescent="0.2">
      <c r="A28" s="15" t="s">
        <v>55</v>
      </c>
      <c r="B28" s="361">
        <f>'1. Ekonomikalkyl'!$G158*'1. Ekonomikalkyl'!J162*'1. Ekonomikalkyl'!J160</f>
        <v>0</v>
      </c>
      <c r="C28" s="361">
        <f>'1. Ekonomikalkyl'!$G158*'1. Ekonomikalkyl'!K162*'1. Ekonomikalkyl'!K160</f>
        <v>0</v>
      </c>
      <c r="D28" s="361">
        <f>'1. Ekonomikalkyl'!$G158*'1. Ekonomikalkyl'!M162*'1. Ekonomikalkyl'!M160</f>
        <v>0</v>
      </c>
      <c r="G28" s="5"/>
      <c r="H28" s="9"/>
      <c r="I28" s="9"/>
      <c r="J28" s="9"/>
    </row>
    <row r="29" spans="1:10" x14ac:dyDescent="0.2">
      <c r="A29" s="15" t="s">
        <v>167</v>
      </c>
      <c r="B29" s="361">
        <f>'1. Ekonomikalkyl'!$G166*'1. Ekonomikalkyl'!J168*'1. Ekonomikalkyl'!J170</f>
        <v>0</v>
      </c>
      <c r="C29" s="361">
        <f>'1. Ekonomikalkyl'!$G166*'1. Ekonomikalkyl'!K168*'1. Ekonomikalkyl'!K170</f>
        <v>0</v>
      </c>
      <c r="D29" s="361">
        <f>'1. Ekonomikalkyl'!$G166*'1. Ekonomikalkyl'!M168*'1. Ekonomikalkyl'!M170</f>
        <v>0</v>
      </c>
      <c r="G29" s="5"/>
      <c r="H29" s="9"/>
      <c r="I29" s="9"/>
      <c r="J29" s="9"/>
    </row>
    <row r="30" spans="1:10" x14ac:dyDescent="0.2">
      <c r="A30" s="15" t="s">
        <v>53</v>
      </c>
      <c r="B30" s="361">
        <f>'1. Ekonomikalkyl'!$F174*'1. Ekonomikalkyl'!J176*'1. Ekonomikalkyl'!J178</f>
        <v>0</v>
      </c>
      <c r="C30" s="361">
        <f>'1. Ekonomikalkyl'!$F174*'1. Ekonomikalkyl'!K176*'1. Ekonomikalkyl'!K178</f>
        <v>0</v>
      </c>
      <c r="D30" s="361">
        <f>'1. Ekonomikalkyl'!$F174*'1. Ekonomikalkyl'!M176*'1. Ekonomikalkyl'!M178</f>
        <v>0</v>
      </c>
      <c r="G30" s="5"/>
      <c r="H30" s="9"/>
      <c r="I30" s="9"/>
      <c r="J30" s="9"/>
    </row>
    <row r="31" spans="1:10" x14ac:dyDescent="0.2">
      <c r="A31" s="15" t="s">
        <v>131</v>
      </c>
      <c r="B31" s="361">
        <f>'1. Ekonomikalkyl'!$G182*'1. Ekonomikalkyl'!J186*'1. Ekonomikalkyl'!J184</f>
        <v>0</v>
      </c>
      <c r="C31" s="361">
        <f>'1. Ekonomikalkyl'!$G182*'1. Ekonomikalkyl'!K186*'1. Ekonomikalkyl'!K184</f>
        <v>0</v>
      </c>
      <c r="D31" s="361">
        <f>'1. Ekonomikalkyl'!$G182*'1. Ekonomikalkyl'!M186*'1. Ekonomikalkyl'!M184</f>
        <v>0</v>
      </c>
      <c r="G31" s="5"/>
      <c r="H31" s="9"/>
      <c r="I31" s="9"/>
      <c r="J31" s="9"/>
    </row>
    <row r="32" spans="1:10" x14ac:dyDescent="0.2">
      <c r="A32" s="15" t="s">
        <v>168</v>
      </c>
      <c r="B32" s="361">
        <f>'1. Ekonomikalkyl'!$G190*'1. Ekonomikalkyl'!J194*'1. Ekonomikalkyl'!J192</f>
        <v>0</v>
      </c>
      <c r="C32" s="361">
        <f>'1. Ekonomikalkyl'!$G190*'1. Ekonomikalkyl'!M194*'1. Ekonomikalkyl'!M192</f>
        <v>0</v>
      </c>
      <c r="D32" s="361">
        <f>'1. Ekonomikalkyl'!$G190*'1. Ekonomikalkyl'!M194*'1. Ekonomikalkyl'!M192</f>
        <v>0</v>
      </c>
      <c r="G32" s="5"/>
      <c r="H32" s="9"/>
      <c r="I32" s="9"/>
      <c r="J32" s="9"/>
    </row>
    <row r="33" spans="1:10" ht="13.5" thickBot="1" x14ac:dyDescent="0.25">
      <c r="A33" s="15"/>
      <c r="B33" s="437"/>
      <c r="C33" s="361"/>
      <c r="D33" s="361"/>
      <c r="G33" s="5"/>
      <c r="H33" s="9"/>
      <c r="I33" s="9"/>
      <c r="J33" s="9"/>
    </row>
    <row r="34" spans="1:10" ht="13.5" thickBot="1" x14ac:dyDescent="0.25">
      <c r="A34" s="8" t="s">
        <v>238</v>
      </c>
      <c r="B34" s="438">
        <f>SUM(B28:B33)</f>
        <v>0</v>
      </c>
      <c r="C34" s="438">
        <f>SUM(C28:C33)</f>
        <v>0</v>
      </c>
      <c r="D34" s="438">
        <f>SUM(D28:D33)</f>
        <v>0</v>
      </c>
      <c r="G34" s="5"/>
      <c r="H34" s="9"/>
      <c r="I34" s="9"/>
      <c r="J34" s="9"/>
    </row>
    <row r="35" spans="1:10" x14ac:dyDescent="0.2">
      <c r="A35" s="5" t="s">
        <v>0</v>
      </c>
      <c r="G35" s="5"/>
      <c r="H35" s="9"/>
      <c r="I35" s="9"/>
      <c r="J35" s="9"/>
    </row>
    <row r="36" spans="1:10" x14ac:dyDescent="0.2">
      <c r="A36" s="5" t="s">
        <v>237</v>
      </c>
      <c r="B36" s="439">
        <f>'1. Ekonomikalkyl'!J237</f>
        <v>0</v>
      </c>
      <c r="C36" s="439">
        <f>'1. Ekonomikalkyl'!K237</f>
        <v>0</v>
      </c>
      <c r="D36" s="439">
        <f>'1. Ekonomikalkyl'!M237</f>
        <v>0</v>
      </c>
      <c r="G36" s="5"/>
      <c r="H36" s="9"/>
      <c r="I36" s="9"/>
      <c r="J36" s="9"/>
    </row>
    <row r="37" spans="1:10" x14ac:dyDescent="0.2">
      <c r="A37" s="5" t="s">
        <v>208</v>
      </c>
      <c r="B37" s="440">
        <f>IF(B34=0,0,B34/B36)</f>
        <v>0</v>
      </c>
      <c r="C37" s="440">
        <f t="shared" ref="C37:D37" si="0">IF(C34=0,0,C34/C36)</f>
        <v>0</v>
      </c>
      <c r="D37" s="440">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Startsidan</vt:lpstr>
      <vt:lpstr>1. Ekonomikalkyl</vt:lpstr>
      <vt:lpstr>2. Kassabudget</vt:lpstr>
      <vt:lpstr>3. Ekonomikalkyl ingen moms</vt:lpstr>
      <vt:lpstr>4. Kassabudget ingen moms</vt:lpstr>
      <vt:lpstr>1 AT Kassatulot</vt:lpstr>
      <vt:lpstr> 3 AT Palkat, alv</vt:lpstr>
      <vt:lpstr>4 AT Lainat ja avustukset alv</vt:lpstr>
      <vt:lpstr>2 Myynnin ALV</vt:lpstr>
      <vt:lpstr>5 AT Lainat, avustukset ei alv </vt:lpstr>
      <vt:lpstr> 6 AT Palkat, alv </vt:lpstr>
      <vt:lpstr>7 AT Kassatulot ei-alv</vt:lpstr>
      <vt:lpstr>'1. Ekonomikalkyl'!Tulostusalue</vt:lpstr>
      <vt:lpstr>'2. Kassabudget'!Tulostusalue</vt:lpstr>
      <vt:lpstr>'3. Ekonomikalkyl ingen moms'!Tulostusalue</vt:lpstr>
      <vt:lpstr>'4. Kassabudget ingen moms'!Tulostusalue</vt:lpstr>
      <vt:lpstr>'1. Ekonomikalkyl'!YT</vt:lpstr>
      <vt:lpstr>'3. Ekonomikalkyl ingen moms'!YT</vt:lpstr>
    </vt:vector>
  </TitlesOfParts>
  <Company>Företagstolken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FT4 Ekonomiplan</dc:title>
  <dc:creator>Företagstolken</dc:creator>
  <cp:keywords>Nytt företag</cp:keywords>
  <cp:lastModifiedBy>Henri Järvinen</cp:lastModifiedBy>
  <cp:lastPrinted>2026-03-11T06:38:11Z</cp:lastPrinted>
  <dcterms:created xsi:type="dcterms:W3CDTF">2006-08-01T10:09:48Z</dcterms:created>
  <dcterms:modified xsi:type="dcterms:W3CDTF">2026-03-11T06:40:09Z</dcterms:modified>
</cp:coreProperties>
</file>