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ropbox\AGRI\TalousAGRI päivitykset 2024\"/>
    </mc:Choice>
  </mc:AlternateContent>
  <xr:revisionPtr revIDLastSave="0" documentId="13_ncr:1_{20D5B093-FF7E-4308-8525-59EEEE47B8B2}" xr6:coauthVersionLast="47" xr6:coauthVersionMax="47" xr10:uidLastSave="{00000000-0000-0000-0000-000000000000}"/>
  <workbookProtection workbookAlgorithmName="SHA-512" workbookHashValue="bqxA+sCx2rfscS3Uso4nQ1w1Zyn0uZds5NlbFppsNohU4NwVHcIXt7sLgaS5c8H/fggAygndf2sUFzaqTlJ/mQ==" workbookSaltValue="TnlmUeRjcUVOjLBkBo+OEw==" workbookSpinCount="100000" lockStructure="1"/>
  <bookViews>
    <workbookView xWindow="-103" yWindow="-103" windowWidth="33120" windowHeight="18120" tabRatio="737" xr2:uid="{00000000-000D-0000-FFFF-FFFF00000000}"/>
  </bookViews>
  <sheets>
    <sheet name="Ohjeet" sheetId="23" r:id="rId1"/>
    <sheet name="T1 Taloussuunnitelma" sheetId="20" r:id="rId2"/>
    <sheet name="T2 Investoinnit, rahoitus" sheetId="11" r:id="rId3"/>
    <sheet name="T3 Kustannukset" sheetId="1" r:id="rId4"/>
    <sheet name="Kaavio" sheetId="22" state="hidden" r:id="rId5"/>
    <sheet name="aputaulu" sheetId="24" state="hidden" r:id="rId6"/>
    <sheet name="T4 Tuotanto" sheetId="26" r:id="rId7"/>
    <sheet name="Lainalaskurit" sheetId="25" r:id="rId8"/>
  </sheets>
  <externalReferences>
    <externalReference r:id="rId9"/>
  </externalReferences>
  <definedNames>
    <definedName name="Rahapalkat__TyEL_työntekijät" localSheetId="6">'[1]T3 Kustannukset'!#REF!</definedName>
    <definedName name="Rahapalkat__TyEL_työntekijät">'T3 Kustannukset'!#REF!</definedName>
    <definedName name="Teksti37" localSheetId="3">'T3 Kustannukset'!$F$6</definedName>
    <definedName name="Teksti38" localSheetId="3">'T3 Kustannukset'!$F$8</definedName>
    <definedName name="Teksti39" localSheetId="3">'T3 Kustannukset'!$H$8</definedName>
    <definedName name="Teksti39">#REF!</definedName>
    <definedName name="_xlnm.Print_Area" localSheetId="7">Lainalaskurit!$B$2:$R$41</definedName>
    <definedName name="_xlnm.Print_Area" localSheetId="1">'T1 Taloussuunnitelma'!$B$2:$T$86</definedName>
    <definedName name="_xlnm.Print_Area" localSheetId="2">'T2 Investoinnit, rahoitus'!$B$2:$Y$149</definedName>
    <definedName name="_xlnm.Print_Area" localSheetId="3">'T3 Kustannukset'!$B$3:$AH$90</definedName>
    <definedName name="_xlnm.Print_Area" localSheetId="6">'T4 Tuotanto'!$B$2:$V$78</definedName>
    <definedName name="_xlnm.Print_Titles" localSheetId="3">'T3 Kustannukset'!$2:$8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7" i="26" l="1"/>
  <c r="S89" i="1"/>
  <c r="L148" i="11"/>
  <c r="B3" i="26"/>
  <c r="B50" i="20"/>
  <c r="K34" i="20"/>
  <c r="G28" i="20"/>
  <c r="V57" i="1" l="1"/>
  <c r="V47" i="1"/>
  <c r="T46" i="20" l="1"/>
  <c r="T86" i="20" s="1"/>
  <c r="T85" i="20"/>
  <c r="D77" i="1"/>
  <c r="S90" i="1"/>
  <c r="L149" i="11" s="1"/>
  <c r="F49" i="1"/>
  <c r="K78" i="26"/>
  <c r="K69" i="26"/>
  <c r="J69" i="26"/>
  <c r="I69" i="26"/>
  <c r="H69" i="26"/>
  <c r="G69" i="26"/>
  <c r="F69" i="26"/>
  <c r="E69" i="26"/>
  <c r="K63" i="26"/>
  <c r="J63" i="26"/>
  <c r="I63" i="26"/>
  <c r="H63" i="26"/>
  <c r="G63" i="26"/>
  <c r="F63" i="26"/>
  <c r="E63" i="26"/>
  <c r="K57" i="26"/>
  <c r="J57" i="26"/>
  <c r="I57" i="26"/>
  <c r="H57" i="26"/>
  <c r="G57" i="26"/>
  <c r="F57" i="26"/>
  <c r="E57" i="26"/>
  <c r="K51" i="26"/>
  <c r="J51" i="26"/>
  <c r="I51" i="26"/>
  <c r="H51" i="26"/>
  <c r="G51" i="26"/>
  <c r="F51" i="26"/>
  <c r="E51" i="26"/>
  <c r="I48" i="26"/>
  <c r="D79" i="26"/>
  <c r="F58" i="1"/>
  <c r="F35" i="1" l="1"/>
  <c r="F43" i="1" s="1"/>
  <c r="D11" i="1" l="1"/>
  <c r="F11" i="1" s="1"/>
  <c r="H21" i="1"/>
  <c r="J21" i="1" s="1"/>
  <c r="L21" i="1" s="1"/>
  <c r="N21" i="1" s="1"/>
  <c r="P21" i="1" s="1"/>
  <c r="R21" i="1" s="1"/>
  <c r="F78" i="1"/>
  <c r="H78" i="1" s="1"/>
  <c r="J78" i="1" s="1"/>
  <c r="L78" i="1" s="1"/>
  <c r="N78" i="1" s="1"/>
  <c r="P78" i="1" s="1"/>
  <c r="R78" i="1" s="1"/>
  <c r="V78" i="1"/>
  <c r="W78" i="1" s="1"/>
  <c r="X78" i="1" s="1"/>
  <c r="Y78" i="1" s="1"/>
  <c r="Z78" i="1" s="1"/>
  <c r="AA78" i="1" s="1"/>
  <c r="D14" i="1"/>
  <c r="F13" i="1"/>
  <c r="H13" i="1" s="1"/>
  <c r="J13" i="1" s="1"/>
  <c r="L13" i="1" s="1"/>
  <c r="N13" i="1" s="1"/>
  <c r="P13" i="1" s="1"/>
  <c r="R13" i="1" s="1"/>
  <c r="F15" i="1"/>
  <c r="F76" i="1"/>
  <c r="F75" i="1"/>
  <c r="F74" i="1"/>
  <c r="F73" i="1"/>
  <c r="F72" i="1"/>
  <c r="F71" i="1"/>
  <c r="F69" i="1"/>
  <c r="F66" i="1"/>
  <c r="F64" i="1"/>
  <c r="F63" i="1"/>
  <c r="F62" i="1"/>
  <c r="F54" i="1"/>
  <c r="F53" i="1"/>
  <c r="F52" i="1"/>
  <c r="F50" i="1"/>
  <c r="F47" i="1"/>
  <c r="H47" i="1" s="1"/>
  <c r="H41" i="1"/>
  <c r="H36" i="1"/>
  <c r="H34" i="1"/>
  <c r="H31" i="1"/>
  <c r="H28" i="1"/>
  <c r="H25" i="1"/>
  <c r="H22" i="1"/>
  <c r="H19" i="1"/>
  <c r="F51" i="1" l="1"/>
  <c r="F14" i="1"/>
  <c r="D57" i="1" l="1"/>
  <c r="H24" i="1"/>
  <c r="H23" i="1" s="1"/>
  <c r="H27" i="1"/>
  <c r="H26" i="1" s="1"/>
  <c r="H18" i="1"/>
  <c r="J18" i="1" s="1"/>
  <c r="L18" i="1" s="1"/>
  <c r="N18" i="1" s="1"/>
  <c r="P18" i="1" s="1"/>
  <c r="R18" i="1" s="1"/>
  <c r="F15" i="26"/>
  <c r="G15" i="26" s="1"/>
  <c r="H15" i="26" s="1"/>
  <c r="I15" i="26" s="1"/>
  <c r="J15" i="26" s="1"/>
  <c r="K15" i="26" s="1"/>
  <c r="D40" i="26"/>
  <c r="D38" i="26"/>
  <c r="D34" i="26"/>
  <c r="D32" i="26"/>
  <c r="D28" i="26"/>
  <c r="D26" i="26"/>
  <c r="D72" i="26"/>
  <c r="E72" i="26" s="1"/>
  <c r="D66" i="26"/>
  <c r="E66" i="26" s="1"/>
  <c r="D60" i="26"/>
  <c r="E60" i="26" s="1"/>
  <c r="D54" i="26"/>
  <c r="E54" i="26" s="1"/>
  <c r="D48" i="26"/>
  <c r="E48" i="26" s="1"/>
  <c r="F48" i="26" s="1"/>
  <c r="G48" i="26" s="1"/>
  <c r="H48" i="26" s="1"/>
  <c r="J48" i="26" s="1"/>
  <c r="K48" i="26" s="1"/>
  <c r="E46" i="26"/>
  <c r="E52" i="26"/>
  <c r="F52" i="26" s="1"/>
  <c r="G52" i="26" s="1"/>
  <c r="E58" i="26"/>
  <c r="F58" i="26" s="1"/>
  <c r="E64" i="26"/>
  <c r="F64" i="26" s="1"/>
  <c r="E70" i="26"/>
  <c r="F70" i="26" s="1"/>
  <c r="G70" i="26" s="1"/>
  <c r="H70" i="26" s="1"/>
  <c r="D73" i="26"/>
  <c r="E73" i="26" s="1"/>
  <c r="F73" i="26" s="1"/>
  <c r="G73" i="26" s="1"/>
  <c r="H73" i="26" s="1"/>
  <c r="I73" i="26" s="1"/>
  <c r="J73" i="26" s="1"/>
  <c r="K73" i="26" s="1"/>
  <c r="D67" i="26"/>
  <c r="E67" i="26" s="1"/>
  <c r="F67" i="26" s="1"/>
  <c r="G67" i="26" s="1"/>
  <c r="H67" i="26" s="1"/>
  <c r="I67" i="26" s="1"/>
  <c r="J67" i="26" s="1"/>
  <c r="K67" i="26" s="1"/>
  <c r="D61" i="26"/>
  <c r="E61" i="26" s="1"/>
  <c r="F61" i="26" s="1"/>
  <c r="G61" i="26" s="1"/>
  <c r="H61" i="26" s="1"/>
  <c r="I61" i="26" s="1"/>
  <c r="J61" i="26" s="1"/>
  <c r="K61" i="26" s="1"/>
  <c r="D55" i="26"/>
  <c r="E55" i="26" s="1"/>
  <c r="F55" i="26" s="1"/>
  <c r="G55" i="26" s="1"/>
  <c r="H55" i="26" s="1"/>
  <c r="I55" i="26" s="1"/>
  <c r="J55" i="26" s="1"/>
  <c r="K55" i="26" s="1"/>
  <c r="D20" i="26"/>
  <c r="C21" i="26"/>
  <c r="D16" i="26"/>
  <c r="G37" i="11"/>
  <c r="G36" i="11"/>
  <c r="G61" i="11"/>
  <c r="G60" i="11"/>
  <c r="D92" i="11"/>
  <c r="D97" i="11" s="1"/>
  <c r="D102" i="11" s="1"/>
  <c r="D107" i="11" s="1"/>
  <c r="D112" i="11" s="1"/>
  <c r="D122" i="11" s="1"/>
  <c r="D127" i="11" s="1"/>
  <c r="D132" i="11" s="1"/>
  <c r="D137" i="11" s="1"/>
  <c r="O17" i="25"/>
  <c r="O18" i="25" s="1"/>
  <c r="O19" i="25" s="1"/>
  <c r="O20" i="25" s="1"/>
  <c r="O21" i="25" s="1"/>
  <c r="O22" i="25" s="1"/>
  <c r="O23" i="25" s="1"/>
  <c r="O24" i="25" s="1"/>
  <c r="O25" i="25" s="1"/>
  <c r="O26" i="25" s="1"/>
  <c r="O27" i="25" s="1"/>
  <c r="O28" i="25" s="1"/>
  <c r="O29" i="25" s="1"/>
  <c r="O30" i="25" s="1"/>
  <c r="F57" i="1" l="1"/>
  <c r="H57" i="1" s="1"/>
  <c r="I70" i="26"/>
  <c r="E71" i="26"/>
  <c r="F72" i="26"/>
  <c r="F66" i="26"/>
  <c r="G66" i="26" s="1"/>
  <c r="H66" i="26" s="1"/>
  <c r="I66" i="26" s="1"/>
  <c r="J66" i="26" s="1"/>
  <c r="K66" i="26" s="1"/>
  <c r="E65" i="26"/>
  <c r="G64" i="26"/>
  <c r="F60" i="26"/>
  <c r="G60" i="26" s="1"/>
  <c r="H60" i="26" s="1"/>
  <c r="I60" i="26" s="1"/>
  <c r="J60" i="26" s="1"/>
  <c r="K60" i="26" s="1"/>
  <c r="E59" i="26"/>
  <c r="G58" i="26"/>
  <c r="H52" i="26"/>
  <c r="F54" i="26"/>
  <c r="G54" i="26" s="1"/>
  <c r="H54" i="26" s="1"/>
  <c r="I54" i="26" s="1"/>
  <c r="J54" i="26" s="1"/>
  <c r="K54" i="26" s="1"/>
  <c r="E53" i="26"/>
  <c r="D10" i="22"/>
  <c r="F53" i="26" l="1"/>
  <c r="G72" i="26"/>
  <c r="F71" i="26"/>
  <c r="J70" i="26"/>
  <c r="G65" i="26"/>
  <c r="H64" i="26"/>
  <c r="F65" i="26"/>
  <c r="H58" i="26"/>
  <c r="G59" i="26"/>
  <c r="F59" i="26"/>
  <c r="G53" i="26"/>
  <c r="I52" i="26"/>
  <c r="H53" i="26"/>
  <c r="G29" i="20"/>
  <c r="H4" i="26"/>
  <c r="E4" i="26"/>
  <c r="B4" i="26"/>
  <c r="K70" i="26" l="1"/>
  <c r="H72" i="26"/>
  <c r="G71" i="26"/>
  <c r="I64" i="26"/>
  <c r="H65" i="26"/>
  <c r="H59" i="26"/>
  <c r="I58" i="26"/>
  <c r="I53" i="26"/>
  <c r="J52" i="26"/>
  <c r="I72" i="26" l="1"/>
  <c r="H71" i="26"/>
  <c r="J64" i="26"/>
  <c r="I65" i="26"/>
  <c r="I59" i="26"/>
  <c r="J58" i="26"/>
  <c r="J53" i="26"/>
  <c r="K52" i="26"/>
  <c r="K53" i="26" s="1"/>
  <c r="E28" i="20"/>
  <c r="D10" i="26"/>
  <c r="E10" i="26" s="1"/>
  <c r="F10" i="26" s="1"/>
  <c r="G10" i="26" s="1"/>
  <c r="D41" i="26"/>
  <c r="C4" i="22" s="1"/>
  <c r="E9" i="26"/>
  <c r="F9" i="26" s="1"/>
  <c r="D12" i="26"/>
  <c r="E12" i="26" s="1"/>
  <c r="F12" i="26" s="1"/>
  <c r="G12" i="26" s="1"/>
  <c r="H12" i="26" s="1"/>
  <c r="I12" i="26" s="1"/>
  <c r="J12" i="26" s="1"/>
  <c r="K12" i="26" s="1"/>
  <c r="E19" i="26"/>
  <c r="F19" i="26" s="1"/>
  <c r="E20" i="26"/>
  <c r="D22" i="26"/>
  <c r="E22" i="26" s="1"/>
  <c r="F22" i="26" s="1"/>
  <c r="G22" i="26" s="1"/>
  <c r="H22" i="26" s="1"/>
  <c r="I22" i="26" s="1"/>
  <c r="J22" i="26" s="1"/>
  <c r="K22" i="26" s="1"/>
  <c r="E25" i="26"/>
  <c r="F25" i="26" s="1"/>
  <c r="E26" i="26"/>
  <c r="F26" i="26" s="1"/>
  <c r="G26" i="26" s="1"/>
  <c r="H26" i="26" s="1"/>
  <c r="I26" i="26" s="1"/>
  <c r="J26" i="26" s="1"/>
  <c r="K26" i="26" s="1"/>
  <c r="E28" i="26"/>
  <c r="F28" i="26" s="1"/>
  <c r="G28" i="26" s="1"/>
  <c r="H28" i="26" s="1"/>
  <c r="I28" i="26" s="1"/>
  <c r="J28" i="26" s="1"/>
  <c r="K28" i="26" s="1"/>
  <c r="E31" i="26"/>
  <c r="F31" i="26" s="1"/>
  <c r="G31" i="26" s="1"/>
  <c r="H31" i="26" s="1"/>
  <c r="I31" i="26" s="1"/>
  <c r="E32" i="26"/>
  <c r="E34" i="26"/>
  <c r="F34" i="26" s="1"/>
  <c r="G34" i="26" s="1"/>
  <c r="H34" i="26" s="1"/>
  <c r="I34" i="26" s="1"/>
  <c r="J34" i="26" s="1"/>
  <c r="K34" i="26" s="1"/>
  <c r="E37" i="26"/>
  <c r="F37" i="26" s="1"/>
  <c r="E38" i="26"/>
  <c r="E40" i="26"/>
  <c r="F40" i="26" s="1"/>
  <c r="G40" i="26" s="1"/>
  <c r="H40" i="26" s="1"/>
  <c r="I40" i="26" s="1"/>
  <c r="J40" i="26" s="1"/>
  <c r="K40" i="26" s="1"/>
  <c r="D43" i="26"/>
  <c r="E43" i="26"/>
  <c r="F43" i="26"/>
  <c r="G43" i="26"/>
  <c r="H43" i="26"/>
  <c r="I43" i="26"/>
  <c r="J43" i="26"/>
  <c r="K43" i="26"/>
  <c r="F46" i="26"/>
  <c r="D49" i="26"/>
  <c r="E49" i="26" s="1"/>
  <c r="F49" i="26" s="1"/>
  <c r="G49" i="26" s="1"/>
  <c r="H49" i="26" s="1"/>
  <c r="I49" i="26" s="1"/>
  <c r="J49" i="26" s="1"/>
  <c r="K49" i="26" s="1"/>
  <c r="F16" i="26" l="1"/>
  <c r="E14" i="26"/>
  <c r="G46" i="26"/>
  <c r="H46" i="26" s="1"/>
  <c r="I46" i="26" s="1"/>
  <c r="J46" i="26" s="1"/>
  <c r="K46" i="26" s="1"/>
  <c r="J72" i="26"/>
  <c r="I71" i="26"/>
  <c r="J65" i="26"/>
  <c r="K64" i="26"/>
  <c r="K65" i="26" s="1"/>
  <c r="J59" i="26"/>
  <c r="K58" i="26"/>
  <c r="K59" i="26" s="1"/>
  <c r="E79" i="26"/>
  <c r="E26" i="20"/>
  <c r="E11" i="26"/>
  <c r="H10" i="26"/>
  <c r="I10" i="26" s="1"/>
  <c r="J10" i="26" s="1"/>
  <c r="K10" i="26" s="1"/>
  <c r="J31" i="26"/>
  <c r="F27" i="26"/>
  <c r="F24" i="26" s="1"/>
  <c r="G25" i="26"/>
  <c r="G37" i="26"/>
  <c r="G9" i="26"/>
  <c r="E33" i="26"/>
  <c r="E30" i="26" s="1"/>
  <c r="F32" i="26"/>
  <c r="G32" i="26" s="1"/>
  <c r="H32" i="26" s="1"/>
  <c r="I32" i="26" s="1"/>
  <c r="J32" i="26" s="1"/>
  <c r="K32" i="26" s="1"/>
  <c r="E39" i="26"/>
  <c r="E36" i="26" s="1"/>
  <c r="F38" i="26"/>
  <c r="G38" i="26" s="1"/>
  <c r="H38" i="26" s="1"/>
  <c r="I38" i="26" s="1"/>
  <c r="J38" i="26" s="1"/>
  <c r="K38" i="26" s="1"/>
  <c r="E21" i="26"/>
  <c r="E18" i="26" s="1"/>
  <c r="F20" i="26"/>
  <c r="G20" i="26" s="1"/>
  <c r="H20" i="26" s="1"/>
  <c r="I20" i="26" s="1"/>
  <c r="J20" i="26" s="1"/>
  <c r="K20" i="26" s="1"/>
  <c r="E27" i="26"/>
  <c r="E24" i="26" s="1"/>
  <c r="G19" i="26"/>
  <c r="G16" i="26" l="1"/>
  <c r="F14" i="26"/>
  <c r="K72" i="26"/>
  <c r="K71" i="26" s="1"/>
  <c r="J71" i="26"/>
  <c r="H33" i="26"/>
  <c r="H30" i="26" s="1"/>
  <c r="G79" i="26"/>
  <c r="E8" i="26"/>
  <c r="G27" i="20"/>
  <c r="F11" i="26"/>
  <c r="F33" i="26"/>
  <c r="F30" i="26" s="1"/>
  <c r="J33" i="26"/>
  <c r="J30" i="26" s="1"/>
  <c r="K31" i="26"/>
  <c r="K33" i="26" s="1"/>
  <c r="K30" i="26" s="1"/>
  <c r="F79" i="26"/>
  <c r="G21" i="26"/>
  <c r="G18" i="26" s="1"/>
  <c r="H19" i="26"/>
  <c r="G11" i="26"/>
  <c r="G8" i="26" s="1"/>
  <c r="H9" i="26"/>
  <c r="G27" i="26"/>
  <c r="G24" i="26" s="1"/>
  <c r="H25" i="26"/>
  <c r="G39" i="26"/>
  <c r="G36" i="26" s="1"/>
  <c r="H37" i="26"/>
  <c r="G33" i="26"/>
  <c r="G30" i="26" s="1"/>
  <c r="F39" i="26"/>
  <c r="F36" i="26" s="1"/>
  <c r="I33" i="26"/>
  <c r="I30" i="26" s="1"/>
  <c r="F21" i="26"/>
  <c r="F18" i="26" s="1"/>
  <c r="H16" i="26" l="1"/>
  <c r="G14" i="26"/>
  <c r="F8" i="26"/>
  <c r="H11" i="26"/>
  <c r="H8" i="26" s="1"/>
  <c r="I9" i="26"/>
  <c r="I19" i="26"/>
  <c r="H21" i="26"/>
  <c r="H18" i="26" s="1"/>
  <c r="H39" i="26"/>
  <c r="H36" i="26" s="1"/>
  <c r="I37" i="26"/>
  <c r="H27" i="26"/>
  <c r="H24" i="26" s="1"/>
  <c r="I25" i="26"/>
  <c r="H79" i="26"/>
  <c r="I16" i="26" l="1"/>
  <c r="H14" i="26"/>
  <c r="I11" i="26"/>
  <c r="I8" i="26" s="1"/>
  <c r="J9" i="26"/>
  <c r="I27" i="26"/>
  <c r="I24" i="26" s="1"/>
  <c r="J25" i="26"/>
  <c r="J19" i="26"/>
  <c r="I21" i="26"/>
  <c r="I18" i="26" s="1"/>
  <c r="I39" i="26"/>
  <c r="I36" i="26" s="1"/>
  <c r="J37" i="26"/>
  <c r="I79" i="26"/>
  <c r="J16" i="26" l="1"/>
  <c r="I14" i="26"/>
  <c r="K9" i="26"/>
  <c r="K11" i="26" s="1"/>
  <c r="K8" i="26" s="1"/>
  <c r="J11" i="26"/>
  <c r="J8" i="26" s="1"/>
  <c r="J79" i="26"/>
  <c r="K37" i="26"/>
  <c r="K39" i="26" s="1"/>
  <c r="K36" i="26" s="1"/>
  <c r="J39" i="26"/>
  <c r="J36" i="26" s="1"/>
  <c r="J27" i="26"/>
  <c r="J24" i="26" s="1"/>
  <c r="K25" i="26"/>
  <c r="K27" i="26" s="1"/>
  <c r="K24" i="26" s="1"/>
  <c r="K19" i="26"/>
  <c r="K21" i="26" s="1"/>
  <c r="K18" i="26" s="1"/>
  <c r="J21" i="26"/>
  <c r="J18" i="26" s="1"/>
  <c r="K16" i="26" l="1"/>
  <c r="K14" i="26" s="1"/>
  <c r="J14" i="26"/>
  <c r="K79" i="26" l="1"/>
  <c r="V66" i="1" l="1"/>
  <c r="V64" i="1"/>
  <c r="H64" i="1" s="1"/>
  <c r="V63" i="1"/>
  <c r="V62" i="1"/>
  <c r="H62" i="1" s="1"/>
  <c r="V54" i="1"/>
  <c r="H54" i="1" s="1"/>
  <c r="W53" i="1"/>
  <c r="X53" i="1" s="1"/>
  <c r="Y53" i="1" s="1"/>
  <c r="Z53" i="1" s="1"/>
  <c r="AA53" i="1" s="1"/>
  <c r="V53" i="1"/>
  <c r="H53" i="1" s="1"/>
  <c r="V52" i="1"/>
  <c r="V50" i="1"/>
  <c r="V49" i="1"/>
  <c r="H49" i="1" s="1"/>
  <c r="V15" i="1"/>
  <c r="V14" i="1"/>
  <c r="V11" i="1"/>
  <c r="H11" i="1" s="1"/>
  <c r="W66" i="1" l="1"/>
  <c r="X66" i="1" s="1"/>
  <c r="Y66" i="1" s="1"/>
  <c r="Z66" i="1" s="1"/>
  <c r="AA66" i="1" s="1"/>
  <c r="H66" i="1"/>
  <c r="J66" i="1" s="1"/>
  <c r="L66" i="1" s="1"/>
  <c r="N66" i="1" s="1"/>
  <c r="P66" i="1" s="1"/>
  <c r="R66" i="1" s="1"/>
  <c r="W63" i="1"/>
  <c r="X63" i="1" s="1"/>
  <c r="Y63" i="1" s="1"/>
  <c r="Z63" i="1" s="1"/>
  <c r="AA63" i="1" s="1"/>
  <c r="H63" i="1"/>
  <c r="J63" i="1" s="1"/>
  <c r="L63" i="1" s="1"/>
  <c r="N63" i="1" s="1"/>
  <c r="P63" i="1" s="1"/>
  <c r="R63" i="1" s="1"/>
  <c r="W64" i="1"/>
  <c r="X64" i="1" s="1"/>
  <c r="Y64" i="1" s="1"/>
  <c r="Z64" i="1" s="1"/>
  <c r="AA64" i="1" s="1"/>
  <c r="J64" i="1"/>
  <c r="L64" i="1" s="1"/>
  <c r="N64" i="1" s="1"/>
  <c r="P64" i="1" s="1"/>
  <c r="R64" i="1" s="1"/>
  <c r="W62" i="1"/>
  <c r="X62" i="1" s="1"/>
  <c r="Y62" i="1" s="1"/>
  <c r="Z62" i="1" s="1"/>
  <c r="AA62" i="1" s="1"/>
  <c r="J53" i="1"/>
  <c r="L53" i="1" s="1"/>
  <c r="N53" i="1" s="1"/>
  <c r="P53" i="1" s="1"/>
  <c r="R53" i="1" s="1"/>
  <c r="W54" i="1"/>
  <c r="X54" i="1" s="1"/>
  <c r="Y54" i="1" s="1"/>
  <c r="Z54" i="1" s="1"/>
  <c r="AA54" i="1" s="1"/>
  <c r="W52" i="1"/>
  <c r="X52" i="1" s="1"/>
  <c r="Y52" i="1" s="1"/>
  <c r="Z52" i="1" s="1"/>
  <c r="AA52" i="1" s="1"/>
  <c r="H52" i="1"/>
  <c r="W50" i="1"/>
  <c r="X50" i="1" s="1"/>
  <c r="Y50" i="1" s="1"/>
  <c r="Z50" i="1" s="1"/>
  <c r="AA50" i="1" s="1"/>
  <c r="H50" i="1"/>
  <c r="J50" i="1" s="1"/>
  <c r="L50" i="1" s="1"/>
  <c r="N50" i="1" s="1"/>
  <c r="P50" i="1" s="1"/>
  <c r="R50" i="1" s="1"/>
  <c r="W15" i="1"/>
  <c r="X15" i="1" s="1"/>
  <c r="Y15" i="1" s="1"/>
  <c r="Z15" i="1" s="1"/>
  <c r="AA15" i="1" s="1"/>
  <c r="H15" i="1"/>
  <c r="J15" i="1" s="1"/>
  <c r="L15" i="1" s="1"/>
  <c r="N15" i="1" s="1"/>
  <c r="P15" i="1" s="1"/>
  <c r="R15" i="1" s="1"/>
  <c r="W14" i="1"/>
  <c r="X14" i="1" s="1"/>
  <c r="Y14" i="1" s="1"/>
  <c r="Z14" i="1" s="1"/>
  <c r="AA14" i="1" s="1"/>
  <c r="H14" i="1"/>
  <c r="J14" i="1" s="1"/>
  <c r="L14" i="1" s="1"/>
  <c r="W49" i="1"/>
  <c r="X49" i="1" s="1"/>
  <c r="Y49" i="1" s="1"/>
  <c r="Z49" i="1" s="1"/>
  <c r="AA49" i="1" s="1"/>
  <c r="H44" i="1"/>
  <c r="J44" i="1" s="1"/>
  <c r="L44" i="1" s="1"/>
  <c r="N44" i="1" s="1"/>
  <c r="P44" i="1" s="1"/>
  <c r="R44" i="1" s="1"/>
  <c r="E142" i="11"/>
  <c r="F82" i="11"/>
  <c r="K81" i="11"/>
  <c r="G81" i="11"/>
  <c r="H81" i="11"/>
  <c r="I81" i="11"/>
  <c r="J81" i="11"/>
  <c r="L81" i="11"/>
  <c r="F81" i="11"/>
  <c r="J62" i="1" l="1"/>
  <c r="L62" i="1" s="1"/>
  <c r="N62" i="1" s="1"/>
  <c r="J54" i="1"/>
  <c r="L54" i="1" s="1"/>
  <c r="N54" i="1" s="1"/>
  <c r="P54" i="1" s="1"/>
  <c r="R54" i="1" s="1"/>
  <c r="J52" i="1"/>
  <c r="L52" i="1" s="1"/>
  <c r="N52" i="1" s="1"/>
  <c r="P52" i="1" s="1"/>
  <c r="R52" i="1" s="1"/>
  <c r="H51" i="1"/>
  <c r="J49" i="1"/>
  <c r="L49" i="1" s="1"/>
  <c r="N49" i="1" s="1"/>
  <c r="P49" i="1" s="1"/>
  <c r="R49" i="1" s="1"/>
  <c r="N14" i="1"/>
  <c r="P14" i="1" s="1"/>
  <c r="R14" i="1" s="1"/>
  <c r="L12" i="1"/>
  <c r="S14" i="20"/>
  <c r="Q14" i="20"/>
  <c r="O14" i="20"/>
  <c r="M14" i="20"/>
  <c r="K14" i="20"/>
  <c r="I14" i="20"/>
  <c r="G14" i="20"/>
  <c r="P62" i="1" l="1"/>
  <c r="R62" i="1" s="1"/>
  <c r="N61" i="1"/>
  <c r="G38" i="20"/>
  <c r="G32" i="20" l="1"/>
  <c r="J24" i="1"/>
  <c r="L24" i="1" s="1"/>
  <c r="N24" i="1" s="1"/>
  <c r="P24" i="1" s="1"/>
  <c r="D42" i="1"/>
  <c r="D48" i="1" s="1"/>
  <c r="F32" i="1"/>
  <c r="W34" i="1"/>
  <c r="H33" i="1"/>
  <c r="J33" i="1" s="1"/>
  <c r="F29" i="1"/>
  <c r="W31" i="1"/>
  <c r="H30" i="1"/>
  <c r="H29" i="1" s="1"/>
  <c r="W47" i="1"/>
  <c r="D68" i="1"/>
  <c r="F70" i="1"/>
  <c r="H70" i="1" s="1"/>
  <c r="J70" i="1" s="1"/>
  <c r="L70" i="1" s="1"/>
  <c r="N70" i="1" s="1"/>
  <c r="G23" i="11"/>
  <c r="H23" i="11" s="1"/>
  <c r="F67" i="1"/>
  <c r="D65" i="1"/>
  <c r="F61" i="1"/>
  <c r="W41" i="1"/>
  <c r="J41" i="1" s="1"/>
  <c r="H38" i="1"/>
  <c r="J38" i="1" s="1"/>
  <c r="H40" i="1"/>
  <c r="J40" i="1" s="1"/>
  <c r="L40" i="1" s="1"/>
  <c r="N40" i="1" s="1"/>
  <c r="H39" i="1"/>
  <c r="J39" i="1" s="1"/>
  <c r="L39" i="1" s="1"/>
  <c r="N39" i="1" s="1"/>
  <c r="P39" i="1" s="1"/>
  <c r="R39" i="1" s="1"/>
  <c r="H37" i="1"/>
  <c r="W36" i="1"/>
  <c r="H46" i="1"/>
  <c r="J46" i="1" s="1"/>
  <c r="J27" i="1"/>
  <c r="L27" i="1" s="1"/>
  <c r="V76" i="1"/>
  <c r="H76" i="1" s="1"/>
  <c r="V75" i="1"/>
  <c r="V74" i="1"/>
  <c r="V73" i="1"/>
  <c r="V72" i="1"/>
  <c r="V71" i="1"/>
  <c r="V69" i="1"/>
  <c r="W57" i="1"/>
  <c r="W11" i="1"/>
  <c r="W28" i="1"/>
  <c r="W25" i="1"/>
  <c r="J25" i="1" s="1"/>
  <c r="W22" i="1"/>
  <c r="W19" i="1"/>
  <c r="J19" i="1" s="1"/>
  <c r="F26" i="1"/>
  <c r="F17" i="1"/>
  <c r="F23" i="1"/>
  <c r="F20" i="1"/>
  <c r="H20" i="1" s="1"/>
  <c r="J20" i="1" s="1"/>
  <c r="L20" i="1" s="1"/>
  <c r="N20" i="1" s="1"/>
  <c r="P20" i="1" s="1"/>
  <c r="R20" i="1" s="1"/>
  <c r="F55" i="1"/>
  <c r="H55" i="1" s="1"/>
  <c r="J55" i="1" s="1"/>
  <c r="L55" i="1" s="1"/>
  <c r="N55" i="1" s="1"/>
  <c r="P55" i="1" s="1"/>
  <c r="R55" i="1" s="1"/>
  <c r="G30" i="11"/>
  <c r="H30" i="11" s="1"/>
  <c r="O10" i="25"/>
  <c r="P16" i="25" s="1"/>
  <c r="C12" i="25"/>
  <c r="C14" i="25" s="1"/>
  <c r="C16" i="25" s="1"/>
  <c r="D12" i="25"/>
  <c r="D14" i="25" s="1"/>
  <c r="D16" i="25" s="1"/>
  <c r="E12" i="25"/>
  <c r="E14" i="25" s="1"/>
  <c r="E16" i="25" s="1"/>
  <c r="H13" i="25"/>
  <c r="H15" i="25" s="1"/>
  <c r="I13" i="25"/>
  <c r="I15" i="25" s="1"/>
  <c r="J13" i="25"/>
  <c r="J15" i="25" s="1"/>
  <c r="M16" i="25"/>
  <c r="Q16" i="25" s="1"/>
  <c r="L17" i="25"/>
  <c r="L18" i="25" s="1"/>
  <c r="E3" i="24"/>
  <c r="E50" i="24" s="1"/>
  <c r="B4" i="24"/>
  <c r="F4" i="24"/>
  <c r="F10" i="24" s="1"/>
  <c r="G4" i="24"/>
  <c r="H4" i="24"/>
  <c r="I4" i="24"/>
  <c r="J4" i="24"/>
  <c r="K4" i="24"/>
  <c r="L4" i="24"/>
  <c r="F5" i="24"/>
  <c r="F6" i="24"/>
  <c r="F7" i="24"/>
  <c r="B15" i="24"/>
  <c r="F15" i="24"/>
  <c r="F21" i="24" s="1"/>
  <c r="G15" i="24"/>
  <c r="H15" i="24"/>
  <c r="I15" i="24"/>
  <c r="J15" i="24"/>
  <c r="K15" i="24"/>
  <c r="L15" i="24"/>
  <c r="F16" i="24"/>
  <c r="F20" i="24" s="1"/>
  <c r="F19" i="24" s="1"/>
  <c r="F62" i="11" s="1"/>
  <c r="F17" i="24"/>
  <c r="F18" i="24"/>
  <c r="B26" i="24"/>
  <c r="F26" i="24"/>
  <c r="F32" i="24" s="1"/>
  <c r="G26" i="24"/>
  <c r="H26" i="24"/>
  <c r="I26" i="24"/>
  <c r="J26" i="24"/>
  <c r="K26" i="24"/>
  <c r="L26" i="24"/>
  <c r="F27" i="24"/>
  <c r="F31" i="24" s="1"/>
  <c r="F30" i="24" s="1"/>
  <c r="F69" i="11" s="1"/>
  <c r="F28" i="24"/>
  <c r="F29" i="24"/>
  <c r="B37" i="24"/>
  <c r="F37" i="24"/>
  <c r="F43" i="24" s="1"/>
  <c r="G37" i="24"/>
  <c r="H37" i="24"/>
  <c r="I37" i="24"/>
  <c r="J37" i="24"/>
  <c r="K37" i="24"/>
  <c r="L37" i="24"/>
  <c r="F38" i="24"/>
  <c r="F42" i="24" s="1"/>
  <c r="F41" i="24" s="1"/>
  <c r="F76" i="11" s="1"/>
  <c r="F39" i="24"/>
  <c r="F40" i="24"/>
  <c r="B51" i="24"/>
  <c r="E51" i="24"/>
  <c r="F52" i="24"/>
  <c r="F54" i="24"/>
  <c r="G56" i="24"/>
  <c r="H56" i="24" s="1"/>
  <c r="I56" i="24" s="1"/>
  <c r="J56" i="24" s="1"/>
  <c r="K56" i="24" s="1"/>
  <c r="L56" i="24" s="1"/>
  <c r="G57" i="24"/>
  <c r="H57" i="24" s="1"/>
  <c r="I57" i="24" s="1"/>
  <c r="J57" i="24" s="1"/>
  <c r="K57" i="24" s="1"/>
  <c r="L57" i="24" s="1"/>
  <c r="B58" i="24"/>
  <c r="E58" i="24"/>
  <c r="F59" i="24"/>
  <c r="F61" i="24"/>
  <c r="H60" i="24" s="1"/>
  <c r="H124" i="11" s="1"/>
  <c r="G62" i="24"/>
  <c r="G126" i="11" s="1"/>
  <c r="G63" i="24"/>
  <c r="H63" i="24" s="1"/>
  <c r="I63" i="24" s="1"/>
  <c r="J63" i="24" s="1"/>
  <c r="K63" i="24" s="1"/>
  <c r="L63" i="24" s="1"/>
  <c r="G64" i="24"/>
  <c r="H64" i="24" s="1"/>
  <c r="I64" i="24" s="1"/>
  <c r="J64" i="24" s="1"/>
  <c r="K64" i="24" s="1"/>
  <c r="L64" i="24" s="1"/>
  <c r="B65" i="24"/>
  <c r="E65" i="24"/>
  <c r="F66" i="24"/>
  <c r="F68" i="24"/>
  <c r="G67" i="24" s="1"/>
  <c r="G129" i="11" s="1"/>
  <c r="G70" i="24"/>
  <c r="H70" i="24"/>
  <c r="I70" i="24" s="1"/>
  <c r="J70" i="24" s="1"/>
  <c r="K70" i="24" s="1"/>
  <c r="L70" i="24" s="1"/>
  <c r="G71" i="24"/>
  <c r="H71" i="24" s="1"/>
  <c r="I71" i="24" s="1"/>
  <c r="J71" i="24" s="1"/>
  <c r="K71" i="24" s="1"/>
  <c r="L71" i="24" s="1"/>
  <c r="B72" i="24"/>
  <c r="E72" i="24"/>
  <c r="F73" i="24"/>
  <c r="F75" i="24"/>
  <c r="F76" i="24" s="1"/>
  <c r="F136" i="11" s="1"/>
  <c r="G77" i="24"/>
  <c r="H77" i="24" s="1"/>
  <c r="I77" i="24" s="1"/>
  <c r="J77" i="24" s="1"/>
  <c r="K77" i="24" s="1"/>
  <c r="L77" i="24" s="1"/>
  <c r="G78" i="24"/>
  <c r="H78" i="24" s="1"/>
  <c r="I78" i="24" s="1"/>
  <c r="J78" i="24" s="1"/>
  <c r="K78" i="24" s="1"/>
  <c r="L78" i="24" s="1"/>
  <c r="B79" i="24"/>
  <c r="E79" i="24"/>
  <c r="F80" i="24"/>
  <c r="F82" i="24"/>
  <c r="G84" i="24"/>
  <c r="H84" i="24" s="1"/>
  <c r="I84" i="24" s="1"/>
  <c r="J84" i="24" s="1"/>
  <c r="K84" i="24" s="1"/>
  <c r="L84" i="24" s="1"/>
  <c r="G85" i="24"/>
  <c r="H85" i="24" s="1"/>
  <c r="I85" i="24" s="1"/>
  <c r="J85" i="24" s="1"/>
  <c r="K85" i="24" s="1"/>
  <c r="L85" i="24" s="1"/>
  <c r="C5" i="22"/>
  <c r="C7" i="22"/>
  <c r="C13" i="22"/>
  <c r="F10" i="1"/>
  <c r="H10" i="1" s="1"/>
  <c r="D51" i="1"/>
  <c r="H58" i="1"/>
  <c r="J58" i="1" s="1"/>
  <c r="L58" i="1" s="1"/>
  <c r="N58" i="1" s="1"/>
  <c r="P58" i="1" s="1"/>
  <c r="R58" i="1" s="1"/>
  <c r="F59" i="1"/>
  <c r="H59" i="1" s="1"/>
  <c r="J59" i="1" s="1"/>
  <c r="L59" i="1" s="1"/>
  <c r="N59" i="1" s="1"/>
  <c r="P59" i="1" s="1"/>
  <c r="R59" i="1" s="1"/>
  <c r="F60" i="1"/>
  <c r="H60" i="1" s="1"/>
  <c r="J60" i="1" s="1"/>
  <c r="L60" i="1" s="1"/>
  <c r="N60" i="1" s="1"/>
  <c r="P60" i="1" s="1"/>
  <c r="R60" i="1" s="1"/>
  <c r="D61" i="1"/>
  <c r="F79" i="1"/>
  <c r="H79" i="1" s="1"/>
  <c r="J79" i="1" s="1"/>
  <c r="L79" i="1" s="1"/>
  <c r="F80" i="1"/>
  <c r="H80" i="1" s="1"/>
  <c r="J80" i="1" s="1"/>
  <c r="F81" i="1"/>
  <c r="H81" i="1" s="1"/>
  <c r="J81" i="1" s="1"/>
  <c r="L81" i="1" s="1"/>
  <c r="N81" i="1" s="1"/>
  <c r="P81" i="1" s="1"/>
  <c r="R81" i="1" s="1"/>
  <c r="F82" i="1"/>
  <c r="H82" i="1" s="1"/>
  <c r="J82" i="1" s="1"/>
  <c r="L82" i="1" s="1"/>
  <c r="N82" i="1" s="1"/>
  <c r="P82" i="1" s="1"/>
  <c r="R82" i="1" s="1"/>
  <c r="F83" i="1"/>
  <c r="H83" i="1" s="1"/>
  <c r="J83" i="1" s="1"/>
  <c r="L83" i="1" s="1"/>
  <c r="N83" i="1" s="1"/>
  <c r="P83" i="1" s="1"/>
  <c r="R83" i="1" s="1"/>
  <c r="F84" i="1"/>
  <c r="H84" i="1" s="1"/>
  <c r="J84" i="1" s="1"/>
  <c r="L84" i="1" s="1"/>
  <c r="N84" i="1" s="1"/>
  <c r="P84" i="1" s="1"/>
  <c r="R84" i="1" s="1"/>
  <c r="F85" i="1"/>
  <c r="H85" i="1" s="1"/>
  <c r="J85" i="1" s="1"/>
  <c r="L85" i="1" s="1"/>
  <c r="N85" i="1" s="1"/>
  <c r="P85" i="1" s="1"/>
  <c r="R85" i="1" s="1"/>
  <c r="F86" i="1"/>
  <c r="H86" i="1" s="1"/>
  <c r="J86" i="1" s="1"/>
  <c r="L86" i="1" s="1"/>
  <c r="N86" i="1" s="1"/>
  <c r="P86" i="1" s="1"/>
  <c r="R86" i="1" s="1"/>
  <c r="B3" i="11"/>
  <c r="B5" i="1" s="1"/>
  <c r="E3" i="11"/>
  <c r="H3" i="11"/>
  <c r="J5" i="1" s="1"/>
  <c r="E6" i="11"/>
  <c r="F9" i="11"/>
  <c r="F13" i="11" s="1"/>
  <c r="G12" i="11"/>
  <c r="H12" i="11" s="1"/>
  <c r="I12" i="11" s="1"/>
  <c r="J12" i="11" s="1"/>
  <c r="K12" i="11" s="1"/>
  <c r="L12" i="11" s="1"/>
  <c r="F15" i="11"/>
  <c r="F19" i="11" s="1"/>
  <c r="F14" i="11" s="1"/>
  <c r="G15" i="11" s="1"/>
  <c r="G18" i="11"/>
  <c r="F25" i="11"/>
  <c r="F84" i="11" s="1"/>
  <c r="F83" i="11" s="1"/>
  <c r="G25" i="11"/>
  <c r="G84" i="11" s="1"/>
  <c r="H25" i="11"/>
  <c r="H84" i="11" s="1"/>
  <c r="I25" i="11"/>
  <c r="I84" i="11" s="1"/>
  <c r="J25" i="11"/>
  <c r="J84" i="11" s="1"/>
  <c r="K25" i="11"/>
  <c r="K84" i="11" s="1"/>
  <c r="L25" i="11"/>
  <c r="L84" i="11" s="1"/>
  <c r="F29" i="11"/>
  <c r="F33" i="11" s="1"/>
  <c r="G31" i="11"/>
  <c r="H31" i="11" s="1"/>
  <c r="I31" i="11" s="1"/>
  <c r="J31" i="11" s="1"/>
  <c r="K31" i="11" s="1"/>
  <c r="L31" i="11" s="1"/>
  <c r="F32" i="11"/>
  <c r="F35" i="11"/>
  <c r="F39" i="11" s="1"/>
  <c r="G35" i="11" s="1"/>
  <c r="H36" i="11"/>
  <c r="I36" i="11" s="1"/>
  <c r="J36" i="11" s="1"/>
  <c r="K36" i="11" s="1"/>
  <c r="L36" i="11" s="1"/>
  <c r="H37" i="11"/>
  <c r="I37" i="11" s="1"/>
  <c r="F38" i="11"/>
  <c r="F41" i="11"/>
  <c r="F45" i="11" s="1"/>
  <c r="G41" i="11" s="1"/>
  <c r="G42" i="11"/>
  <c r="G43" i="11"/>
  <c r="F44" i="11"/>
  <c r="F47" i="11"/>
  <c r="F51" i="11" s="1"/>
  <c r="G47" i="11" s="1"/>
  <c r="G48" i="11"/>
  <c r="H48" i="11" s="1"/>
  <c r="G49" i="11"/>
  <c r="H49" i="11" s="1"/>
  <c r="F50" i="11"/>
  <c r="G53" i="11"/>
  <c r="G6" i="24" s="1"/>
  <c r="G54" i="11"/>
  <c r="G5" i="24" s="1"/>
  <c r="G17" i="24"/>
  <c r="G16" i="24"/>
  <c r="G67" i="11"/>
  <c r="G68" i="11"/>
  <c r="H68" i="11" s="1"/>
  <c r="G74" i="11"/>
  <c r="G39" i="24" s="1"/>
  <c r="G75" i="11"/>
  <c r="G19" i="20"/>
  <c r="I19" i="20"/>
  <c r="K19" i="20"/>
  <c r="M19" i="20"/>
  <c r="O19" i="20"/>
  <c r="Q19" i="20"/>
  <c r="S19" i="20"/>
  <c r="F88" i="11"/>
  <c r="F91" i="11" s="1"/>
  <c r="G89" i="11"/>
  <c r="H89" i="11" s="1"/>
  <c r="I89" i="11" s="1"/>
  <c r="J89" i="11" s="1"/>
  <c r="K89" i="11" s="1"/>
  <c r="L89" i="11" s="1"/>
  <c r="G90" i="11"/>
  <c r="H90" i="11" s="1"/>
  <c r="I90" i="11" s="1"/>
  <c r="J90" i="11" s="1"/>
  <c r="K90" i="11" s="1"/>
  <c r="L90" i="11" s="1"/>
  <c r="F93" i="11"/>
  <c r="F96" i="11" s="1"/>
  <c r="G94" i="11"/>
  <c r="H94" i="11" s="1"/>
  <c r="I94" i="11" s="1"/>
  <c r="J94" i="11" s="1"/>
  <c r="K94" i="11" s="1"/>
  <c r="L94" i="11" s="1"/>
  <c r="G95" i="11"/>
  <c r="H95" i="11" s="1"/>
  <c r="I95" i="11" s="1"/>
  <c r="J95" i="11" s="1"/>
  <c r="K95" i="11" s="1"/>
  <c r="L95" i="11" s="1"/>
  <c r="F98" i="11"/>
  <c r="F101" i="11" s="1"/>
  <c r="G99" i="11"/>
  <c r="H99" i="11" s="1"/>
  <c r="I99" i="11" s="1"/>
  <c r="J99" i="11" s="1"/>
  <c r="K99" i="11" s="1"/>
  <c r="L99" i="11" s="1"/>
  <c r="G100" i="11"/>
  <c r="H100" i="11" s="1"/>
  <c r="I100" i="11" s="1"/>
  <c r="J100" i="11" s="1"/>
  <c r="K100" i="11" s="1"/>
  <c r="L100" i="11" s="1"/>
  <c r="F103" i="11"/>
  <c r="F106" i="11" s="1"/>
  <c r="G104" i="11"/>
  <c r="H104" i="11" s="1"/>
  <c r="I104" i="11" s="1"/>
  <c r="J104" i="11" s="1"/>
  <c r="K104" i="11" s="1"/>
  <c r="L104" i="11" s="1"/>
  <c r="G105" i="11"/>
  <c r="H105" i="11" s="1"/>
  <c r="I105" i="11" s="1"/>
  <c r="J105" i="11" s="1"/>
  <c r="K105" i="11" s="1"/>
  <c r="L105" i="11" s="1"/>
  <c r="F108" i="11"/>
  <c r="F107" i="11" s="1"/>
  <c r="G108" i="11" s="1"/>
  <c r="G107" i="11" s="1"/>
  <c r="H108" i="11" s="1"/>
  <c r="G109" i="11"/>
  <c r="H109" i="11" s="1"/>
  <c r="I109" i="11" s="1"/>
  <c r="J109" i="11" s="1"/>
  <c r="K109" i="11" s="1"/>
  <c r="L109" i="11" s="1"/>
  <c r="G110" i="11"/>
  <c r="H110" i="11" s="1"/>
  <c r="I110" i="11" s="1"/>
  <c r="J110" i="11" s="1"/>
  <c r="K110" i="11" s="1"/>
  <c r="L110" i="11" s="1"/>
  <c r="F113" i="11"/>
  <c r="F112" i="11" s="1"/>
  <c r="G113" i="11" s="1"/>
  <c r="G116" i="11" s="1"/>
  <c r="G114" i="11"/>
  <c r="G115" i="11"/>
  <c r="H115" i="11" s="1"/>
  <c r="I115" i="11" s="1"/>
  <c r="J115" i="11" s="1"/>
  <c r="K115" i="11" s="1"/>
  <c r="L115" i="11" s="1"/>
  <c r="G118" i="11"/>
  <c r="G52" i="24" s="1"/>
  <c r="G123" i="11"/>
  <c r="H123" i="11" s="1"/>
  <c r="G128" i="11"/>
  <c r="H128" i="11" s="1"/>
  <c r="I128" i="11" s="1"/>
  <c r="G133" i="11"/>
  <c r="G135" i="11" s="1"/>
  <c r="G75" i="24" s="1"/>
  <c r="G138" i="11"/>
  <c r="G80" i="24" s="1"/>
  <c r="G8" i="20"/>
  <c r="I8" i="20" s="1"/>
  <c r="K8" i="20" s="1"/>
  <c r="M8" i="20" s="1"/>
  <c r="O8" i="20" s="1"/>
  <c r="Q8" i="20" s="1"/>
  <c r="S8" i="20" s="1"/>
  <c r="G10" i="20"/>
  <c r="I10" i="20"/>
  <c r="K10" i="20"/>
  <c r="M10" i="20"/>
  <c r="O10" i="20"/>
  <c r="Q10" i="20"/>
  <c r="S10" i="20"/>
  <c r="G11" i="20"/>
  <c r="I11" i="20"/>
  <c r="K11" i="20"/>
  <c r="M11" i="20"/>
  <c r="O11" i="20"/>
  <c r="Q11" i="20"/>
  <c r="S11" i="20"/>
  <c r="G12" i="20"/>
  <c r="I12" i="20"/>
  <c r="K12" i="20"/>
  <c r="M12" i="20"/>
  <c r="O12" i="20"/>
  <c r="Q12" i="20"/>
  <c r="S12" i="20"/>
  <c r="G13" i="20"/>
  <c r="I13" i="20"/>
  <c r="K13" i="20"/>
  <c r="M13" i="20"/>
  <c r="O13" i="20"/>
  <c r="Q13" i="20"/>
  <c r="S13" i="20"/>
  <c r="E15" i="20"/>
  <c r="E17" i="20"/>
  <c r="G17" i="20" s="1"/>
  <c r="I17" i="20" s="1"/>
  <c r="K17" i="20" s="1"/>
  <c r="M17" i="20" s="1"/>
  <c r="O17" i="20" s="1"/>
  <c r="Q17" i="20" s="1"/>
  <c r="S17" i="20" s="1"/>
  <c r="G18" i="20"/>
  <c r="I18" i="20"/>
  <c r="K18" i="20"/>
  <c r="M18" i="20"/>
  <c r="O18" i="20"/>
  <c r="Q18" i="20"/>
  <c r="S18" i="20"/>
  <c r="E25" i="20"/>
  <c r="G25" i="20" s="1"/>
  <c r="I25" i="20" s="1"/>
  <c r="K25" i="20" s="1"/>
  <c r="M25" i="20" s="1"/>
  <c r="O25" i="20" s="1"/>
  <c r="Q25" i="20" s="1"/>
  <c r="S25" i="20" s="1"/>
  <c r="I28" i="20"/>
  <c r="D5" i="22"/>
  <c r="G31" i="20"/>
  <c r="I31" i="20" s="1"/>
  <c r="K31" i="20" s="1"/>
  <c r="I32" i="20"/>
  <c r="K32" i="20" s="1"/>
  <c r="M32" i="20" s="1"/>
  <c r="O32" i="20" s="1"/>
  <c r="Q32" i="20" s="1"/>
  <c r="S32" i="20" s="1"/>
  <c r="G33" i="20"/>
  <c r="I33" i="20" s="1"/>
  <c r="K33" i="20" s="1"/>
  <c r="M33" i="20" s="1"/>
  <c r="O33" i="20" s="1"/>
  <c r="Q33" i="20" s="1"/>
  <c r="S33" i="20" s="1"/>
  <c r="G34" i="20"/>
  <c r="I34" i="20" s="1"/>
  <c r="M34" i="20" s="1"/>
  <c r="O34" i="20" s="1"/>
  <c r="Q34" i="20" s="1"/>
  <c r="S34" i="20" s="1"/>
  <c r="I38" i="20"/>
  <c r="K38" i="20" s="1"/>
  <c r="M38" i="20" s="1"/>
  <c r="O38" i="20" s="1"/>
  <c r="Q38" i="20" s="1"/>
  <c r="S38" i="20" s="1"/>
  <c r="B51" i="20"/>
  <c r="E51" i="20"/>
  <c r="J51" i="20"/>
  <c r="M51" i="20"/>
  <c r="H67" i="23"/>
  <c r="I29" i="20"/>
  <c r="H76" i="24"/>
  <c r="H136" i="11" s="1"/>
  <c r="L62" i="24"/>
  <c r="L126" i="11" s="1"/>
  <c r="F62" i="24"/>
  <c r="F126" i="11" s="1"/>
  <c r="L60" i="24"/>
  <c r="L124" i="11" s="1"/>
  <c r="G60" i="24"/>
  <c r="G124" i="11" s="1"/>
  <c r="K60" i="24"/>
  <c r="K124" i="11" s="1"/>
  <c r="H62" i="24"/>
  <c r="H126" i="11" s="1"/>
  <c r="K62" i="24"/>
  <c r="K126" i="11" s="1"/>
  <c r="F60" i="24"/>
  <c r="F124" i="11" s="1"/>
  <c r="F122" i="11" s="1"/>
  <c r="J60" i="24"/>
  <c r="J124" i="11" s="1"/>
  <c r="J62" i="24"/>
  <c r="J126" i="11" s="1"/>
  <c r="I60" i="24"/>
  <c r="I124" i="11" s="1"/>
  <c r="X41" i="1"/>
  <c r="Y41" i="1" s="1"/>
  <c r="Z41" i="1" s="1"/>
  <c r="AA41" i="1" s="1"/>
  <c r="G120" i="11"/>
  <c r="G54" i="24" s="1"/>
  <c r="G20" i="20"/>
  <c r="H61" i="11"/>
  <c r="I61" i="11" s="1"/>
  <c r="H60" i="11"/>
  <c r="H17" i="24" s="1"/>
  <c r="H67" i="1"/>
  <c r="J67" i="1" s="1"/>
  <c r="L67" i="1" s="1"/>
  <c r="N67" i="1" s="1"/>
  <c r="F45" i="1"/>
  <c r="F42" i="1" s="1"/>
  <c r="F12" i="1"/>
  <c r="J30" i="1"/>
  <c r="L30" i="1" s="1"/>
  <c r="X19" i="1"/>
  <c r="Y19" i="1" s="1"/>
  <c r="Z19" i="1" s="1"/>
  <c r="AA19" i="1" s="1"/>
  <c r="R24" i="1"/>
  <c r="X25" i="1"/>
  <c r="Y25" i="1" s="1"/>
  <c r="Z25" i="1" s="1"/>
  <c r="AA25" i="1" s="1"/>
  <c r="W74" i="1" l="1"/>
  <c r="H74" i="1"/>
  <c r="J74" i="1" s="1"/>
  <c r="W72" i="1"/>
  <c r="X72" i="1" s="1"/>
  <c r="Y72" i="1" s="1"/>
  <c r="Z72" i="1" s="1"/>
  <c r="AA72" i="1" s="1"/>
  <c r="H72" i="1"/>
  <c r="J72" i="1" s="1"/>
  <c r="L72" i="1" s="1"/>
  <c r="N72" i="1" s="1"/>
  <c r="P72" i="1" s="1"/>
  <c r="R72" i="1" s="1"/>
  <c r="W75" i="1"/>
  <c r="X75" i="1" s="1"/>
  <c r="Y75" i="1" s="1"/>
  <c r="Z75" i="1" s="1"/>
  <c r="AA75" i="1" s="1"/>
  <c r="H75" i="1"/>
  <c r="J75" i="1" s="1"/>
  <c r="L75" i="1" s="1"/>
  <c r="N75" i="1" s="1"/>
  <c r="P75" i="1" s="1"/>
  <c r="R75" i="1" s="1"/>
  <c r="W73" i="1"/>
  <c r="X73" i="1" s="1"/>
  <c r="Y73" i="1" s="1"/>
  <c r="Z73" i="1" s="1"/>
  <c r="AA73" i="1" s="1"/>
  <c r="H73" i="1"/>
  <c r="J73" i="1" s="1"/>
  <c r="L73" i="1" s="1"/>
  <c r="N73" i="1" s="1"/>
  <c r="P73" i="1" s="1"/>
  <c r="R73" i="1" s="1"/>
  <c r="W71" i="1"/>
  <c r="X71" i="1" s="1"/>
  <c r="Y71" i="1" s="1"/>
  <c r="Z71" i="1" s="1"/>
  <c r="AA71" i="1" s="1"/>
  <c r="H71" i="1"/>
  <c r="J71" i="1" s="1"/>
  <c r="L71" i="1" s="1"/>
  <c r="N71" i="1" s="1"/>
  <c r="P71" i="1" s="1"/>
  <c r="R71" i="1" s="1"/>
  <c r="W69" i="1"/>
  <c r="X69" i="1" s="1"/>
  <c r="Y69" i="1" s="1"/>
  <c r="Z69" i="1" s="1"/>
  <c r="AA69" i="1" s="1"/>
  <c r="H69" i="1"/>
  <c r="J69" i="1" s="1"/>
  <c r="L69" i="1" s="1"/>
  <c r="N69" i="1" s="1"/>
  <c r="P69" i="1" s="1"/>
  <c r="R69" i="1" s="1"/>
  <c r="L41" i="1"/>
  <c r="N41" i="1" s="1"/>
  <c r="P41" i="1" s="1"/>
  <c r="R41" i="1" s="1"/>
  <c r="X36" i="1"/>
  <c r="Y36" i="1" s="1"/>
  <c r="Z36" i="1" s="1"/>
  <c r="AA36" i="1" s="1"/>
  <c r="J36" i="1"/>
  <c r="L36" i="1" s="1"/>
  <c r="X34" i="1"/>
  <c r="Y34" i="1" s="1"/>
  <c r="Z34" i="1" s="1"/>
  <c r="AA34" i="1" s="1"/>
  <c r="J34" i="1"/>
  <c r="L34" i="1" s="1"/>
  <c r="N34" i="1" s="1"/>
  <c r="P34" i="1" s="1"/>
  <c r="R34" i="1" s="1"/>
  <c r="X31" i="1"/>
  <c r="Y31" i="1" s="1"/>
  <c r="Z31" i="1" s="1"/>
  <c r="AA31" i="1" s="1"/>
  <c r="J31" i="1"/>
  <c r="L31" i="1" s="1"/>
  <c r="N31" i="1" s="1"/>
  <c r="P31" i="1" s="1"/>
  <c r="R31" i="1" s="1"/>
  <c r="X28" i="1"/>
  <c r="Y28" i="1" s="1"/>
  <c r="Z28" i="1" s="1"/>
  <c r="AA28" i="1" s="1"/>
  <c r="J28" i="1"/>
  <c r="L28" i="1" s="1"/>
  <c r="N28" i="1" s="1"/>
  <c r="P28" i="1" s="1"/>
  <c r="R28" i="1" s="1"/>
  <c r="L25" i="1"/>
  <c r="N25" i="1" s="1"/>
  <c r="P25" i="1" s="1"/>
  <c r="R25" i="1" s="1"/>
  <c r="X22" i="1"/>
  <c r="Y22" i="1" s="1"/>
  <c r="Z22" i="1" s="1"/>
  <c r="AA22" i="1" s="1"/>
  <c r="J22" i="1"/>
  <c r="L22" i="1" s="1"/>
  <c r="N22" i="1" s="1"/>
  <c r="P22" i="1" s="1"/>
  <c r="R22" i="1" s="1"/>
  <c r="L19" i="1"/>
  <c r="N19" i="1" s="1"/>
  <c r="P19" i="1" s="1"/>
  <c r="R19" i="1" s="1"/>
  <c r="X57" i="1"/>
  <c r="Y57" i="1" s="1"/>
  <c r="Z57" i="1" s="1"/>
  <c r="AA57" i="1" s="1"/>
  <c r="J57" i="1"/>
  <c r="L57" i="1" s="1"/>
  <c r="N57" i="1" s="1"/>
  <c r="P57" i="1" s="1"/>
  <c r="R57" i="1" s="1"/>
  <c r="X47" i="1"/>
  <c r="Y47" i="1" s="1"/>
  <c r="Z47" i="1" s="1"/>
  <c r="AA47" i="1" s="1"/>
  <c r="J47" i="1"/>
  <c r="D15" i="25"/>
  <c r="C15" i="25"/>
  <c r="D87" i="1"/>
  <c r="N79" i="1"/>
  <c r="G28" i="24"/>
  <c r="H67" i="11"/>
  <c r="H28" i="24" s="1"/>
  <c r="H43" i="11"/>
  <c r="I43" i="11" s="1"/>
  <c r="J43" i="11" s="1"/>
  <c r="K43" i="11" s="1"/>
  <c r="L43" i="11" s="1"/>
  <c r="H42" i="11"/>
  <c r="I42" i="11" s="1"/>
  <c r="J42" i="11" s="1"/>
  <c r="K42" i="11" s="1"/>
  <c r="L42" i="11" s="1"/>
  <c r="I49" i="11"/>
  <c r="J49" i="11" s="1"/>
  <c r="K49" i="11" s="1"/>
  <c r="L49" i="11" s="1"/>
  <c r="I48" i="11"/>
  <c r="J48" i="11" s="1"/>
  <c r="K48" i="11" s="1"/>
  <c r="L48" i="11" s="1"/>
  <c r="J37" i="1"/>
  <c r="H35" i="1"/>
  <c r="H45" i="1" s="1"/>
  <c r="P70" i="1"/>
  <c r="R70" i="1" s="1"/>
  <c r="P67" i="1"/>
  <c r="R67" i="1" s="1"/>
  <c r="N65" i="1"/>
  <c r="N27" i="1"/>
  <c r="L26" i="1"/>
  <c r="X11" i="1"/>
  <c r="Y11" i="1" s="1"/>
  <c r="Z11" i="1" s="1"/>
  <c r="AA11" i="1" s="1"/>
  <c r="J11" i="1"/>
  <c r="K41" i="26"/>
  <c r="J4" i="22" s="1"/>
  <c r="D74" i="26"/>
  <c r="C6" i="22" s="1"/>
  <c r="I41" i="26"/>
  <c r="H4" i="22" s="1"/>
  <c r="J41" i="26"/>
  <c r="I4" i="22" s="1"/>
  <c r="G41" i="26"/>
  <c r="F4" i="22" s="1"/>
  <c r="H41" i="26"/>
  <c r="G4" i="22" s="1"/>
  <c r="E41" i="26"/>
  <c r="D4" i="22" s="1"/>
  <c r="F41" i="26"/>
  <c r="E4" i="22" s="1"/>
  <c r="D7" i="22"/>
  <c r="E7" i="22"/>
  <c r="J67" i="24"/>
  <c r="J129" i="11" s="1"/>
  <c r="F33" i="24"/>
  <c r="F34" i="24" s="1"/>
  <c r="F9" i="24"/>
  <c r="F8" i="24" s="1"/>
  <c r="F55" i="11" s="1"/>
  <c r="F116" i="11"/>
  <c r="F102" i="11"/>
  <c r="G103" i="11" s="1"/>
  <c r="G102" i="11" s="1"/>
  <c r="H103" i="11" s="1"/>
  <c r="H106" i="11" s="1"/>
  <c r="F92" i="11"/>
  <c r="G93" i="11" s="1"/>
  <c r="H16" i="24"/>
  <c r="I30" i="11"/>
  <c r="J30" i="11" s="1"/>
  <c r="K30" i="11" s="1"/>
  <c r="L30" i="11" s="1"/>
  <c r="E15" i="25"/>
  <c r="P17" i="25"/>
  <c r="M17" i="25"/>
  <c r="O9" i="20"/>
  <c r="O15" i="20" s="1"/>
  <c r="F6" i="11"/>
  <c r="E7" i="26" s="1"/>
  <c r="E44" i="26" s="1"/>
  <c r="D7" i="26"/>
  <c r="D44" i="26" s="1"/>
  <c r="K28" i="20"/>
  <c r="I27" i="20"/>
  <c r="P40" i="1"/>
  <c r="R40" i="1" s="1"/>
  <c r="F16" i="1"/>
  <c r="F65" i="1"/>
  <c r="H12" i="1"/>
  <c r="J12" i="1"/>
  <c r="G29" i="11"/>
  <c r="G32" i="11" s="1"/>
  <c r="F53" i="24"/>
  <c r="F119" i="11" s="1"/>
  <c r="F117" i="11" s="1"/>
  <c r="F55" i="24"/>
  <c r="F121" i="11" s="1"/>
  <c r="G55" i="24"/>
  <c r="G121" i="11" s="1"/>
  <c r="G21" i="20"/>
  <c r="G22" i="20" s="1"/>
  <c r="M9" i="20"/>
  <c r="M15" i="20" s="1"/>
  <c r="F68" i="1"/>
  <c r="H54" i="11"/>
  <c r="I54" i="11" s="1"/>
  <c r="J54" i="11" s="1"/>
  <c r="G66" i="24"/>
  <c r="W76" i="1"/>
  <c r="X76" i="1" s="1"/>
  <c r="Y76" i="1" s="1"/>
  <c r="Z76" i="1" s="1"/>
  <c r="AA76" i="1" s="1"/>
  <c r="G21" i="24"/>
  <c r="G43" i="24"/>
  <c r="H43" i="24" s="1"/>
  <c r="I43" i="24" s="1"/>
  <c r="J43" i="24" s="1"/>
  <c r="K43" i="24" s="1"/>
  <c r="H118" i="11"/>
  <c r="F97" i="11"/>
  <c r="G98" i="11" s="1"/>
  <c r="G101" i="11" s="1"/>
  <c r="F44" i="24"/>
  <c r="H107" i="11"/>
  <c r="I108" i="11" s="1"/>
  <c r="I107" i="11" s="1"/>
  <c r="J108" i="11" s="1"/>
  <c r="J111" i="11" s="1"/>
  <c r="K9" i="20"/>
  <c r="K15" i="20" s="1"/>
  <c r="K67" i="24"/>
  <c r="K129" i="11" s="1"/>
  <c r="I67" i="11"/>
  <c r="J67" i="11" s="1"/>
  <c r="I60" i="11"/>
  <c r="J60" i="11" s="1"/>
  <c r="K60" i="11" s="1"/>
  <c r="F74" i="24"/>
  <c r="F134" i="11" s="1"/>
  <c r="F132" i="11" s="1"/>
  <c r="G9" i="20"/>
  <c r="G15" i="20" s="1"/>
  <c r="I74" i="24"/>
  <c r="I134" i="11" s="1"/>
  <c r="G76" i="24"/>
  <c r="G136" i="11" s="1"/>
  <c r="L67" i="24"/>
  <c r="L129" i="11" s="1"/>
  <c r="I67" i="24"/>
  <c r="I129" i="11" s="1"/>
  <c r="S9" i="20"/>
  <c r="S15" i="20" s="1"/>
  <c r="F111" i="11"/>
  <c r="F67" i="24"/>
  <c r="F129" i="11" s="1"/>
  <c r="F127" i="11" s="1"/>
  <c r="G127" i="11" s="1"/>
  <c r="H138" i="11"/>
  <c r="G82" i="11"/>
  <c r="I20" i="20" s="1"/>
  <c r="G39" i="11"/>
  <c r="H35" i="11" s="1"/>
  <c r="H69" i="24"/>
  <c r="H131" i="11" s="1"/>
  <c r="I69" i="24"/>
  <c r="I131" i="11" s="1"/>
  <c r="J69" i="24"/>
  <c r="J131" i="11" s="1"/>
  <c r="H67" i="24"/>
  <c r="H129" i="11" s="1"/>
  <c r="L33" i="1"/>
  <c r="J10" i="1"/>
  <c r="L10" i="1" s="1"/>
  <c r="N10" i="1" s="1"/>
  <c r="Q17" i="25"/>
  <c r="L69" i="24"/>
  <c r="L131" i="11" s="1"/>
  <c r="J74" i="24"/>
  <c r="J134" i="11" s="1"/>
  <c r="L74" i="24"/>
  <c r="L134" i="11" s="1"/>
  <c r="G74" i="24"/>
  <c r="G134" i="11" s="1"/>
  <c r="F83" i="24"/>
  <c r="F141" i="11" s="1"/>
  <c r="G73" i="24"/>
  <c r="H32" i="1"/>
  <c r="L76" i="24"/>
  <c r="L136" i="11" s="1"/>
  <c r="L23" i="1"/>
  <c r="F77" i="1"/>
  <c r="G38" i="11"/>
  <c r="K69" i="24"/>
  <c r="K131" i="11" s="1"/>
  <c r="G69" i="24"/>
  <c r="G131" i="11" s="1"/>
  <c r="F69" i="24"/>
  <c r="F131" i="11" s="1"/>
  <c r="I76" i="24"/>
  <c r="I136" i="11" s="1"/>
  <c r="G140" i="11"/>
  <c r="G82" i="24" s="1"/>
  <c r="H17" i="1"/>
  <c r="G111" i="11"/>
  <c r="G27" i="24"/>
  <c r="H111" i="11"/>
  <c r="H114" i="11"/>
  <c r="I114" i="11" s="1"/>
  <c r="J114" i="11" s="1"/>
  <c r="K114" i="11" s="1"/>
  <c r="L114" i="11" s="1"/>
  <c r="G112" i="11"/>
  <c r="H113" i="11" s="1"/>
  <c r="H116" i="11" s="1"/>
  <c r="J29" i="1"/>
  <c r="E5" i="22"/>
  <c r="K29" i="20"/>
  <c r="I130" i="11"/>
  <c r="I68" i="24" s="1"/>
  <c r="J128" i="11"/>
  <c r="I66" i="24"/>
  <c r="F56" i="1"/>
  <c r="H102" i="11"/>
  <c r="I103" i="11" s="1"/>
  <c r="I102" i="11" s="1"/>
  <c r="J103" i="11" s="1"/>
  <c r="J106" i="11" s="1"/>
  <c r="P27" i="1"/>
  <c r="R27" i="1" s="1"/>
  <c r="Q9" i="20"/>
  <c r="Q15" i="20" s="1"/>
  <c r="G44" i="11"/>
  <c r="G45" i="11"/>
  <c r="H41" i="11" s="1"/>
  <c r="H45" i="11" s="1"/>
  <c r="I41" i="11" s="1"/>
  <c r="G40" i="20"/>
  <c r="F8" i="11"/>
  <c r="G9" i="11" s="1"/>
  <c r="G13" i="11" s="1"/>
  <c r="L38" i="1"/>
  <c r="N38" i="1" s="1"/>
  <c r="P38" i="1" s="1"/>
  <c r="R38" i="1" s="1"/>
  <c r="X74" i="1"/>
  <c r="Y74" i="1" s="1"/>
  <c r="Z74" i="1" s="1"/>
  <c r="AA74" i="1" s="1"/>
  <c r="I9" i="20"/>
  <c r="I15" i="20" s="1"/>
  <c r="K76" i="24"/>
  <c r="K136" i="11" s="1"/>
  <c r="F81" i="24"/>
  <c r="F87" i="11"/>
  <c r="G88" i="11" s="1"/>
  <c r="G87" i="11" s="1"/>
  <c r="H133" i="11"/>
  <c r="H53" i="11"/>
  <c r="D5" i="1"/>
  <c r="G32" i="24"/>
  <c r="H32" i="24" s="1"/>
  <c r="R16" i="25"/>
  <c r="I62" i="24"/>
  <c r="I126" i="11" s="1"/>
  <c r="G59" i="24"/>
  <c r="K74" i="24"/>
  <c r="K134" i="11" s="1"/>
  <c r="J76" i="24"/>
  <c r="J136" i="11" s="1"/>
  <c r="H74" i="24"/>
  <c r="H134" i="11" s="1"/>
  <c r="D8" i="1"/>
  <c r="F48" i="1"/>
  <c r="L19" i="25"/>
  <c r="P18" i="25"/>
  <c r="L46" i="1"/>
  <c r="N46" i="1" s="1"/>
  <c r="P46" i="1" s="1"/>
  <c r="R46" i="1" s="1"/>
  <c r="N30" i="1"/>
  <c r="J65" i="1"/>
  <c r="J77" i="1"/>
  <c r="L80" i="1"/>
  <c r="L77" i="1" s="1"/>
  <c r="H125" i="11"/>
  <c r="H61" i="24" s="1"/>
  <c r="H59" i="24"/>
  <c r="I123" i="11"/>
  <c r="H65" i="1"/>
  <c r="H77" i="1"/>
  <c r="J61" i="11"/>
  <c r="I16" i="24"/>
  <c r="G122" i="11"/>
  <c r="H122" i="11" s="1"/>
  <c r="I122" i="11" s="1"/>
  <c r="J122" i="11" s="1"/>
  <c r="K122" i="11" s="1"/>
  <c r="L122" i="11" s="1"/>
  <c r="J23" i="1"/>
  <c r="G10" i="24"/>
  <c r="F11" i="24"/>
  <c r="F9" i="1"/>
  <c r="F7" i="22"/>
  <c r="M31" i="20"/>
  <c r="J37" i="11"/>
  <c r="H18" i="11"/>
  <c r="I18" i="11" s="1"/>
  <c r="J18" i="11" s="1"/>
  <c r="K18" i="11" s="1"/>
  <c r="L18" i="11" s="1"/>
  <c r="G19" i="11"/>
  <c r="G14" i="11" s="1"/>
  <c r="H15" i="11" s="1"/>
  <c r="G51" i="11"/>
  <c r="G50" i="11"/>
  <c r="F22" i="24"/>
  <c r="H82" i="11"/>
  <c r="K20" i="20" s="1"/>
  <c r="I23" i="11"/>
  <c r="H130" i="11"/>
  <c r="H68" i="24" s="1"/>
  <c r="H66" i="24"/>
  <c r="G97" i="11"/>
  <c r="H98" i="11" s="1"/>
  <c r="G38" i="24"/>
  <c r="H75" i="11"/>
  <c r="I75" i="11" s="1"/>
  <c r="G130" i="11"/>
  <c r="G68" i="24" s="1"/>
  <c r="G125" i="11"/>
  <c r="G61" i="24" s="1"/>
  <c r="H74" i="11"/>
  <c r="I74" i="11" s="1"/>
  <c r="L74" i="1" l="1"/>
  <c r="N74" i="1" s="1"/>
  <c r="P74" i="1" s="1"/>
  <c r="R74" i="1" s="1"/>
  <c r="J76" i="1"/>
  <c r="L76" i="1" s="1"/>
  <c r="N76" i="1" s="1"/>
  <c r="P76" i="1" s="1"/>
  <c r="R76" i="1" s="1"/>
  <c r="N68" i="1"/>
  <c r="N56" i="1"/>
  <c r="L47" i="1"/>
  <c r="N47" i="1" s="1"/>
  <c r="P47" i="1" s="1"/>
  <c r="R47" i="1" s="1"/>
  <c r="N36" i="1"/>
  <c r="P36" i="1" s="1"/>
  <c r="R36" i="1" s="1"/>
  <c r="L29" i="1"/>
  <c r="R17" i="25"/>
  <c r="M18" i="25"/>
  <c r="Q18" i="25" s="1"/>
  <c r="R18" i="25" s="1"/>
  <c r="E75" i="1"/>
  <c r="E76" i="1"/>
  <c r="E15" i="1"/>
  <c r="E74" i="1"/>
  <c r="E50" i="1"/>
  <c r="E51" i="1"/>
  <c r="P79" i="1"/>
  <c r="R79" i="1" s="1"/>
  <c r="I28" i="24"/>
  <c r="L37" i="1"/>
  <c r="J35" i="1"/>
  <c r="J43" i="1" s="1"/>
  <c r="N33" i="1"/>
  <c r="P33" i="1" s="1"/>
  <c r="R33" i="1" s="1"/>
  <c r="L32" i="1"/>
  <c r="L11" i="1"/>
  <c r="N11" i="1" s="1"/>
  <c r="P11" i="1" s="1"/>
  <c r="R11" i="1" s="1"/>
  <c r="G6" i="11"/>
  <c r="F7" i="26" s="1"/>
  <c r="F44" i="26" s="1"/>
  <c r="F8" i="1"/>
  <c r="D3" i="22" s="1"/>
  <c r="F3" i="24"/>
  <c r="F50" i="24" s="1"/>
  <c r="H43" i="1"/>
  <c r="H42" i="1" s="1"/>
  <c r="H48" i="1" s="1"/>
  <c r="F45" i="24"/>
  <c r="F77" i="11" s="1"/>
  <c r="I5" i="24"/>
  <c r="H21" i="24"/>
  <c r="I21" i="24" s="1"/>
  <c r="J21" i="24" s="1"/>
  <c r="K21" i="24" s="1"/>
  <c r="L21" i="24" s="1"/>
  <c r="J17" i="24"/>
  <c r="G106" i="11"/>
  <c r="J107" i="11"/>
  <c r="K108" i="11" s="1"/>
  <c r="I111" i="11"/>
  <c r="G96" i="11"/>
  <c r="G92" i="11"/>
  <c r="H93" i="11" s="1"/>
  <c r="K26" i="20"/>
  <c r="O26" i="20"/>
  <c r="S26" i="20"/>
  <c r="M28" i="20"/>
  <c r="K27" i="20"/>
  <c r="D76" i="26"/>
  <c r="E30" i="20"/>
  <c r="E35" i="20" s="1"/>
  <c r="Q26" i="20"/>
  <c r="M26" i="20"/>
  <c r="I26" i="20"/>
  <c r="G26" i="20"/>
  <c r="H68" i="1"/>
  <c r="G33" i="11"/>
  <c r="H29" i="11" s="1"/>
  <c r="H33" i="11" s="1"/>
  <c r="I29" i="11" s="1"/>
  <c r="G91" i="11"/>
  <c r="G53" i="24"/>
  <c r="G119" i="11" s="1"/>
  <c r="G117" i="11" s="1"/>
  <c r="H5" i="24"/>
  <c r="F139" i="11"/>
  <c r="F137" i="11" s="1"/>
  <c r="G81" i="24"/>
  <c r="G83" i="24"/>
  <c r="G141" i="11" s="1"/>
  <c r="G8" i="11"/>
  <c r="H9" i="11" s="1"/>
  <c r="H13" i="11" s="1"/>
  <c r="H8" i="11" s="1"/>
  <c r="I9" i="11" s="1"/>
  <c r="M19" i="25"/>
  <c r="Q19" i="25" s="1"/>
  <c r="I118" i="11"/>
  <c r="H52" i="24"/>
  <c r="H120" i="11"/>
  <c r="H54" i="24" s="1"/>
  <c r="G83" i="11"/>
  <c r="I21" i="20" s="1"/>
  <c r="I22" i="20" s="1"/>
  <c r="J68" i="1"/>
  <c r="I17" i="24"/>
  <c r="H9" i="1"/>
  <c r="H127" i="11"/>
  <c r="I127" i="11" s="1"/>
  <c r="J127" i="11" s="1"/>
  <c r="K127" i="11" s="1"/>
  <c r="L127" i="11" s="1"/>
  <c r="J5" i="24"/>
  <c r="K54" i="11"/>
  <c r="H44" i="11"/>
  <c r="J26" i="1"/>
  <c r="J32" i="1"/>
  <c r="G132" i="11"/>
  <c r="H132" i="11" s="1"/>
  <c r="I132" i="11" s="1"/>
  <c r="J132" i="11" s="1"/>
  <c r="K132" i="11" s="1"/>
  <c r="L132" i="11" s="1"/>
  <c r="F35" i="24"/>
  <c r="F71" i="11" s="1"/>
  <c r="F70" i="11"/>
  <c r="H38" i="11"/>
  <c r="H39" i="11"/>
  <c r="I35" i="11" s="1"/>
  <c r="H80" i="24"/>
  <c r="H140" i="11"/>
  <c r="H82" i="24" s="1"/>
  <c r="I138" i="11"/>
  <c r="H61" i="1"/>
  <c r="I106" i="11"/>
  <c r="H112" i="11"/>
  <c r="I113" i="11" s="1"/>
  <c r="I112" i="11" s="1"/>
  <c r="J113" i="11" s="1"/>
  <c r="K67" i="11"/>
  <c r="J28" i="24"/>
  <c r="H56" i="1"/>
  <c r="N32" i="1"/>
  <c r="L60" i="11"/>
  <c r="L17" i="24" s="1"/>
  <c r="K17" i="24"/>
  <c r="I68" i="11"/>
  <c r="H27" i="24"/>
  <c r="J130" i="11"/>
  <c r="J68" i="24" s="1"/>
  <c r="J66" i="24"/>
  <c r="K128" i="11"/>
  <c r="H73" i="24"/>
  <c r="H135" i="11"/>
  <c r="H75" i="24" s="1"/>
  <c r="I133" i="11"/>
  <c r="J102" i="11"/>
  <c r="K103" i="11" s="1"/>
  <c r="K102" i="11" s="1"/>
  <c r="L103" i="11" s="1"/>
  <c r="H6" i="24"/>
  <c r="I53" i="11"/>
  <c r="F5" i="22"/>
  <c r="M29" i="20"/>
  <c r="C3" i="22"/>
  <c r="L20" i="25"/>
  <c r="P19" i="25"/>
  <c r="U46" i="1"/>
  <c r="U68" i="1"/>
  <c r="L65" i="1"/>
  <c r="H97" i="11"/>
  <c r="I98" i="11" s="1"/>
  <c r="H101" i="11"/>
  <c r="G7" i="22"/>
  <c r="O31" i="20"/>
  <c r="K111" i="11"/>
  <c r="K107" i="11"/>
  <c r="L108" i="11" s="1"/>
  <c r="N29" i="1"/>
  <c r="P30" i="1"/>
  <c r="H38" i="24"/>
  <c r="H39" i="24"/>
  <c r="H47" i="11"/>
  <c r="F12" i="24"/>
  <c r="J17" i="1"/>
  <c r="H10" i="24"/>
  <c r="N23" i="1"/>
  <c r="H83" i="11"/>
  <c r="K21" i="20" s="1"/>
  <c r="K22" i="20" s="1"/>
  <c r="H88" i="11"/>
  <c r="R32" i="1"/>
  <c r="P10" i="1"/>
  <c r="L68" i="1"/>
  <c r="I32" i="24"/>
  <c r="H19" i="11"/>
  <c r="H14" i="11" s="1"/>
  <c r="I15" i="11" s="1"/>
  <c r="J23" i="11"/>
  <c r="I82" i="11"/>
  <c r="I40" i="20"/>
  <c r="L43" i="24"/>
  <c r="P32" i="1"/>
  <c r="N80" i="1"/>
  <c r="N77" i="1" s="1"/>
  <c r="F23" i="24"/>
  <c r="K37" i="11"/>
  <c r="J16" i="24"/>
  <c r="K61" i="11"/>
  <c r="I45" i="11"/>
  <c r="J41" i="11" s="1"/>
  <c r="I44" i="11"/>
  <c r="I59" i="24"/>
  <c r="J123" i="11"/>
  <c r="I125" i="11"/>
  <c r="I61" i="24" s="1"/>
  <c r="E55" i="1"/>
  <c r="E26" i="1"/>
  <c r="E68" i="1"/>
  <c r="E61" i="1"/>
  <c r="E36" i="20"/>
  <c r="E56" i="1"/>
  <c r="C12" i="22"/>
  <c r="E59" i="1"/>
  <c r="E9" i="1"/>
  <c r="E29" i="1"/>
  <c r="E12" i="1"/>
  <c r="E16" i="1"/>
  <c r="E77" i="1"/>
  <c r="E35" i="1"/>
  <c r="E49" i="1"/>
  <c r="E42" i="1"/>
  <c r="E60" i="1"/>
  <c r="E32" i="1"/>
  <c r="E65" i="1"/>
  <c r="N9" i="1" l="1"/>
  <c r="U21" i="1"/>
  <c r="U30" i="1"/>
  <c r="U27" i="1"/>
  <c r="U10" i="1"/>
  <c r="U24" i="1"/>
  <c r="U51" i="1"/>
  <c r="F87" i="1" s="1"/>
  <c r="G76" i="1" s="1"/>
  <c r="U48" i="1"/>
  <c r="H8" i="1"/>
  <c r="V18" i="1" s="1"/>
  <c r="H6" i="11"/>
  <c r="G7" i="26" s="1"/>
  <c r="G44" i="26" s="1"/>
  <c r="F46" i="24"/>
  <c r="F36" i="24"/>
  <c r="N37" i="1"/>
  <c r="L35" i="1"/>
  <c r="J9" i="1"/>
  <c r="C10" i="22"/>
  <c r="G3" i="24"/>
  <c r="G50" i="24" s="1"/>
  <c r="U13" i="1"/>
  <c r="U61" i="1"/>
  <c r="U33" i="1"/>
  <c r="U65" i="1"/>
  <c r="U40" i="1"/>
  <c r="U56" i="1"/>
  <c r="U35" i="1"/>
  <c r="U18" i="1"/>
  <c r="L9" i="1"/>
  <c r="I116" i="11"/>
  <c r="H96" i="11"/>
  <c r="H92" i="11"/>
  <c r="I93" i="11" s="1"/>
  <c r="M20" i="25"/>
  <c r="Q20" i="25" s="1"/>
  <c r="J45" i="1"/>
  <c r="J42" i="1" s="1"/>
  <c r="J48" i="1" s="1"/>
  <c r="O28" i="20"/>
  <c r="M27" i="20"/>
  <c r="H32" i="11"/>
  <c r="F142" i="11"/>
  <c r="H81" i="24"/>
  <c r="H83" i="24"/>
  <c r="H141" i="11" s="1"/>
  <c r="G139" i="11"/>
  <c r="G137" i="11" s="1"/>
  <c r="H53" i="24"/>
  <c r="H55" i="24"/>
  <c r="H121" i="11" s="1"/>
  <c r="L22" i="24"/>
  <c r="L25" i="24" s="1"/>
  <c r="L65" i="11" s="1"/>
  <c r="J22" i="24"/>
  <c r="J25" i="24" s="1"/>
  <c r="L54" i="11"/>
  <c r="L5" i="24" s="1"/>
  <c r="K5" i="24"/>
  <c r="I120" i="11"/>
  <c r="I54" i="24" s="1"/>
  <c r="J118" i="11"/>
  <c r="I52" i="24"/>
  <c r="K22" i="24"/>
  <c r="K25" i="24" s="1"/>
  <c r="K106" i="11"/>
  <c r="I80" i="24"/>
  <c r="I140" i="11"/>
  <c r="I82" i="24" s="1"/>
  <c r="J138" i="11"/>
  <c r="J61" i="1"/>
  <c r="I39" i="11"/>
  <c r="J35" i="11" s="1"/>
  <c r="I38" i="11"/>
  <c r="J56" i="1"/>
  <c r="N26" i="1"/>
  <c r="I135" i="11"/>
  <c r="I75" i="24" s="1"/>
  <c r="I73" i="24"/>
  <c r="J133" i="11"/>
  <c r="J68" i="11"/>
  <c r="I27" i="24"/>
  <c r="J53" i="11"/>
  <c r="I6" i="24"/>
  <c r="R19" i="25"/>
  <c r="O29" i="20"/>
  <c r="G5" i="22"/>
  <c r="L128" i="11"/>
  <c r="K130" i="11"/>
  <c r="K68" i="24" s="1"/>
  <c r="K66" i="24"/>
  <c r="L67" i="11"/>
  <c r="L28" i="24" s="1"/>
  <c r="K28" i="24"/>
  <c r="L21" i="25"/>
  <c r="P20" i="25"/>
  <c r="I19" i="11"/>
  <c r="I14" i="11" s="1"/>
  <c r="J15" i="11" s="1"/>
  <c r="R30" i="1"/>
  <c r="R29" i="1" s="1"/>
  <c r="P29" i="1"/>
  <c r="M20" i="20"/>
  <c r="I83" i="11"/>
  <c r="M21" i="20" s="1"/>
  <c r="L111" i="11"/>
  <c r="L107" i="11"/>
  <c r="I101" i="11"/>
  <c r="I97" i="11"/>
  <c r="J98" i="11" s="1"/>
  <c r="I13" i="11"/>
  <c r="J45" i="11"/>
  <c r="K41" i="11" s="1"/>
  <c r="J44" i="11"/>
  <c r="R10" i="1"/>
  <c r="R9" i="1" s="1"/>
  <c r="P9" i="1"/>
  <c r="L61" i="11"/>
  <c r="L16" i="24" s="1"/>
  <c r="K16" i="24"/>
  <c r="F63" i="11"/>
  <c r="F24" i="24"/>
  <c r="P80" i="1"/>
  <c r="J51" i="1"/>
  <c r="I32" i="11"/>
  <c r="I33" i="11"/>
  <c r="J82" i="11"/>
  <c r="K23" i="11"/>
  <c r="J32" i="24"/>
  <c r="R23" i="1"/>
  <c r="P23" i="1"/>
  <c r="J75" i="11"/>
  <c r="I38" i="24"/>
  <c r="K40" i="20"/>
  <c r="L17" i="1"/>
  <c r="H87" i="11"/>
  <c r="H91" i="11"/>
  <c r="H51" i="11"/>
  <c r="H50" i="11"/>
  <c r="L106" i="11"/>
  <c r="L102" i="11"/>
  <c r="L37" i="11"/>
  <c r="I39" i="24"/>
  <c r="J74" i="11"/>
  <c r="K123" i="11"/>
  <c r="J59" i="24"/>
  <c r="J125" i="11"/>
  <c r="J61" i="24" s="1"/>
  <c r="J112" i="11"/>
  <c r="K113" i="11" s="1"/>
  <c r="J116" i="11"/>
  <c r="H7" i="22"/>
  <c r="Q31" i="20"/>
  <c r="I10" i="24"/>
  <c r="F13" i="24"/>
  <c r="F56" i="11"/>
  <c r="F33" i="20"/>
  <c r="F37" i="20"/>
  <c r="F34" i="20"/>
  <c r="F26" i="20"/>
  <c r="F40" i="20"/>
  <c r="E41" i="20"/>
  <c r="C11" i="22" s="1"/>
  <c r="F30" i="20"/>
  <c r="F38" i="20"/>
  <c r="F27" i="20"/>
  <c r="E39" i="20"/>
  <c r="C14" i="22" s="1"/>
  <c r="F29" i="20"/>
  <c r="F36" i="20"/>
  <c r="F31" i="20"/>
  <c r="F32" i="20"/>
  <c r="M21" i="25" l="1"/>
  <c r="V27" i="1"/>
  <c r="V51" i="1"/>
  <c r="V24" i="1"/>
  <c r="V21" i="1"/>
  <c r="V35" i="1"/>
  <c r="V65" i="1"/>
  <c r="E3" i="22"/>
  <c r="V10" i="1"/>
  <c r="V61" i="1"/>
  <c r="V13" i="1"/>
  <c r="V56" i="1"/>
  <c r="V48" i="1"/>
  <c r="V40" i="1"/>
  <c r="V46" i="1"/>
  <c r="V33" i="1"/>
  <c r="H3" i="24"/>
  <c r="H50" i="24" s="1"/>
  <c r="V68" i="1"/>
  <c r="V30" i="1"/>
  <c r="G49" i="1"/>
  <c r="G60" i="1"/>
  <c r="G29" i="1"/>
  <c r="G35" i="1"/>
  <c r="G51" i="1"/>
  <c r="G61" i="1"/>
  <c r="G32" i="1"/>
  <c r="G15" i="1"/>
  <c r="G65" i="1"/>
  <c r="G55" i="1"/>
  <c r="G26" i="1"/>
  <c r="I6" i="11"/>
  <c r="H7" i="26" s="1"/>
  <c r="H44" i="26" s="1"/>
  <c r="G59" i="1"/>
  <c r="G16" i="1"/>
  <c r="G36" i="20"/>
  <c r="G68" i="1"/>
  <c r="G42" i="1"/>
  <c r="G75" i="1"/>
  <c r="G74" i="1"/>
  <c r="J8" i="1"/>
  <c r="W46" i="1" s="1"/>
  <c r="G56" i="1"/>
  <c r="G77" i="1"/>
  <c r="G12" i="1"/>
  <c r="D12" i="22"/>
  <c r="G9" i="1"/>
  <c r="G50" i="1"/>
  <c r="F78" i="11"/>
  <c r="F47" i="24"/>
  <c r="F72" i="11"/>
  <c r="G29" i="24"/>
  <c r="F64" i="11"/>
  <c r="F25" i="24"/>
  <c r="P37" i="1"/>
  <c r="N35" i="1"/>
  <c r="H16" i="1"/>
  <c r="I96" i="11"/>
  <c r="I92" i="11"/>
  <c r="J93" i="11" s="1"/>
  <c r="L23" i="24"/>
  <c r="L24" i="24" s="1"/>
  <c r="L64" i="11" s="1"/>
  <c r="J23" i="24"/>
  <c r="J24" i="24" s="1"/>
  <c r="J64" i="11" s="1"/>
  <c r="K23" i="24"/>
  <c r="K63" i="11" s="1"/>
  <c r="R20" i="25"/>
  <c r="Q28" i="20"/>
  <c r="O27" i="20"/>
  <c r="L45" i="1"/>
  <c r="L43" i="1"/>
  <c r="F39" i="20"/>
  <c r="F41" i="20"/>
  <c r="N12" i="1"/>
  <c r="F57" i="11"/>
  <c r="F14" i="24"/>
  <c r="G142" i="11"/>
  <c r="I83" i="24"/>
  <c r="I141" i="11" s="1"/>
  <c r="I81" i="24"/>
  <c r="H139" i="11"/>
  <c r="H137" i="11" s="1"/>
  <c r="H119" i="11"/>
  <c r="H117" i="11" s="1"/>
  <c r="I53" i="24"/>
  <c r="I119" i="11" s="1"/>
  <c r="I55" i="24"/>
  <c r="I121" i="11" s="1"/>
  <c r="J52" i="24"/>
  <c r="K118" i="11"/>
  <c r="J120" i="11"/>
  <c r="J54" i="24" s="1"/>
  <c r="M40" i="20"/>
  <c r="J140" i="11"/>
  <c r="J82" i="24" s="1"/>
  <c r="K138" i="11"/>
  <c r="J80" i="24"/>
  <c r="J65" i="11"/>
  <c r="K18" i="24"/>
  <c r="K20" i="24" s="1"/>
  <c r="L61" i="1"/>
  <c r="J39" i="11"/>
  <c r="K35" i="11" s="1"/>
  <c r="J38" i="11"/>
  <c r="P26" i="1"/>
  <c r="R26" i="1"/>
  <c r="J6" i="24"/>
  <c r="K53" i="11"/>
  <c r="F146" i="11"/>
  <c r="G37" i="20" s="1"/>
  <c r="L130" i="11"/>
  <c r="L68" i="24" s="1"/>
  <c r="L66" i="24"/>
  <c r="H5" i="22"/>
  <c r="Q29" i="20"/>
  <c r="K65" i="11"/>
  <c r="L18" i="24"/>
  <c r="L20" i="24" s="1"/>
  <c r="K68" i="11"/>
  <c r="J27" i="24"/>
  <c r="K133" i="11"/>
  <c r="J135" i="11"/>
  <c r="J75" i="24" s="1"/>
  <c r="J73" i="24"/>
  <c r="L56" i="1"/>
  <c r="L22" i="25"/>
  <c r="P21" i="25"/>
  <c r="M22" i="25" s="1"/>
  <c r="N17" i="1"/>
  <c r="K32" i="24"/>
  <c r="J10" i="24"/>
  <c r="L23" i="11"/>
  <c r="L82" i="11" s="1"/>
  <c r="K82" i="11"/>
  <c r="M22" i="20"/>
  <c r="N51" i="1"/>
  <c r="L51" i="1"/>
  <c r="J83" i="11"/>
  <c r="O21" i="20" s="1"/>
  <c r="O20" i="20"/>
  <c r="R80" i="1"/>
  <c r="R77" i="1" s="1"/>
  <c r="P77" i="1"/>
  <c r="I8" i="11"/>
  <c r="J9" i="11" s="1"/>
  <c r="K59" i="24"/>
  <c r="L123" i="11"/>
  <c r="K125" i="11"/>
  <c r="K61" i="24" s="1"/>
  <c r="P68" i="1"/>
  <c r="R68" i="1"/>
  <c r="J29" i="11"/>
  <c r="J97" i="11"/>
  <c r="K98" i="11" s="1"/>
  <c r="J101" i="11"/>
  <c r="Q21" i="25"/>
  <c r="I88" i="11"/>
  <c r="I7" i="22"/>
  <c r="S31" i="20"/>
  <c r="J7" i="22" s="1"/>
  <c r="K116" i="11"/>
  <c r="K112" i="11"/>
  <c r="L113" i="11" s="1"/>
  <c r="J39" i="24"/>
  <c r="K74" i="11"/>
  <c r="K45" i="11"/>
  <c r="L41" i="11" s="1"/>
  <c r="K44" i="11"/>
  <c r="J19" i="11"/>
  <c r="J14" i="11" s="1"/>
  <c r="K15" i="11" s="1"/>
  <c r="I47" i="11"/>
  <c r="K75" i="11"/>
  <c r="J38" i="24"/>
  <c r="R65" i="1"/>
  <c r="P65" i="1"/>
  <c r="W10" i="1" l="1"/>
  <c r="W40" i="1"/>
  <c r="W35" i="1"/>
  <c r="W51" i="1"/>
  <c r="W24" i="1"/>
  <c r="W56" i="1"/>
  <c r="W27" i="1"/>
  <c r="W48" i="1"/>
  <c r="W33" i="1"/>
  <c r="L8" i="1"/>
  <c r="W61" i="1"/>
  <c r="J6" i="11"/>
  <c r="I7" i="26" s="1"/>
  <c r="I44" i="26" s="1"/>
  <c r="W21" i="1"/>
  <c r="W13" i="1"/>
  <c r="W65" i="1"/>
  <c r="W68" i="1"/>
  <c r="W30" i="1"/>
  <c r="F3" i="22"/>
  <c r="W18" i="1"/>
  <c r="I3" i="24"/>
  <c r="I50" i="24" s="1"/>
  <c r="F145" i="11"/>
  <c r="G43" i="20" s="1"/>
  <c r="D13" i="22" s="1"/>
  <c r="G40" i="24"/>
  <c r="F79" i="11"/>
  <c r="G33" i="24"/>
  <c r="G31" i="24"/>
  <c r="G30" i="24" s="1"/>
  <c r="G69" i="11" s="1"/>
  <c r="G18" i="24"/>
  <c r="F65" i="11"/>
  <c r="R37" i="1"/>
  <c r="R35" i="1" s="1"/>
  <c r="P35" i="1"/>
  <c r="H87" i="1"/>
  <c r="J16" i="1"/>
  <c r="L63" i="11"/>
  <c r="J96" i="11"/>
  <c r="J92" i="11"/>
  <c r="K93" i="11" s="1"/>
  <c r="L19" i="24"/>
  <c r="L62" i="11" s="1"/>
  <c r="K24" i="24"/>
  <c r="K64" i="11" s="1"/>
  <c r="J63" i="11"/>
  <c r="S28" i="20"/>
  <c r="S27" i="20" s="1"/>
  <c r="Q27" i="20"/>
  <c r="N43" i="1"/>
  <c r="N45" i="1"/>
  <c r="L42" i="1"/>
  <c r="L48" i="1" s="1"/>
  <c r="P12" i="1"/>
  <c r="R12" i="1"/>
  <c r="J81" i="24"/>
  <c r="J139" i="11" s="1"/>
  <c r="J83" i="24"/>
  <c r="J141" i="11" s="1"/>
  <c r="J55" i="24"/>
  <c r="J121" i="11" s="1"/>
  <c r="G7" i="24"/>
  <c r="F58" i="11"/>
  <c r="H142" i="11"/>
  <c r="I139" i="11"/>
  <c r="I137" i="11" s="1"/>
  <c r="J53" i="24"/>
  <c r="I117" i="11"/>
  <c r="L118" i="11"/>
  <c r="K52" i="24"/>
  <c r="K55" i="24" s="1"/>
  <c r="K121" i="11" s="1"/>
  <c r="K120" i="11"/>
  <c r="K54" i="24" s="1"/>
  <c r="K140" i="11"/>
  <c r="K82" i="24" s="1"/>
  <c r="L138" i="11"/>
  <c r="K80" i="24"/>
  <c r="K83" i="24" s="1"/>
  <c r="K141" i="11" s="1"/>
  <c r="K39" i="11"/>
  <c r="L35" i="11" s="1"/>
  <c r="K38" i="11"/>
  <c r="L68" i="11"/>
  <c r="L27" i="24" s="1"/>
  <c r="K27" i="24"/>
  <c r="I5" i="22"/>
  <c r="S29" i="20"/>
  <c r="J5" i="22" s="1"/>
  <c r="L53" i="11"/>
  <c r="L6" i="24" s="1"/>
  <c r="K6" i="24"/>
  <c r="K73" i="24"/>
  <c r="L133" i="11"/>
  <c r="K135" i="11"/>
  <c r="K75" i="24" s="1"/>
  <c r="R21" i="25"/>
  <c r="L23" i="25"/>
  <c r="P22" i="25"/>
  <c r="M23" i="25" s="1"/>
  <c r="X13" i="1"/>
  <c r="X30" i="1"/>
  <c r="X65" i="1"/>
  <c r="X21" i="1"/>
  <c r="X61" i="1"/>
  <c r="X40" i="1"/>
  <c r="X35" i="1"/>
  <c r="X51" i="1"/>
  <c r="G3" i="22"/>
  <c r="X27" i="1"/>
  <c r="X48" i="1"/>
  <c r="X56" i="1"/>
  <c r="X68" i="1"/>
  <c r="X33" i="1"/>
  <c r="X18" i="1"/>
  <c r="X24" i="1"/>
  <c r="X46" i="1"/>
  <c r="X10" i="1"/>
  <c r="K6" i="11"/>
  <c r="J7" i="26" s="1"/>
  <c r="J44" i="26" s="1"/>
  <c r="J3" i="24"/>
  <c r="J50" i="24" s="1"/>
  <c r="N8" i="1"/>
  <c r="K19" i="11"/>
  <c r="K14" i="11" s="1"/>
  <c r="L15" i="11" s="1"/>
  <c r="K39" i="24"/>
  <c r="L74" i="11"/>
  <c r="L39" i="24" s="1"/>
  <c r="I51" i="11"/>
  <c r="I50" i="11"/>
  <c r="K101" i="11"/>
  <c r="K97" i="11"/>
  <c r="L98" i="11" s="1"/>
  <c r="Q20" i="20"/>
  <c r="K83" i="11"/>
  <c r="Q21" i="20" s="1"/>
  <c r="L116" i="11"/>
  <c r="L112" i="11"/>
  <c r="I87" i="11"/>
  <c r="I91" i="11"/>
  <c r="L83" i="11"/>
  <c r="S21" i="20" s="1"/>
  <c r="S20" i="20"/>
  <c r="J13" i="11"/>
  <c r="O40" i="20" s="1"/>
  <c r="L59" i="24"/>
  <c r="L125" i="11"/>
  <c r="L61" i="24" s="1"/>
  <c r="P17" i="1"/>
  <c r="R17" i="1"/>
  <c r="J33" i="11"/>
  <c r="J32" i="11"/>
  <c r="Q22" i="25"/>
  <c r="L75" i="11"/>
  <c r="L38" i="24" s="1"/>
  <c r="K38" i="24"/>
  <c r="L45" i="11"/>
  <c r="L44" i="11"/>
  <c r="O22" i="20"/>
  <c r="K10" i="24"/>
  <c r="L32" i="24"/>
  <c r="L33" i="24" s="1"/>
  <c r="K33" i="24"/>
  <c r="I76" i="1" l="1"/>
  <c r="I75" i="1"/>
  <c r="I74" i="1"/>
  <c r="I49" i="1"/>
  <c r="I50" i="1"/>
  <c r="I61" i="1"/>
  <c r="I15" i="1"/>
  <c r="G44" i="24"/>
  <c r="G42" i="24"/>
  <c r="G41" i="24" s="1"/>
  <c r="G76" i="11" s="1"/>
  <c r="G34" i="24"/>
  <c r="G22" i="24"/>
  <c r="G20" i="24"/>
  <c r="G19" i="24" s="1"/>
  <c r="G62" i="11" s="1"/>
  <c r="I59" i="1"/>
  <c r="I77" i="1"/>
  <c r="I55" i="1"/>
  <c r="I60" i="1"/>
  <c r="I68" i="1"/>
  <c r="I26" i="1"/>
  <c r="I9" i="1"/>
  <c r="I42" i="1"/>
  <c r="I16" i="1"/>
  <c r="I56" i="1"/>
  <c r="I51" i="1"/>
  <c r="I32" i="1"/>
  <c r="I12" i="1"/>
  <c r="I35" i="1"/>
  <c r="I36" i="20"/>
  <c r="E12" i="22"/>
  <c r="J87" i="1"/>
  <c r="I29" i="1"/>
  <c r="I65" i="1"/>
  <c r="L16" i="1"/>
  <c r="K92" i="11"/>
  <c r="L93" i="11" s="1"/>
  <c r="K96" i="11"/>
  <c r="F80" i="11"/>
  <c r="F144" i="11" s="1"/>
  <c r="N42" i="1"/>
  <c r="R43" i="1"/>
  <c r="R45" i="1"/>
  <c r="P45" i="1"/>
  <c r="P43" i="1"/>
  <c r="J137" i="11"/>
  <c r="K81" i="24"/>
  <c r="K139" i="11" s="1"/>
  <c r="G11" i="24"/>
  <c r="G9" i="24"/>
  <c r="G8" i="24" s="1"/>
  <c r="G55" i="11" s="1"/>
  <c r="J119" i="11"/>
  <c r="J117" i="11" s="1"/>
  <c r="K53" i="24"/>
  <c r="K119" i="11" s="1"/>
  <c r="L120" i="11"/>
  <c r="L54" i="24" s="1"/>
  <c r="L52" i="24"/>
  <c r="L55" i="24" s="1"/>
  <c r="L121" i="11" s="1"/>
  <c r="L140" i="11"/>
  <c r="L82" i="24" s="1"/>
  <c r="L80" i="24"/>
  <c r="L83" i="24" s="1"/>
  <c r="L141" i="11" s="1"/>
  <c r="L39" i="11"/>
  <c r="L38" i="11"/>
  <c r="P61" i="1"/>
  <c r="R61" i="1"/>
  <c r="L73" i="24"/>
  <c r="L135" i="11"/>
  <c r="L75" i="24" s="1"/>
  <c r="R56" i="1"/>
  <c r="P56" i="1"/>
  <c r="R22" i="25"/>
  <c r="P23" i="25"/>
  <c r="M24" i="25" s="1"/>
  <c r="L24" i="25"/>
  <c r="Y30" i="1"/>
  <c r="Y13" i="1"/>
  <c r="Y46" i="1"/>
  <c r="Y10" i="1"/>
  <c r="Y27" i="1"/>
  <c r="Y65" i="1"/>
  <c r="Y40" i="1"/>
  <c r="Y21" i="1"/>
  <c r="H3" i="22"/>
  <c r="Y24" i="1"/>
  <c r="Y18" i="1"/>
  <c r="Y51" i="1"/>
  <c r="Y56" i="1"/>
  <c r="Y48" i="1"/>
  <c r="Y35" i="1"/>
  <c r="Y68" i="1"/>
  <c r="Y61" i="1"/>
  <c r="Y33" i="1"/>
  <c r="P8" i="1"/>
  <c r="L6" i="11"/>
  <c r="K7" i="26" s="1"/>
  <c r="K44" i="26" s="1"/>
  <c r="K3" i="24"/>
  <c r="K50" i="24" s="1"/>
  <c r="K29" i="11"/>
  <c r="J88" i="11"/>
  <c r="I142" i="11"/>
  <c r="J47" i="11"/>
  <c r="K34" i="24"/>
  <c r="K36" i="24"/>
  <c r="L34" i="24"/>
  <c r="L36" i="24"/>
  <c r="L72" i="11" s="1"/>
  <c r="L10" i="24"/>
  <c r="P51" i="1"/>
  <c r="R51" i="1"/>
  <c r="Q23" i="25"/>
  <c r="J8" i="11"/>
  <c r="K9" i="11" s="1"/>
  <c r="Q22" i="20"/>
  <c r="S22" i="20"/>
  <c r="L97" i="11"/>
  <c r="L101" i="11"/>
  <c r="L19" i="11"/>
  <c r="L14" i="11" s="1"/>
  <c r="K76" i="1" l="1"/>
  <c r="K75" i="1"/>
  <c r="K74" i="1"/>
  <c r="K49" i="1"/>
  <c r="K50" i="1"/>
  <c r="K9" i="1"/>
  <c r="K15" i="1"/>
  <c r="G45" i="24"/>
  <c r="G35" i="24"/>
  <c r="G70" i="11"/>
  <c r="G23" i="24"/>
  <c r="K29" i="1"/>
  <c r="K65" i="1"/>
  <c r="K68" i="1"/>
  <c r="K77" i="1"/>
  <c r="K36" i="20"/>
  <c r="K61" i="1"/>
  <c r="K42" i="1"/>
  <c r="F12" i="22"/>
  <c r="K32" i="1"/>
  <c r="K12" i="1"/>
  <c r="K59" i="1"/>
  <c r="K26" i="1"/>
  <c r="K16" i="1"/>
  <c r="K51" i="1"/>
  <c r="L87" i="1"/>
  <c r="K35" i="1"/>
  <c r="K55" i="1"/>
  <c r="K56" i="1"/>
  <c r="K60" i="1"/>
  <c r="N16" i="1"/>
  <c r="N87" i="1" s="1"/>
  <c r="K137" i="11"/>
  <c r="L96" i="11"/>
  <c r="L92" i="11"/>
  <c r="R23" i="25"/>
  <c r="P42" i="1"/>
  <c r="P48" i="1" s="1"/>
  <c r="N48" i="1"/>
  <c r="R42" i="1"/>
  <c r="R48" i="1" s="1"/>
  <c r="L81" i="24"/>
  <c r="L139" i="11" s="1"/>
  <c r="L137" i="11" s="1"/>
  <c r="L53" i="24"/>
  <c r="L119" i="11" s="1"/>
  <c r="K117" i="11"/>
  <c r="G12" i="24"/>
  <c r="P24" i="25"/>
  <c r="M25" i="25" s="1"/>
  <c r="L25" i="25"/>
  <c r="L3" i="24"/>
  <c r="L50" i="24" s="1"/>
  <c r="R8" i="1"/>
  <c r="Z61" i="1"/>
  <c r="Z46" i="1"/>
  <c r="Z21" i="1"/>
  <c r="Z27" i="1"/>
  <c r="Z33" i="1"/>
  <c r="Z30" i="1"/>
  <c r="Z68" i="1"/>
  <c r="I3" i="22"/>
  <c r="Z24" i="1"/>
  <c r="Z48" i="1"/>
  <c r="Z18" i="1"/>
  <c r="Z40" i="1"/>
  <c r="Z51" i="1"/>
  <c r="Z35" i="1"/>
  <c r="Z56" i="1"/>
  <c r="Z65" i="1"/>
  <c r="Z13" i="1"/>
  <c r="Z10" i="1"/>
  <c r="L70" i="11"/>
  <c r="L35" i="24"/>
  <c r="L71" i="11" s="1"/>
  <c r="L29" i="24"/>
  <c r="L31" i="24" s="1"/>
  <c r="K72" i="11"/>
  <c r="K13" i="11"/>
  <c r="Q40" i="20" s="1"/>
  <c r="K35" i="24"/>
  <c r="K71" i="11" s="1"/>
  <c r="K70" i="11"/>
  <c r="J51" i="11"/>
  <c r="J50" i="11"/>
  <c r="K32" i="11"/>
  <c r="K33" i="11"/>
  <c r="Q24" i="25"/>
  <c r="J87" i="11"/>
  <c r="J91" i="11"/>
  <c r="O50" i="1" l="1"/>
  <c r="O76" i="1"/>
  <c r="O75" i="1"/>
  <c r="O74" i="1"/>
  <c r="M76" i="1"/>
  <c r="M75" i="1"/>
  <c r="M74" i="1"/>
  <c r="M49" i="1"/>
  <c r="M50" i="1"/>
  <c r="O15" i="1"/>
  <c r="O49" i="1"/>
  <c r="M59" i="1"/>
  <c r="M15" i="1"/>
  <c r="R87" i="1"/>
  <c r="G46" i="24"/>
  <c r="G77" i="11"/>
  <c r="G71" i="11"/>
  <c r="G36" i="24"/>
  <c r="G24" i="24"/>
  <c r="G63" i="11"/>
  <c r="M60" i="1"/>
  <c r="M9" i="1"/>
  <c r="M51" i="1"/>
  <c r="M12" i="1"/>
  <c r="M26" i="1"/>
  <c r="M77" i="1"/>
  <c r="M68" i="1"/>
  <c r="M42" i="1"/>
  <c r="M36" i="20"/>
  <c r="M35" i="1"/>
  <c r="M56" i="1"/>
  <c r="M65" i="1"/>
  <c r="M61" i="1"/>
  <c r="G12" i="22"/>
  <c r="M29" i="1"/>
  <c r="M32" i="1"/>
  <c r="M55" i="1"/>
  <c r="M16" i="1"/>
  <c r="P16" i="1"/>
  <c r="O26" i="1"/>
  <c r="O60" i="1"/>
  <c r="H12" i="22"/>
  <c r="O77" i="1"/>
  <c r="O12" i="1"/>
  <c r="O61" i="1"/>
  <c r="O32" i="1"/>
  <c r="O59" i="1"/>
  <c r="O36" i="20"/>
  <c r="O16" i="1"/>
  <c r="O42" i="1"/>
  <c r="O9" i="1"/>
  <c r="O55" i="1"/>
  <c r="O29" i="1"/>
  <c r="O56" i="1"/>
  <c r="O51" i="1"/>
  <c r="O68" i="1"/>
  <c r="O65" i="1"/>
  <c r="O35" i="1"/>
  <c r="R24" i="25"/>
  <c r="L117" i="11"/>
  <c r="G13" i="24"/>
  <c r="G56" i="11"/>
  <c r="K8" i="11"/>
  <c r="L9" i="11" s="1"/>
  <c r="L13" i="11" s="1"/>
  <c r="S40" i="20" s="1"/>
  <c r="L26" i="25"/>
  <c r="P25" i="25"/>
  <c r="M26" i="25" s="1"/>
  <c r="AA10" i="1"/>
  <c r="AA33" i="1"/>
  <c r="AA46" i="1"/>
  <c r="AA65" i="1"/>
  <c r="AA61" i="1"/>
  <c r="AA30" i="1"/>
  <c r="AA24" i="1"/>
  <c r="AA35" i="1"/>
  <c r="AA68" i="1"/>
  <c r="AA51" i="1"/>
  <c r="J3" i="22"/>
  <c r="AA18" i="1"/>
  <c r="AA13" i="1"/>
  <c r="AA21" i="1"/>
  <c r="R16" i="1" s="1"/>
  <c r="AA56" i="1"/>
  <c r="AA27" i="1"/>
  <c r="AA48" i="1"/>
  <c r="AA40" i="1"/>
  <c r="K88" i="11"/>
  <c r="J142" i="11"/>
  <c r="Q25" i="25"/>
  <c r="K47" i="11"/>
  <c r="L29" i="11"/>
  <c r="G146" i="11" l="1"/>
  <c r="I37" i="20" s="1"/>
  <c r="G78" i="11"/>
  <c r="G47" i="24"/>
  <c r="H29" i="24"/>
  <c r="G72" i="11"/>
  <c r="G64" i="11"/>
  <c r="G25" i="24"/>
  <c r="S9" i="1"/>
  <c r="P87" i="1"/>
  <c r="G57" i="11"/>
  <c r="G14" i="24"/>
  <c r="L8" i="11"/>
  <c r="L27" i="25"/>
  <c r="P26" i="25"/>
  <c r="M27" i="25" s="1"/>
  <c r="R25" i="25"/>
  <c r="Q26" i="25"/>
  <c r="K91" i="11"/>
  <c r="K87" i="11"/>
  <c r="K50" i="11"/>
  <c r="K51" i="11"/>
  <c r="L32" i="11"/>
  <c r="L33" i="11"/>
  <c r="Q74" i="1" l="1"/>
  <c r="Q76" i="1"/>
  <c r="Q75" i="1"/>
  <c r="Q49" i="1"/>
  <c r="Q50" i="1"/>
  <c r="Q77" i="1"/>
  <c r="Q15" i="1"/>
  <c r="G145" i="11"/>
  <c r="I43" i="20" s="1"/>
  <c r="E13" i="22" s="1"/>
  <c r="G79" i="11"/>
  <c r="H40" i="24"/>
  <c r="H33" i="24"/>
  <c r="H31" i="24"/>
  <c r="H30" i="24" s="1"/>
  <c r="H69" i="11" s="1"/>
  <c r="H18" i="24"/>
  <c r="G65" i="11"/>
  <c r="S51" i="1"/>
  <c r="S59" i="1"/>
  <c r="S16" i="1"/>
  <c r="S75" i="1"/>
  <c r="S77" i="1"/>
  <c r="S65" i="1"/>
  <c r="S36" i="20"/>
  <c r="S68" i="1"/>
  <c r="J12" i="22"/>
  <c r="S26" i="1"/>
  <c r="S76" i="1"/>
  <c r="S55" i="1"/>
  <c r="S50" i="1"/>
  <c r="S29" i="1"/>
  <c r="S61" i="1"/>
  <c r="Q26" i="1"/>
  <c r="S15" i="1"/>
  <c r="Q56" i="1"/>
  <c r="S12" i="1"/>
  <c r="S74" i="1"/>
  <c r="S60" i="1"/>
  <c r="Q42" i="1"/>
  <c r="Q29" i="1"/>
  <c r="S56" i="1"/>
  <c r="Q68" i="1"/>
  <c r="Q65" i="1"/>
  <c r="Q35" i="1"/>
  <c r="I12" i="22"/>
  <c r="Q51" i="1"/>
  <c r="Q61" i="1"/>
  <c r="Q36" i="20"/>
  <c r="Q55" i="1"/>
  <c r="S32" i="1"/>
  <c r="Q12" i="1"/>
  <c r="S49" i="1"/>
  <c r="Q60" i="1"/>
  <c r="Q59" i="1"/>
  <c r="S35" i="1"/>
  <c r="S42" i="1"/>
  <c r="Q16" i="1"/>
  <c r="Q32" i="1"/>
  <c r="Q9" i="1"/>
  <c r="G58" i="11"/>
  <c r="H7" i="24"/>
  <c r="P27" i="25"/>
  <c r="M28" i="25" s="1"/>
  <c r="L28" i="25"/>
  <c r="R26" i="25"/>
  <c r="K142" i="11"/>
  <c r="L88" i="11"/>
  <c r="L47" i="11"/>
  <c r="Q27" i="25"/>
  <c r="G80" i="11" l="1"/>
  <c r="G144" i="11" s="1"/>
  <c r="H44" i="24"/>
  <c r="H42" i="24"/>
  <c r="H41" i="24" s="1"/>
  <c r="H76" i="11" s="1"/>
  <c r="H34" i="24"/>
  <c r="H20" i="24"/>
  <c r="H19" i="24" s="1"/>
  <c r="H62" i="11" s="1"/>
  <c r="H22" i="24"/>
  <c r="H11" i="24"/>
  <c r="H9" i="24"/>
  <c r="H8" i="24" s="1"/>
  <c r="H55" i="11" s="1"/>
  <c r="R27" i="25"/>
  <c r="L29" i="25"/>
  <c r="P28" i="25"/>
  <c r="M29" i="25" s="1"/>
  <c r="Q28" i="25"/>
  <c r="L51" i="11"/>
  <c r="L50" i="11"/>
  <c r="L91" i="11"/>
  <c r="L87" i="11"/>
  <c r="L142" i="11" s="1"/>
  <c r="H45" i="24" l="1"/>
  <c r="H35" i="24"/>
  <c r="H70" i="11"/>
  <c r="H23" i="24"/>
  <c r="J33" i="24"/>
  <c r="H12" i="24"/>
  <c r="L30" i="25"/>
  <c r="P30" i="25" s="1"/>
  <c r="P29" i="25"/>
  <c r="M30" i="25" s="1"/>
  <c r="Q30" i="25" s="1"/>
  <c r="R28" i="25"/>
  <c r="Q29" i="25"/>
  <c r="H77" i="11" l="1"/>
  <c r="H46" i="24"/>
  <c r="H71" i="11"/>
  <c r="H36" i="24"/>
  <c r="H63" i="11"/>
  <c r="H24" i="24"/>
  <c r="J34" i="24"/>
  <c r="R30" i="25"/>
  <c r="H56" i="11"/>
  <c r="H13" i="24"/>
  <c r="R29" i="25"/>
  <c r="H146" i="11" l="1"/>
  <c r="K37" i="20" s="1"/>
  <c r="H78" i="11"/>
  <c r="H47" i="24"/>
  <c r="I29" i="24"/>
  <c r="H72" i="11"/>
  <c r="H64" i="11"/>
  <c r="H25" i="24"/>
  <c r="J35" i="24"/>
  <c r="J70" i="11"/>
  <c r="H57" i="11"/>
  <c r="H14" i="24"/>
  <c r="H145" i="11" l="1"/>
  <c r="K43" i="20" s="1"/>
  <c r="F13" i="22" s="1"/>
  <c r="H79" i="11"/>
  <c r="I40" i="24"/>
  <c r="I33" i="24"/>
  <c r="I31" i="24"/>
  <c r="I30" i="24" s="1"/>
  <c r="I69" i="11" s="1"/>
  <c r="I18" i="24"/>
  <c r="H65" i="11"/>
  <c r="J71" i="11"/>
  <c r="J36" i="24"/>
  <c r="H58" i="11"/>
  <c r="I7" i="24"/>
  <c r="I44" i="24" l="1"/>
  <c r="I42" i="24"/>
  <c r="I41" i="24" s="1"/>
  <c r="I76" i="11" s="1"/>
  <c r="H80" i="11"/>
  <c r="H144" i="11" s="1"/>
  <c r="I34" i="24"/>
  <c r="I22" i="24"/>
  <c r="I20" i="24"/>
  <c r="I19" i="24" s="1"/>
  <c r="I62" i="11" s="1"/>
  <c r="K29" i="24"/>
  <c r="K31" i="24" s="1"/>
  <c r="L30" i="24" s="1"/>
  <c r="L69" i="11" s="1"/>
  <c r="J72" i="11"/>
  <c r="I11" i="24"/>
  <c r="I9" i="24"/>
  <c r="I8" i="24" s="1"/>
  <c r="I55" i="11" s="1"/>
  <c r="I45" i="24" l="1"/>
  <c r="I35" i="24"/>
  <c r="I70" i="11"/>
  <c r="I23" i="24"/>
  <c r="I12" i="24"/>
  <c r="I77" i="11" l="1"/>
  <c r="I46" i="24"/>
  <c r="I71" i="11"/>
  <c r="I36" i="24"/>
  <c r="I24" i="24"/>
  <c r="I63" i="11"/>
  <c r="I56" i="11"/>
  <c r="I13" i="24"/>
  <c r="I146" i="11" l="1"/>
  <c r="M37" i="20" s="1"/>
  <c r="I78" i="11"/>
  <c r="I47" i="24"/>
  <c r="I72" i="11"/>
  <c r="J29" i="24"/>
  <c r="J31" i="24" s="1"/>
  <c r="I64" i="11"/>
  <c r="I25" i="24"/>
  <c r="I57" i="11"/>
  <c r="I145" i="11" s="1"/>
  <c r="I14" i="24"/>
  <c r="M43" i="20" l="1"/>
  <c r="G13" i="22" s="1"/>
  <c r="J40" i="24"/>
  <c r="I79" i="11"/>
  <c r="J30" i="24"/>
  <c r="J69" i="11" s="1"/>
  <c r="K30" i="24"/>
  <c r="K69" i="11" s="1"/>
  <c r="J18" i="24"/>
  <c r="J20" i="24" s="1"/>
  <c r="K19" i="24" s="1"/>
  <c r="K62" i="11" s="1"/>
  <c r="I65" i="11"/>
  <c r="J7" i="24"/>
  <c r="I58" i="11"/>
  <c r="J42" i="24" l="1"/>
  <c r="J44" i="24"/>
  <c r="J19" i="24"/>
  <c r="J62" i="11" s="1"/>
  <c r="I80" i="11"/>
  <c r="I144" i="11" s="1"/>
  <c r="J41" i="24"/>
  <c r="J76" i="11" s="1"/>
  <c r="J11" i="24"/>
  <c r="J9" i="24"/>
  <c r="J8" i="24" s="1"/>
  <c r="J55" i="11" s="1"/>
  <c r="J45" i="24" l="1"/>
  <c r="J47" i="24"/>
  <c r="J12" i="24"/>
  <c r="K40" i="24" l="1"/>
  <c r="J79" i="11"/>
  <c r="J77" i="11"/>
  <c r="J46" i="24"/>
  <c r="J78" i="11" s="1"/>
  <c r="J56" i="11"/>
  <c r="J13" i="24"/>
  <c r="J146" i="11" l="1"/>
  <c r="O37" i="20" s="1"/>
  <c r="K44" i="24"/>
  <c r="K42" i="24"/>
  <c r="K41" i="24" s="1"/>
  <c r="K76" i="11" s="1"/>
  <c r="J57" i="11"/>
  <c r="J14" i="24"/>
  <c r="K45" i="24" l="1"/>
  <c r="K47" i="24"/>
  <c r="J145" i="11"/>
  <c r="O43" i="20" s="1"/>
  <c r="H13" i="22" s="1"/>
  <c r="J58" i="11"/>
  <c r="K7" i="24"/>
  <c r="K79" i="11" l="1"/>
  <c r="L40" i="24"/>
  <c r="K77" i="11"/>
  <c r="K46" i="24"/>
  <c r="K78" i="11" s="1"/>
  <c r="K9" i="24"/>
  <c r="K11" i="24"/>
  <c r="J80" i="11"/>
  <c r="J144" i="11" s="1"/>
  <c r="K8" i="24"/>
  <c r="K55" i="11" s="1"/>
  <c r="L42" i="24" l="1"/>
  <c r="L41" i="24" s="1"/>
  <c r="L76" i="11" s="1"/>
  <c r="L44" i="24"/>
  <c r="K12" i="24"/>
  <c r="K14" i="24"/>
  <c r="E47" i="26"/>
  <c r="E45" i="26" s="1"/>
  <c r="E74" i="26" s="1"/>
  <c r="L47" i="24" l="1"/>
  <c r="L79" i="11" s="1"/>
  <c r="L45" i="24"/>
  <c r="K58" i="11"/>
  <c r="K80" i="11" s="1"/>
  <c r="K144" i="11" s="1"/>
  <c r="L7" i="24"/>
  <c r="K13" i="24"/>
  <c r="K57" i="11" s="1"/>
  <c r="K145" i="11" s="1"/>
  <c r="Q43" i="20" s="1"/>
  <c r="I13" i="22" s="1"/>
  <c r="K56" i="11"/>
  <c r="K146" i="11" s="1"/>
  <c r="Q37" i="20" s="1"/>
  <c r="E76" i="26"/>
  <c r="D6" i="22"/>
  <c r="G30" i="20"/>
  <c r="G35" i="20" s="1"/>
  <c r="L46" i="24" l="1"/>
  <c r="L78" i="11" s="1"/>
  <c r="L77" i="11"/>
  <c r="L9" i="24"/>
  <c r="L8" i="24" s="1"/>
  <c r="L55" i="11" s="1"/>
  <c r="L11" i="24"/>
  <c r="H32" i="20"/>
  <c r="H26" i="20"/>
  <c r="H34" i="20"/>
  <c r="G41" i="20"/>
  <c r="D11" i="22" s="1"/>
  <c r="H29" i="20"/>
  <c r="H37" i="20"/>
  <c r="H30" i="20"/>
  <c r="H33" i="20"/>
  <c r="G39" i="20"/>
  <c r="D14" i="22" s="1"/>
  <c r="H31" i="20"/>
  <c r="H27" i="20"/>
  <c r="H40" i="20"/>
  <c r="H38" i="20"/>
  <c r="H36" i="20"/>
  <c r="L14" i="24" l="1"/>
  <c r="L58" i="11" s="1"/>
  <c r="L80" i="11" s="1"/>
  <c r="L144" i="11" s="1"/>
  <c r="L12" i="24"/>
  <c r="M12" i="24" s="1"/>
  <c r="H39" i="20"/>
  <c r="H41" i="20"/>
  <c r="F47" i="26"/>
  <c r="F45" i="26" s="1"/>
  <c r="K47" i="26"/>
  <c r="K45" i="26" s="1"/>
  <c r="K74" i="26" s="1"/>
  <c r="J47" i="26"/>
  <c r="J45" i="26" s="1"/>
  <c r="J74" i="26" s="1"/>
  <c r="H47" i="26"/>
  <c r="H45" i="26" s="1"/>
  <c r="H74" i="26" s="1"/>
  <c r="I47" i="26"/>
  <c r="I45" i="26" s="1"/>
  <c r="I74" i="26" s="1"/>
  <c r="G47" i="26"/>
  <c r="G45" i="26" s="1"/>
  <c r="G74" i="26" s="1"/>
  <c r="L56" i="11" l="1"/>
  <c r="L146" i="11" s="1"/>
  <c r="S37" i="20" s="1"/>
  <c r="L13" i="24"/>
  <c r="L57" i="11" s="1"/>
  <c r="F74" i="26"/>
  <c r="F76" i="26" s="1"/>
  <c r="K76" i="26"/>
  <c r="J6" i="22"/>
  <c r="S30" i="20"/>
  <c r="S35" i="20" s="1"/>
  <c r="F6" i="22"/>
  <c r="K30" i="20"/>
  <c r="K35" i="20" s="1"/>
  <c r="G76" i="26"/>
  <c r="O30" i="20"/>
  <c r="O35" i="20" s="1"/>
  <c r="H6" i="22"/>
  <c r="I76" i="26"/>
  <c r="I6" i="22"/>
  <c r="J76" i="26"/>
  <c r="Q30" i="20"/>
  <c r="Q35" i="20" s="1"/>
  <c r="G6" i="22"/>
  <c r="H76" i="26"/>
  <c r="M30" i="20"/>
  <c r="M35" i="20" s="1"/>
  <c r="L145" i="11" l="1"/>
  <c r="S43" i="20" s="1"/>
  <c r="J13" i="22" s="1"/>
  <c r="I30" i="20"/>
  <c r="I35" i="20" s="1"/>
  <c r="J38" i="20" s="1"/>
  <c r="E6" i="22"/>
  <c r="L34" i="20"/>
  <c r="L27" i="20"/>
  <c r="L40" i="20"/>
  <c r="L38" i="20"/>
  <c r="F10" i="22"/>
  <c r="L31" i="20"/>
  <c r="L33" i="20"/>
  <c r="L26" i="20"/>
  <c r="L30" i="20"/>
  <c r="K41" i="20"/>
  <c r="F11" i="22" s="1"/>
  <c r="K39" i="20"/>
  <c r="F14" i="22" s="1"/>
  <c r="L29" i="20"/>
  <c r="L32" i="20"/>
  <c r="L36" i="20"/>
  <c r="L37" i="20"/>
  <c r="N27" i="20"/>
  <c r="N32" i="20"/>
  <c r="M41" i="20"/>
  <c r="G11" i="22" s="1"/>
  <c r="N31" i="20"/>
  <c r="N38" i="20"/>
  <c r="N34" i="20"/>
  <c r="N29" i="20"/>
  <c r="N30" i="20"/>
  <c r="N36" i="20"/>
  <c r="N33" i="20"/>
  <c r="M39" i="20"/>
  <c r="G14" i="22" s="1"/>
  <c r="N26" i="20"/>
  <c r="N37" i="20"/>
  <c r="N40" i="20"/>
  <c r="G10" i="22"/>
  <c r="P36" i="20"/>
  <c r="P37" i="20"/>
  <c r="P26" i="20"/>
  <c r="P27" i="20"/>
  <c r="P33" i="20"/>
  <c r="H10" i="22"/>
  <c r="P29" i="20"/>
  <c r="P30" i="20"/>
  <c r="O41" i="20"/>
  <c r="H11" i="22" s="1"/>
  <c r="P40" i="20"/>
  <c r="P34" i="20"/>
  <c r="P38" i="20"/>
  <c r="P31" i="20"/>
  <c r="P32" i="20"/>
  <c r="O39" i="20"/>
  <c r="H14" i="22" s="1"/>
  <c r="R29" i="20"/>
  <c r="R30" i="20"/>
  <c r="R38" i="20"/>
  <c r="R31" i="20"/>
  <c r="Q41" i="20"/>
  <c r="I11" i="22" s="1"/>
  <c r="R40" i="20"/>
  <c r="R36" i="20"/>
  <c r="R27" i="20"/>
  <c r="Q39" i="20"/>
  <c r="I14" i="22" s="1"/>
  <c r="R32" i="20"/>
  <c r="R26" i="20"/>
  <c r="R33" i="20"/>
  <c r="R37" i="20"/>
  <c r="R34" i="20"/>
  <c r="I10" i="22"/>
  <c r="T34" i="20"/>
  <c r="T40" i="20"/>
  <c r="S39" i="20"/>
  <c r="J14" i="22" s="1"/>
  <c r="J10" i="22"/>
  <c r="T31" i="20"/>
  <c r="T36" i="20"/>
  <c r="T27" i="20"/>
  <c r="T30" i="20"/>
  <c r="T32" i="20"/>
  <c r="T29" i="20"/>
  <c r="T33" i="20"/>
  <c r="T26" i="20"/>
  <c r="S41" i="20"/>
  <c r="J11" i="22" s="1"/>
  <c r="T37" i="20"/>
  <c r="T38" i="20"/>
  <c r="J30" i="20" l="1"/>
  <c r="J37" i="20"/>
  <c r="I41" i="20"/>
  <c r="E11" i="22" s="1"/>
  <c r="J32" i="20"/>
  <c r="E10" i="22"/>
  <c r="J26" i="20"/>
  <c r="J33" i="20"/>
  <c r="J31" i="20"/>
  <c r="I39" i="20"/>
  <c r="E14" i="22" s="1"/>
  <c r="J36" i="20"/>
  <c r="J27" i="20"/>
  <c r="J34" i="20"/>
  <c r="J29" i="20"/>
  <c r="J40" i="20"/>
  <c r="R41" i="20"/>
  <c r="J41" i="20"/>
  <c r="N41" i="20"/>
  <c r="T41" i="20"/>
  <c r="P39" i="20"/>
  <c r="L39" i="20"/>
  <c r="J39" i="20"/>
  <c r="P41" i="20"/>
  <c r="N39" i="20"/>
  <c r="T39" i="20"/>
  <c r="R39" i="20"/>
  <c r="L4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E8" authorId="0" shapeId="0" xr:uid="{66C78C1B-82BB-483C-B56D-EFB9F637AD6D}">
      <text>
        <r>
          <rPr>
            <sz val="10"/>
            <color indexed="81"/>
            <rFont val="Tahoma"/>
            <family val="2"/>
          </rPr>
          <t>Tilikauden päättymisvuosi</t>
        </r>
      </text>
    </comment>
    <comment ref="E26" authorId="0" shapeId="0" xr:uid="{EBB316D1-76F1-41FE-8496-A02E1031115F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C30" authorId="0" shapeId="0" xr:uid="{34E49173-87F9-4AE4-A7B2-03AFD60CB507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E30" authorId="0" shapeId="0" xr:uid="{A1766F44-56B7-4658-AED0-33CBF7DFC2C3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C32" authorId="0" shapeId="0" xr:uid="{D4682C33-E826-4829-A121-325D51451362}">
      <text>
        <r>
          <rPr>
            <sz val="10"/>
            <color indexed="81"/>
            <rFont val="Tahoma"/>
            <family val="2"/>
          </rPr>
          <t>Yrityksen tuloihin laskettavat urakointi- yms. tulot, ei palkkatuloja.</t>
        </r>
      </text>
    </comment>
    <comment ref="E36" authorId="0" shapeId="0" xr:uid="{C062A60D-FDDC-4ED9-B231-A06DF4027BA8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E38" authorId="0" shapeId="0" xr:uid="{98BF75DD-8A8F-466D-90FC-9444F02C1C7D}">
      <text>
        <r>
          <rPr>
            <sz val="10"/>
            <color indexed="81"/>
            <rFont val="Tahoma"/>
            <family val="2"/>
          </rPr>
          <t>Varmista, että yrittäjäeläkekuluja ei ole merkitty jo tuotantomenoihin taulukkoon T3 Kustannukset.</t>
        </r>
      </text>
    </comment>
    <comment ref="G39" authorId="0" shapeId="0" xr:uid="{AB5EE0D4-B221-4B0D-8DE7-5E800F41EDF6}">
      <text>
        <r>
          <rPr>
            <sz val="10"/>
            <color indexed="81"/>
            <rFont val="Tahoma"/>
            <family val="2"/>
          </rPr>
          <t>Tämä on tärkein luku! Summalla maksetaan verot, kotitalouden menot ja lainanlyhennykset.</t>
        </r>
      </text>
    </comment>
    <comment ref="B43" authorId="0" shapeId="0" xr:uid="{F8A776D4-FA37-40C9-90BA-21216D0DE167}">
      <text>
        <r>
          <rPr>
            <sz val="10"/>
            <color indexed="81"/>
            <rFont val="Tahoma"/>
            <family val="2"/>
          </rPr>
          <t>Kohdan 13 luvun on oltava suurempi kuin lainanlyhennykset.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F12" authorId="0" shapeId="0" xr:uid="{0DACD529-39DC-4FFC-821F-42945E07C531}">
      <text>
        <r>
          <rPr>
            <sz val="10"/>
            <color indexed="81"/>
            <rFont val="Tahoma"/>
            <family val="2"/>
          </rPr>
          <t>Enimmäispoistot:
 - Tuotantorakennukset 10 %
 - säiliöt, rakennelmat, salaojat 20 %
 - asuin-, toimisto yms. Rrakennukset 6 %</t>
        </r>
      </text>
    </comment>
    <comment ref="F16" authorId="0" shapeId="0" xr:uid="{1B64E79E-6E06-4C11-85D0-3E487A90E996}">
      <text>
        <r>
          <rPr>
            <sz val="10"/>
            <color indexed="81"/>
            <rFont val="Tahoma"/>
            <family val="2"/>
          </rPr>
          <t>Taroitetan koneinvestoinnin välirahaa vaihtokaupassa tai koneen hankintahintaa.</t>
        </r>
      </text>
    </comment>
    <comment ref="F18" authorId="0" shapeId="0" xr:uid="{CC3606D2-6B7E-4693-82CB-D44AE5BB9C3F}">
      <text>
        <r>
          <rPr>
            <sz val="10"/>
            <color indexed="81"/>
            <rFont val="Tahoma"/>
            <family val="2"/>
          </rPr>
          <t xml:space="preserve"> - poisto enintään 25 %
 - suositellaan taloudellisen käyttöiän 
   mukaista poistoa, joka yleensä 5 - 10 
   vuotta eli 20 - 10 %</t>
        </r>
      </text>
    </comment>
    <comment ref="C28" authorId="0" shapeId="0" xr:uid="{B5B5AACE-88F8-4D8B-8F72-7E5920C187EF}">
      <text>
        <r>
          <rPr>
            <sz val="10"/>
            <color indexed="81"/>
            <rFont val="Tahoma"/>
            <family val="2"/>
          </rPr>
          <t>Tasaerälainaa lyhennetään 2 kertaa vuodessa yhtä suurissa lyhennyserissä.</t>
        </r>
      </text>
    </comment>
    <comment ref="F28" authorId="0" shapeId="0" xr:uid="{F1B77C9D-622A-43F3-B718-EE2520CEDBEF}">
      <text>
        <r>
          <rPr>
            <sz val="10"/>
            <color indexed="81"/>
            <rFont val="Tahoma"/>
            <family val="2"/>
          </rPr>
          <t xml:space="preserve">Tasaerälainaa voidaan nostaa useina vuosina. Lainan lyhennykset nostojen mukaan. </t>
        </r>
      </text>
    </comment>
    <comment ref="F30" authorId="0" shapeId="0" xr:uid="{ED51386E-52D7-4881-B612-80A8BE54F6FF}">
      <text>
        <r>
          <rPr>
            <sz val="10"/>
            <color indexed="81"/>
            <rFont val="Tahoma"/>
            <family val="2"/>
          </rPr>
          <t>Lainan viimeinen erä tarkastetaan oikeaksi siten, että tilikauden alkupääoma saadaan nollaksi. NOLLATAAN tarpeettomat lyhennyserät ja korko-% (ei DELETELLÄ!).</t>
        </r>
      </text>
    </comment>
    <comment ref="F31" authorId="0" shapeId="0" xr:uid="{0B12D25A-0DAB-4A5B-A7FF-B1613FABEB4B}">
      <text>
        <r>
          <rPr>
            <sz val="10"/>
            <color indexed="81"/>
            <rFont val="Tahoma"/>
            <family val="2"/>
          </rPr>
          <t>Korkoprosenttia voidaan muuttaa suunnitelmakaudella.</t>
        </r>
      </text>
    </comment>
    <comment ref="C52" authorId="0" shapeId="0" xr:uid="{CF72B871-A55E-4175-92E4-D44A72B8D635}">
      <text>
        <r>
          <rPr>
            <sz val="10"/>
            <color indexed="81"/>
            <rFont val="Tahoma"/>
            <family val="2"/>
          </rPr>
          <t>Laina/osamaksu, jota maksetaan kuukausittain samansuuruisina summina.</t>
        </r>
      </text>
    </comment>
    <comment ref="F52" authorId="0" shapeId="0" xr:uid="{62E2C9FB-00C5-4A1A-AA74-FFF739D8B820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53" authorId="0" shapeId="0" xr:uid="{0AF6C4F0-0762-48B0-AC46-D386187A6AFA}">
      <text>
        <r>
          <rPr>
            <sz val="10"/>
            <color indexed="81"/>
            <rFont val="Tahoma"/>
            <family val="2"/>
          </rPr>
          <t>Laina-aika on sama koko lainan ajan! Lainan tultua maksetuksi tarpeettomat luvut nollataan (ei DELETELLÄ!)</t>
        </r>
      </text>
    </comment>
    <comment ref="F59" authorId="0" shapeId="0" xr:uid="{0F4636E0-9758-4E38-8DA5-1BCD52CF0F4B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60" authorId="0" shapeId="0" xr:uid="{C8BCC738-28F3-4646-95AC-0138C634B63A}">
      <text>
        <r>
          <rPr>
            <sz val="10"/>
            <color indexed="81"/>
            <rFont val="Tahoma"/>
            <family val="2"/>
          </rPr>
          <t>Laina-aika on sama koko lainan ajan! Lainan tultua maksetuksi tarpeettomat luvut nollataan (ei DELETELLÄ!)</t>
        </r>
      </text>
    </comment>
    <comment ref="F66" authorId="0" shapeId="0" xr:uid="{B6B32599-E0E4-4A35-B3D9-FC56718EED0B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73" authorId="0" shapeId="0" xr:uid="{D3DCCE74-CE14-436C-9864-A9F729C18BC3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C87" authorId="0" shapeId="0" xr:uid="{AA5B7E6B-9CDF-432C-9FB2-D94396968265}">
      <text>
        <r>
          <rPr>
            <sz val="10"/>
            <color indexed="81"/>
            <rFont val="Tahoma"/>
            <family val="2"/>
          </rPr>
          <t>Tasaerälainaa lyhennetään 2 kertaa vuodessa yhtä suurissa lyhennyserissä.</t>
        </r>
      </text>
    </comment>
    <comment ref="D87" authorId="0" shapeId="0" xr:uid="{FC0B959C-9E75-49F4-B34C-918AD16E4C51}">
      <text>
        <r>
          <rPr>
            <sz val="10"/>
            <color indexed="81"/>
            <rFont val="Tahoma"/>
            <family val="2"/>
          </rPr>
          <t>Jäljellä oleva lainapääoma tilikauden päättymispäivänä.</t>
        </r>
      </text>
    </comment>
    <comment ref="F89" authorId="0" shapeId="0" xr:uid="{9E63E705-0C4B-4A08-A257-5B62537A5B02}">
      <text>
        <r>
          <rPr>
            <sz val="10"/>
            <color indexed="81"/>
            <rFont val="Tahoma"/>
            <family val="2"/>
          </rPr>
          <t>Lainan viimeinen erä tarkistetaan oikeaksi siten, että tilikauden alkupääoma saadaan nollaksi. NOLLATAAN tarpeettomat lyhennyserät ja korko-% (EI DELETELLÄ!).</t>
        </r>
      </text>
    </comment>
    <comment ref="F94" authorId="0" shapeId="0" xr:uid="{96C9687C-E9B8-4851-B893-0B32A5F720B5}">
      <text>
        <r>
          <rPr>
            <sz val="10"/>
            <color indexed="81"/>
            <rFont val="Tahoma"/>
            <family val="2"/>
          </rPr>
          <t>Lainan viimeinen erä tarkistetaan oikeaksi siten, että tilikauden alkupääoma saadaan nollaksi. NOLLATAAN tarpeettomat lyhennyserät ja korko-% (EI DELETELLÄ!).</t>
        </r>
      </text>
    </comment>
    <comment ref="C117" authorId="0" shapeId="0" xr:uid="{25A750FB-FFCD-4FD1-8D25-FECD0DE6339F}">
      <text>
        <r>
          <rPr>
            <sz val="10"/>
            <color indexed="81"/>
            <rFont val="Tahoma"/>
            <family val="2"/>
          </rPr>
          <t>Laina/osamaksu, jota maksetaan kuukausittain samansuuruisina summina.</t>
        </r>
      </text>
    </comment>
    <comment ref="D117" authorId="0" shapeId="0" xr:uid="{63B1F182-FABE-4C3E-8A71-FC578A3657A2}">
      <text>
        <r>
          <rPr>
            <sz val="10"/>
            <color indexed="81"/>
            <rFont val="Tahoma"/>
            <family val="2"/>
          </rPr>
          <t>Jäljellä oleva lainapääoma tilikauden päättymispäivänä.</t>
        </r>
      </text>
    </comment>
    <comment ref="C118" authorId="0" shapeId="0" xr:uid="{417C6B0A-C9B0-415E-AE3F-0E1514523766}">
      <text>
        <r>
          <rPr>
            <sz val="10"/>
            <color indexed="81"/>
            <rFont val="Tahoma"/>
            <family val="2"/>
          </rPr>
          <t>Vuosien määrä vuoden alusta laina-ajan loppuun pyöristettynä kokonaisluvuksi.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U11" authorId="0" shapeId="0" xr:uid="{C1437089-6350-42B1-9925-4D443FB12F87}">
      <text>
        <r>
          <rPr>
            <sz val="10"/>
            <color indexed="81"/>
            <rFont val="Tahoma"/>
            <family val="2"/>
          </rPr>
          <t>Kustannukset nousevat vuosittain. Muuta prosenttia tarvittaessa tai kirjoita luku suoraan taulukkoon.</t>
        </r>
      </text>
    </comment>
    <comment ref="C23" authorId="0" shapeId="0" xr:uid="{EBD4E899-E998-436E-AA8E-E62522B37FDE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C29" authorId="0" shapeId="0" xr:uid="{E47F84BB-60CB-421C-97B2-3EEB4AC29CBE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C33" authorId="0" shapeId="0" xr:uid="{7D55B6E5-7A90-4704-A54E-44A1310DC032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F36" authorId="0" shapeId="0" xr:uid="{C782D123-1E21-43EC-9473-FA24F288B252}">
      <text>
        <r>
          <rPr>
            <sz val="10"/>
            <color indexed="81"/>
            <rFont val="Tahoma"/>
            <family val="2"/>
          </rPr>
          <t>Tarkoitetaan palkkaa ilman henkilösivukuluja.</t>
        </r>
      </text>
    </comment>
    <comment ref="F37" authorId="0" shapeId="0" xr:uid="{AB442470-7452-421E-82AC-37AB86DF961D}">
      <text>
        <r>
          <rPr>
            <sz val="10"/>
            <color indexed="81"/>
            <rFont val="Tahoma"/>
            <family val="2"/>
          </rPr>
          <t>8 tunnin työpäivä=palkkatunnit 172
7,6 tunnin työpäivä=palkkatunnit 162</t>
        </r>
      </text>
    </comment>
    <comment ref="F39" authorId="0" shapeId="0" xr:uid="{A197D641-9C7F-40E2-8959-C8AA0332F5AA}">
      <text>
        <r>
          <rPr>
            <sz val="10"/>
            <color indexed="81"/>
            <rFont val="Tahoma"/>
            <family val="2"/>
          </rPr>
          <t>Palkanmaksukuukausia on jatkuvassa työsuhteessa (täysi lomaoikeus) 10,5, jonka lisäksi tulee loma-ajan palkka ja lomaraha. Ohjelma laskee lomapalkkiot valmiiksi.</t>
        </r>
      </text>
    </comment>
    <comment ref="F40" authorId="0" shapeId="0" xr:uid="{66775539-7E0D-486B-8516-B57911F6FA35}">
      <text>
        <r>
          <rPr>
            <b/>
            <sz val="10"/>
            <color indexed="81"/>
            <rFont val="Tahoma"/>
            <family val="2"/>
          </rPr>
          <t>Peruspalkan lisäksi maksetaan</t>
        </r>
        <r>
          <rPr>
            <sz val="10"/>
            <color indexed="81"/>
            <rFont val="Tahoma"/>
            <family val="2"/>
          </rPr>
          <t xml:space="preserve">
 - loma-ajan palkkaa ja lomakorvausta
   17,25 % peruspalkasta
 - arkipyhäkorvauksia 2,9 %
Yhteensä 20,15 %</t>
        </r>
      </text>
    </comment>
    <comment ref="F44" authorId="0" shapeId="0" xr:uid="{C899A0BB-BF04-4DA3-BA10-E37FD55213B5}">
      <text>
        <r>
          <rPr>
            <sz val="10"/>
            <color indexed="81"/>
            <rFont val="Tahoma"/>
            <family val="2"/>
          </rPr>
          <t>Yritys tilittää palkoista vakuutusyhtiölle TyEL-maksua 17,4%. Lisäksi työntekijän palkkatulosta peritään TyEL-maksua 7,15% (alle 53 v ja yli 62 v) tai 8,65% (53 - 62 v).</t>
        </r>
      </text>
    </comment>
    <comment ref="F46" authorId="0" shapeId="0" xr:uid="{3477C1EE-87BA-45FA-A3CA-FD882D2ECAE1}">
      <text>
        <r>
          <rPr>
            <sz val="10"/>
            <color indexed="81"/>
            <rFont val="Tahoma"/>
            <family val="2"/>
          </rPr>
          <t>Yritys maksaa  
- valtiolle sairausvakuutusmaksua 1,16 %
- vakuutusyhtiölle Tapaturma- ja henkivakuutusta 0,7 % 
  (tapaturma-alttiilla aloilla jopa 7 %) 
- Työttömyysvakuutusta 0,27 %
Yhteensä 2,13 %, korota tapaturma-alttiilla aloilla.</t>
        </r>
      </text>
    </comment>
    <comment ref="C47" authorId="0" shapeId="0" xr:uid="{B5FB9767-F772-425C-B244-D4FDA530C792}">
      <text>
        <r>
          <rPr>
            <sz val="10"/>
            <color indexed="81"/>
            <rFont val="Tahoma"/>
            <family val="2"/>
          </rPr>
          <t>Työntekijöille maksetut henkivakuutus-maksut, sairaskuluvakuutus, matkavakuutus mm.</t>
        </r>
      </text>
    </comment>
    <comment ref="C55" authorId="0" shapeId="0" xr:uid="{ECD46F5B-0CC7-407D-969C-F1C88D1A3755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Nämä voidaan vähentää verotuksessa kuluna yhdellä kerralla:
- Pienhankinnat esim. käsityökalut, pienlaitteet, puhelimet, joiden 
  hinta on enintään 1200 € alv 0 % ja ostosten arvo yhteensä 
  3600 €/vuodessa alv 0 %.
- Koneet ja laitteet (kuluva käyttöomaisuus), joiden todennäköinen 
  taloudellinen käyttöaika on alle 3 vuotta. Ei ylärajaa hinnalle.</t>
        </r>
      </text>
    </comment>
    <comment ref="D57" authorId="0" shapeId="0" xr:uid="{0F2148FF-0121-4A12-BF16-F049C3862E2C}">
      <text>
        <r>
          <rPr>
            <sz val="10"/>
            <color indexed="81"/>
            <rFont val="Tahoma"/>
            <family val="2"/>
          </rPr>
          <t>Älä yritä kirjoittaa. Täytä alla olevat solut!</t>
        </r>
      </text>
    </comment>
    <comment ref="C80" authorId="0" shapeId="0" xr:uid="{10CF17B1-3952-4489-8B93-698FF85C90B8}">
      <text>
        <r>
          <rPr>
            <sz val="10"/>
            <color indexed="81"/>
            <rFont val="Tahoma"/>
            <family val="2"/>
          </rPr>
          <t>Tähän voit lisätä muita kulueriä kuin edellä mainittu.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Jadelcons</author>
  </authors>
  <commentList>
    <comment ref="D52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59" authorId="0" shapeId="0" xr:uid="{00000000-0006-0000-0600-000002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66" authorId="0" shapeId="0" xr:uid="{00000000-0006-0000-0600-000003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73" authorId="0" shapeId="0" xr:uid="{00000000-0006-0000-0600-000004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80" authorId="0" shapeId="0" xr:uid="{00000000-0006-0000-0600-000005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18" authorId="0" shapeId="0" xr:uid="{721DC4EA-BCC2-4B20-BD46-153923A954E4}">
      <text>
        <r>
          <rPr>
            <sz val="10"/>
            <color indexed="81"/>
            <rFont val="Tahoma"/>
            <family val="2"/>
          </rPr>
          <t>Kirjoita tähän myytävän kotieläimen nimi</t>
        </r>
      </text>
    </comment>
    <comment ref="C20" authorId="0" shapeId="0" xr:uid="{CC9FECF4-7647-435C-9B33-06EF19FC4BCB}">
      <text>
        <r>
          <rPr>
            <sz val="10"/>
            <color indexed="81"/>
            <rFont val="Tahoma"/>
            <family val="2"/>
          </rPr>
          <t xml:space="preserve">Kirjoita yksikkö </t>
        </r>
      </text>
    </comment>
    <comment ref="C46" authorId="0" shapeId="0" xr:uid="{CE8D2B33-6EFD-4362-B00C-41C943C23426}">
      <text>
        <r>
          <rPr>
            <sz val="10"/>
            <color indexed="81"/>
            <rFont val="Tahoma"/>
            <family val="2"/>
          </rPr>
          <t xml:space="preserve">Kirjoita yksikkö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O8" authorId="0" shapeId="0" xr:uid="{E2167173-A7BD-4AA2-B464-14A9FE3BDA9B}">
      <text>
        <r>
          <rPr>
            <sz val="10"/>
            <color indexed="81"/>
            <rFont val="Tahoma"/>
            <family val="2"/>
          </rPr>
          <t>Pisin takaisinmaksuaika on 15 vuotta!</t>
        </r>
      </text>
    </comment>
    <comment ref="O9" authorId="0" shapeId="0" xr:uid="{35FF4ACA-A073-4001-BFB0-8A341DE3FA21}">
      <text>
        <r>
          <rPr>
            <sz val="10"/>
            <color indexed="81"/>
            <rFont val="Tahoma"/>
            <family val="2"/>
          </rPr>
          <t>Lyhennysvapaita vuosia voi olla enintään kaksi!</t>
        </r>
      </text>
    </comment>
    <comment ref="C10" authorId="0" shapeId="0" xr:uid="{D8FBAFC0-DD2D-4A81-AD56-6FD88D062B0A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D10" authorId="0" shapeId="0" xr:uid="{E4DD11F2-5C6E-4496-BA9B-385B0143D356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E10" authorId="0" shapeId="0" xr:uid="{86CAAA71-1C17-4F3C-B2B5-98DCF8A8485C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L16" authorId="0" shapeId="0" xr:uid="{624C1043-FA67-4414-8431-62EB7D63738B}">
      <text>
        <r>
          <rPr>
            <sz val="10"/>
            <color indexed="81"/>
            <rFont val="Tahoma"/>
            <family val="2"/>
          </rPr>
          <t>Tähän lainan nostovuosi</t>
        </r>
      </text>
    </comment>
    <comment ref="O16" authorId="0" shapeId="0" xr:uid="{613D84BF-1BCE-4FEE-9B0C-E197186AE575}">
      <text>
        <r>
          <rPr>
            <sz val="10"/>
            <color indexed="81"/>
            <rFont val="Tahoma"/>
            <family val="2"/>
          </rPr>
          <t>Poisto luvut tarpeettomilta vuosilta.</t>
        </r>
      </text>
    </comment>
  </commentList>
</comments>
</file>

<file path=xl/sharedStrings.xml><?xml version="1.0" encoding="utf-8"?>
<sst xmlns="http://schemas.openxmlformats.org/spreadsheetml/2006/main" count="709" uniqueCount="313">
  <si>
    <t xml:space="preserve"> </t>
  </si>
  <si>
    <t xml:space="preserve"> - sähkön kulutuskustannukset</t>
  </si>
  <si>
    <t xml:space="preserve"> - veden kulutuskustannukset</t>
  </si>
  <si>
    <t xml:space="preserve"> - lämmön kulutuskustannukset</t>
  </si>
  <si>
    <t>1. VUOSI</t>
  </si>
  <si>
    <t xml:space="preserve">2. VUOSI </t>
  </si>
  <si>
    <t xml:space="preserve"> - postimaksut</t>
  </si>
  <si>
    <t xml:space="preserve"> - nettiliittymämaksut, ohjelmistolisenssit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</si>
  <si>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</si>
  <si>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</si>
  <si>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</si>
  <si>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</si>
  <si>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</si>
  <si>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</si>
  <si>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</si>
  <si>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</si>
  <si>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</si>
  <si>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</si>
  <si>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3. VUOSI</t>
  </si>
  <si>
    <t xml:space="preserve">3. VUOSI </t>
  </si>
  <si>
    <t>Pääoma</t>
  </si>
  <si>
    <t>2. VUOSI</t>
  </si>
  <si>
    <t>Korko/kk</t>
  </si>
  <si>
    <t>Laina-aika kk</t>
  </si>
  <si>
    <t>Vuosimaksu</t>
  </si>
  <si>
    <t>4. VUOSI</t>
  </si>
  <si>
    <t>5. VUOSI</t>
  </si>
  <si>
    <t>6. VUOSI</t>
  </si>
  <si>
    <t>Koronlaskentakuukausi</t>
  </si>
  <si>
    <t>Korko ½ vuoden kohdalla</t>
  </si>
  <si>
    <t>Korko vuodelta</t>
  </si>
  <si>
    <t>Lainan lyhennys/vuosi</t>
  </si>
  <si>
    <t>%</t>
  </si>
  <si>
    <t>7. VUOSI</t>
  </si>
  <si>
    <t xml:space="preserve"> - arvo tilikauden alussa</t>
  </si>
  <si>
    <t xml:space="preserve"> - poisto-%</t>
  </si>
  <si>
    <t xml:space="preserve"> - poisto euroa</t>
  </si>
  <si>
    <t xml:space="preserve"> - lainan pääoma kauden alussa</t>
  </si>
  <si>
    <t xml:space="preserve"> - lyhennys tilikaudella </t>
  </si>
  <si>
    <t xml:space="preserve"> - korko-%</t>
  </si>
  <si>
    <t xml:space="preserve"> - lainan pääoma kauden lopussa</t>
  </si>
  <si>
    <t xml:space="preserve"> - korko euroa</t>
  </si>
  <si>
    <t>Tot.</t>
  </si>
  <si>
    <t>Nosto €</t>
  </si>
  <si>
    <t xml:space="preserve"> Pvm.</t>
  </si>
  <si>
    <t xml:space="preserve"> Laatija</t>
  </si>
  <si>
    <t>VANHA LAINAT YHT. KAUDEN LOPUSSA</t>
  </si>
  <si>
    <t>MUISTIINPANOJA</t>
  </si>
  <si>
    <t>INVESTOINNIT JA RAHOITUS</t>
  </si>
  <si>
    <t xml:space="preserve"> - vuokrattu peltoala ha</t>
  </si>
  <si>
    <t xml:space="preserve"> - vuokra vuodessa / ha</t>
  </si>
  <si>
    <t xml:space="preserve"> - lukumäärä</t>
  </si>
  <si>
    <t xml:space="preserve"> - yksikköhinta</t>
  </si>
  <si>
    <t xml:space="preserve"> - pankkiyhteyskulut</t>
  </si>
  <si>
    <t xml:space="preserve"> - työkoneiden vakuutukset</t>
  </si>
  <si>
    <t xml:space="preserve"> - vuosikulutus (kg)</t>
  </si>
  <si>
    <t xml:space="preserve"> - yksikköhinta (eur / kg)</t>
  </si>
  <si>
    <t xml:space="preserve"> - jäsenmaksut</t>
  </si>
  <si>
    <t xml:space="preserve">1. VUOSI </t>
  </si>
  <si>
    <t xml:space="preserve">4. VUOSI </t>
  </si>
  <si>
    <t xml:space="preserve">5. VUOSI </t>
  </si>
  <si>
    <t xml:space="preserve">6. VUOSI </t>
  </si>
  <si>
    <t xml:space="preserve">7. VUOSI </t>
  </si>
  <si>
    <t xml:space="preserve"> - maidontuotanto yhteensä</t>
  </si>
  <si>
    <t>INVESTOINNIT YHTEENSÄ</t>
  </si>
  <si>
    <t>Pääoma 31.12</t>
  </si>
  <si>
    <t xml:space="preserve"> - eläinmäärä</t>
  </si>
  <si>
    <t xml:space="preserve"> Maidon myyntitulot </t>
  </si>
  <si>
    <t>kpl</t>
  </si>
  <si>
    <t xml:space="preserve"> - määrä / eläin</t>
  </si>
  <si>
    <t xml:space="preserve"> - määrä yhteensä</t>
  </si>
  <si>
    <t>KOTIELÄINTUOTANNON MYYNTITULOT ALV 0 %</t>
  </si>
  <si>
    <t xml:space="preserve"> - yksikköhinta eur / litra</t>
  </si>
  <si>
    <t>Investointihankkeen nimi</t>
  </si>
  <si>
    <t>Peltoalatuet</t>
  </si>
  <si>
    <t>RAHOITUS YHTEENSÄ</t>
  </si>
  <si>
    <t>INVESTOINNIN RAHOITUS</t>
  </si>
  <si>
    <t xml:space="preserve"> - Tuotantotuki snt/litra</t>
  </si>
  <si>
    <t>Toteutunut</t>
  </si>
  <si>
    <t>Alv 0 %</t>
  </si>
  <si>
    <t xml:space="preserve"> - Peltoala</t>
  </si>
  <si>
    <t>Kotieläintuotannon tuet</t>
  </si>
  <si>
    <t>Kasvintuotannon myynti</t>
  </si>
  <si>
    <t>Kotieläintuotannon myynti</t>
  </si>
  <si>
    <t>RAHAN LÄHTEET</t>
  </si>
  <si>
    <t xml:space="preserve">RAHAN KÄYTTÖ </t>
  </si>
  <si>
    <t>11.</t>
  </si>
  <si>
    <t>12.</t>
  </si>
  <si>
    <t xml:space="preserve"> Viljelykasvi 2</t>
  </si>
  <si>
    <t xml:space="preserve"> Viljelykasvi 3</t>
  </si>
  <si>
    <t xml:space="preserve"> Viljelykasvi 4</t>
  </si>
  <si>
    <t xml:space="preserve"> Viljelykasvi 5</t>
  </si>
  <si>
    <t>14.</t>
  </si>
  <si>
    <t>15.</t>
  </si>
  <si>
    <t xml:space="preserve"> - laina-aika kuukautta</t>
  </si>
  <si>
    <t xml:space="preserve"> - korko euroa </t>
  </si>
  <si>
    <t xml:space="preserve"> - vuosimaksut (maksut joka kuukausi)</t>
  </si>
  <si>
    <t>Vuosi</t>
  </si>
  <si>
    <t>Lainapääoma kauden lopussa</t>
  </si>
  <si>
    <t>Kuukausimaksu</t>
  </si>
  <si>
    <t>Lainan nostosumma</t>
  </si>
  <si>
    <t xml:space="preserve">Laina </t>
  </si>
  <si>
    <t xml:space="preserve"> - ELY-keskuksen tukiprosentti</t>
  </si>
  <si>
    <t>UUDET ANNUITEETTILAINAT</t>
  </si>
  <si>
    <t>VANHAT ANNUITEETTILAINAT</t>
  </si>
  <si>
    <t>Pääoma kauden lopussa</t>
  </si>
  <si>
    <t>Laina:</t>
  </si>
  <si>
    <t xml:space="preserve"> - jäljellä olevien kk-maksuerien määrä (kpl)</t>
  </si>
  <si>
    <t xml:space="preserve"> - ensim. Kausi</t>
  </si>
  <si>
    <t xml:space="preserve"> - viimeinen kausi</t>
  </si>
  <si>
    <t xml:space="preserve"> Annuiteettilaina/osamaksurahoitus 1</t>
  </si>
  <si>
    <t xml:space="preserve"> Annuiteettilaina/osamaksurahoitus 4</t>
  </si>
  <si>
    <t xml:space="preserve"> Annuiteettilaina/osamaksurahoitus 3</t>
  </si>
  <si>
    <t xml:space="preserve"> Annuiteettilaina/osamaksurahoitus 2</t>
  </si>
  <si>
    <t>13.</t>
  </si>
  <si>
    <t>ANNUITEETTILAINAN VUOSIKUSTANNUSLASKELMA</t>
  </si>
  <si>
    <t>VAIHTOEHDOT</t>
  </si>
  <si>
    <t xml:space="preserve">  Vuosikorko</t>
  </si>
  <si>
    <t xml:space="preserve">  Maksuerät vuodessa</t>
  </si>
  <si>
    <t xml:space="preserve">  Takaisinmaksuvuodet</t>
  </si>
  <si>
    <t xml:space="preserve">  Korkokaudet</t>
  </si>
  <si>
    <t xml:space="preserve">  % pääomasta</t>
  </si>
  <si>
    <t xml:space="preserve">  Maksuaika vuosia</t>
  </si>
  <si>
    <t xml:space="preserve">  Vuosimaksu (euroa)</t>
  </si>
  <si>
    <t xml:space="preserve">  Maksu/erä (euroa)</t>
  </si>
  <si>
    <t xml:space="preserve">  Lainan pääoma (euroa)</t>
  </si>
  <si>
    <t xml:space="preserve">  Haluttu maksuerä/kk (euroa)</t>
  </si>
  <si>
    <t>TASAERÄLAINAN VUOSIKUSTANNUSLASKELMA</t>
  </si>
  <si>
    <t xml:space="preserve"> euroa</t>
  </si>
  <si>
    <t xml:space="preserve"> vuotta</t>
  </si>
  <si>
    <t>Pääoma kauden alussa</t>
  </si>
  <si>
    <t>Vuosikorko-prosentti</t>
  </si>
  <si>
    <t>Lyhennys-erän suuruus</t>
  </si>
  <si>
    <t>Koron määrä vuodessa</t>
  </si>
  <si>
    <t>Lainan-hoitokulut</t>
  </si>
  <si>
    <t xml:space="preserve"> Lainan määrä</t>
  </si>
  <si>
    <t xml:space="preserve"> Takaisinmaksuaika</t>
  </si>
  <si>
    <t xml:space="preserve"> Lyhennysvapaat vuodet</t>
  </si>
  <si>
    <t xml:space="preserve"> Lyhennysvuodet</t>
  </si>
  <si>
    <t>Arvonlisävero-%</t>
  </si>
  <si>
    <t>Tämä päivä</t>
  </si>
  <si>
    <t xml:space="preserve"> - investoinnit sis. Alv </t>
  </si>
  <si>
    <t xml:space="preserve"> - nettoinvestoinnit sis. Alv </t>
  </si>
  <si>
    <t>MUISTIINPANOJA / MAATALOUDEN MENOERITTELY</t>
  </si>
  <si>
    <t xml:space="preserve"> MUISTIINPANOT / KOTIELÄINTUOTANNON MYYNTITULOT</t>
  </si>
  <si>
    <t xml:space="preserve"> MUISTIINPANOT / KASVINTUOTANNON MYYNTITULOT</t>
  </si>
  <si>
    <t xml:space="preserve"> - lannoitekustannus/hehtaari</t>
  </si>
  <si>
    <t xml:space="preserve"> - laidunala (ha)</t>
  </si>
  <si>
    <t xml:space="preserve"> - kalkitusala (ha)</t>
  </si>
  <si>
    <t xml:space="preserve"> - kalkituskustannus/hehtaari</t>
  </si>
  <si>
    <t xml:space="preserve"> - säilörehun tuotantoala (ha)</t>
  </si>
  <si>
    <t xml:space="preserve"> INVESTOINNIN RAHOITUS</t>
  </si>
  <si>
    <t xml:space="preserve"> - työtunnit / kk / henkilö</t>
  </si>
  <si>
    <t xml:space="preserve"> - työntekijät, lukumäärä</t>
  </si>
  <si>
    <t xml:space="preserve"> - palkanmaksukuukaudet</t>
  </si>
  <si>
    <t xml:space="preserve"> - peruspalkan lisäksi maksettavat lisäpalkat</t>
  </si>
  <si>
    <t xml:space="preserve"> - luontaisedut yhteensä vuodessa</t>
  </si>
  <si>
    <t xml:space="preserve"> - tuntipalkka keskim. / kk / henkilö</t>
  </si>
  <si>
    <t xml:space="preserve"> - TyEL-vakuutusmaksuprosentti yht.</t>
  </si>
  <si>
    <t xml:space="preserve"> - automenot yhteensä</t>
  </si>
  <si>
    <t xml:space="preserve"> 9.1 TyEL-eläkekulut</t>
  </si>
  <si>
    <t xml:space="preserve"> - puhelinmaksut yhteensä</t>
  </si>
  <si>
    <t xml:space="preserve"> - peltokasviala (ha)</t>
  </si>
  <si>
    <t xml:space="preserve"> - jäljellä olevia laina-aika vuotta (kokonaisluku)</t>
  </si>
  <si>
    <t xml:space="preserve"> - kylvöala (ha)</t>
  </si>
  <si>
    <t xml:space="preserve"> - siemenkustannus/ha</t>
  </si>
  <si>
    <t xml:space="preserve"> - kustannus/ha</t>
  </si>
  <si>
    <t xml:space="preserve"> - kasvinsuojeluala (ha)</t>
  </si>
  <si>
    <t xml:space="preserve"> - eläinmäärä </t>
  </si>
  <si>
    <t xml:space="preserve"> - maidontuotanto /eläin </t>
  </si>
  <si>
    <t>kg</t>
  </si>
  <si>
    <t>Kustannusten korotusprosentti (voidaan muuttaa)</t>
  </si>
  <si>
    <t>hiiren rullaa tai paina F1</t>
  </si>
  <si>
    <t>Jos kuvat eivät lataudu niin pyöräytä</t>
  </si>
  <si>
    <t xml:space="preserve">Laskelma ilmoittaa likimääräisen takaisinmaksuajan, </t>
  </si>
  <si>
    <t>Laskelma ilmoittaa lainaerän suuruuden.</t>
  </si>
  <si>
    <t>kun ilmoitetaan maksuerän suuruus.</t>
  </si>
  <si>
    <t>Laskelma ilmoittaa maksuerien suuruuden, kun lainaa lyhennetään</t>
  </si>
  <si>
    <t>tasasuuruisina erinä ja laina-ajan pituus tiedetään.</t>
  </si>
  <si>
    <t>TULOSLASKELMA</t>
  </si>
  <si>
    <t>Tuotantomenot</t>
  </si>
  <si>
    <t>Yritystoiminnan verotettava tulo</t>
  </si>
  <si>
    <t>Yritystoiminnan lainanlyhennykset</t>
  </si>
  <si>
    <t xml:space="preserve"> - Tuotantorakennukset </t>
  </si>
  <si>
    <t xml:space="preserve"> KÄYTTÖOMAISUUS JA INVESTOINNIT </t>
  </si>
  <si>
    <t>VANHAT LAINAT</t>
  </si>
  <si>
    <t>Yrityksen nimi</t>
  </si>
  <si>
    <t>MENOERITTELYT ALV 0 %</t>
  </si>
  <si>
    <t xml:space="preserve"> - yritystoiminnan %-osuus</t>
  </si>
  <si>
    <t xml:space="preserve"> - yritystoiminnan %-osuus puh. maksuista</t>
  </si>
  <si>
    <t xml:space="preserve"> - yritystoiminnan kiinteistövero</t>
  </si>
  <si>
    <t xml:space="preserve"> - yrityskiinteistöjen vakuutukset</t>
  </si>
  <si>
    <t xml:space="preserve"> - muut yritystoiminnan vakuutukset</t>
  </si>
  <si>
    <t xml:space="preserve">KÄYTTÖOMAISUUS JA INVESTOINNIT </t>
  </si>
  <si>
    <t>Yritystoiminnan liikevaihto</t>
  </si>
  <si>
    <t>YRITYKSEN KANNATTAVUUDEN KEHITYS SUUNNITELMAKAUDELLA</t>
  </si>
  <si>
    <t>Rahoitustulos (oltava suurempi kuin lainanlyhennykset)</t>
  </si>
  <si>
    <t xml:space="preserve">sis. alv </t>
  </si>
  <si>
    <t xml:space="preserve"> - lainan pääoma tilikauden  alussa</t>
  </si>
  <si>
    <t xml:space="preserve"> Myytävät välitysvasikat, tulot</t>
  </si>
  <si>
    <t xml:space="preserve"> - viljelyala </t>
  </si>
  <si>
    <t xml:space="preserve"> - keskimäärin kg/pinta-alayksikkö</t>
  </si>
  <si>
    <t>ha</t>
  </si>
  <si>
    <t xml:space="preserve"> - myyntihinta / yksikkö</t>
  </si>
  <si>
    <t xml:space="preserve"> - myyntimäärä </t>
  </si>
  <si>
    <t xml:space="preserve"> Viljelykasvi 1, myyntituotto</t>
  </si>
  <si>
    <t xml:space="preserve"> Kotieläinmyynti 1</t>
  </si>
  <si>
    <t xml:space="preserve"> Kotieläinmyynti 4</t>
  </si>
  <si>
    <t xml:space="preserve"> Kotieläinmyynti 3</t>
  </si>
  <si>
    <t xml:space="preserve"> Kotieläinmyynti 2</t>
  </si>
  <si>
    <t xml:space="preserve"> Tuotantorakennukset ja -alueet</t>
  </si>
  <si>
    <t xml:space="preserve"> Kalusto </t>
  </si>
  <si>
    <t xml:space="preserve"> Muu investointi sis. ALV</t>
  </si>
  <si>
    <t xml:space="preserve"> Käyttöpääoman lisäys</t>
  </si>
  <si>
    <t xml:space="preserve"> YHTEENSÄ</t>
  </si>
  <si>
    <t xml:space="preserve"> Pitkäaikaiset lainat</t>
  </si>
  <si>
    <t xml:space="preserve"> Investointituet</t>
  </si>
  <si>
    <t xml:space="preserve"> Arvonlisäveron palautus</t>
  </si>
  <si>
    <t xml:space="preserve"> Oma rahoitus</t>
  </si>
  <si>
    <t xml:space="preserve"> Kotieläintuotannon myyntitulot</t>
  </si>
  <si>
    <t xml:space="preserve"> Maidon tuotantotuki</t>
  </si>
  <si>
    <t xml:space="preserve"> Muut kotieläintalouden tuet</t>
  </si>
  <si>
    <t xml:space="preserve"> Kasvintuotannon myyntitulot</t>
  </si>
  <si>
    <t xml:space="preserve"> Peltoalatuet</t>
  </si>
  <si>
    <t xml:space="preserve"> Muut tulot 1 (ei palkkatulot)</t>
  </si>
  <si>
    <t xml:space="preserve"> Muut tulot 2 (ei palkkatulot)</t>
  </si>
  <si>
    <t xml:space="preserve"> Muut tulot 3 (ei palkkatulot)</t>
  </si>
  <si>
    <t xml:space="preserve"> LIIKEVAIHTO</t>
  </si>
  <si>
    <t xml:space="preserve"> Tuotantomenot</t>
  </si>
  <si>
    <t xml:space="preserve"> Rahoituskulut</t>
  </si>
  <si>
    <t xml:space="preserve"> MYEL/YEL-maksut, vap.eht. eläkem.</t>
  </si>
  <si>
    <t xml:space="preserve"> Tulos ennen veroja ja poistoja</t>
  </si>
  <si>
    <t xml:space="preserve"> Poistot</t>
  </si>
  <si>
    <t xml:space="preserve"> Yritystoiminnan verotettava tulo</t>
  </si>
  <si>
    <t xml:space="preserve"> Yritystoiminnan lainanlyhennykset</t>
  </si>
  <si>
    <t xml:space="preserve"> Tuotantorakennukset tilikauden loppu</t>
  </si>
  <si>
    <t xml:space="preserve"> Koneet tilikauden lopussa</t>
  </si>
  <si>
    <t xml:space="preserve"> Muu investointi, sis. arvonlisäveron</t>
  </si>
  <si>
    <t xml:space="preserve"> Tasaerälyhennyslaina 1</t>
  </si>
  <si>
    <t xml:space="preserve"> Tasaerälyhennyslaina 2</t>
  </si>
  <si>
    <t xml:space="preserve"> Tasaerälyhennyslaina 3</t>
  </si>
  <si>
    <t xml:space="preserve"> Tasaerälyhennyslaina 4</t>
  </si>
  <si>
    <t xml:space="preserve"> UUDET LAINAT YHTEENSÄ KAUDEN LOPUSSA</t>
  </si>
  <si>
    <t xml:space="preserve"> ELY-KESKUKSEN TUET YHTEENSÄ</t>
  </si>
  <si>
    <t xml:space="preserve"> ARVONLISÄVERON PALAUTUS</t>
  </si>
  <si>
    <t xml:space="preserve"> OMA RAHOITUS</t>
  </si>
  <si>
    <t xml:space="preserve"> Tasaerälaina 1</t>
  </si>
  <si>
    <t xml:space="preserve"> Tasaerälaina 2</t>
  </si>
  <si>
    <t xml:space="preserve"> Tasaerälaina 3</t>
  </si>
  <si>
    <t xml:space="preserve"> Tasaerälaina 4</t>
  </si>
  <si>
    <t xml:space="preserve"> Tasaerälaina 5</t>
  </si>
  <si>
    <t xml:space="preserve"> Tasaerälaina 6</t>
  </si>
  <si>
    <t xml:space="preserve"> Annuiteettilaina 1</t>
  </si>
  <si>
    <t xml:space="preserve"> Annuiteettilaina 2</t>
  </si>
  <si>
    <t xml:space="preserve"> Annuiteettilaina 3</t>
  </si>
  <si>
    <t xml:space="preserve"> Annuiteettilaina 4</t>
  </si>
  <si>
    <t xml:space="preserve"> Annuiteettilaina 5</t>
  </si>
  <si>
    <t xml:space="preserve"> LAINAT YHTEENSÄ KAUDEN LOPUSSA</t>
  </si>
  <si>
    <t xml:space="preserve"> KAUDEN LAINANLYHENNYKSET YHT.</t>
  </si>
  <si>
    <t xml:space="preserve"> KAUDEN KORKOKULUT YHTEENSÄ</t>
  </si>
  <si>
    <t xml:space="preserve"> VANHAT LAINAT</t>
  </si>
  <si>
    <t>KASVINTUOTANNON   MYYNTITULOT ALV 0 %</t>
  </si>
  <si>
    <t xml:space="preserve"> Kotieläintuotannon tulot yhteensä</t>
  </si>
  <si>
    <t xml:space="preserve"> KASVITUOTANNON MYYNTI YHT.</t>
  </si>
  <si>
    <t xml:space="preserve"> Maataloustuotannon tulot yhteensä</t>
  </si>
  <si>
    <t xml:space="preserve"> Tarkistus: Viljelty peltoala yhteensä</t>
  </si>
  <si>
    <t xml:space="preserve"> Tuotantoeläinten osto</t>
  </si>
  <si>
    <t xml:space="preserve"> Rehujen osto</t>
  </si>
  <si>
    <t xml:space="preserve"> Muut kotieläintalouden menot</t>
  </si>
  <si>
    <t xml:space="preserve"> Lannoitekulut</t>
  </si>
  <si>
    <t xml:space="preserve"> 4.1 Säilörehun tuotantoalat</t>
  </si>
  <si>
    <t xml:space="preserve"> 4.2 Laidunalat</t>
  </si>
  <si>
    <t xml:space="preserve"> 4.3 Peltokasvialat, vihannesalat</t>
  </si>
  <si>
    <t xml:space="preserve"> Kalkituskustannukset</t>
  </si>
  <si>
    <t xml:space="preserve"> Siemenet, taimet yms.</t>
  </si>
  <si>
    <t xml:space="preserve"> Kasvinsuojelu</t>
  </si>
  <si>
    <t xml:space="preserve"> 9.2 Muut henkilösivukulut</t>
  </si>
  <si>
    <t xml:space="preserve"> 9.3 Muut henkilövakuutusmaksut</t>
  </si>
  <si>
    <t xml:space="preserve"> HENKILÖSTÖKULUT YHTEENSÄ</t>
  </si>
  <si>
    <t xml:space="preserve"> Urakointikulut</t>
  </si>
  <si>
    <t xml:space="preserve"> Poltto- ja voiteluaineet</t>
  </si>
  <si>
    <t xml:space="preserve"> Sähkö, vesi, lämpö</t>
  </si>
  <si>
    <t xml:space="preserve"> Koneiden korjaus ja pienhankinnat</t>
  </si>
  <si>
    <t xml:space="preserve"> Peltoalavuokrat</t>
  </si>
  <si>
    <t xml:space="preserve"> Rakennusten korjaus</t>
  </si>
  <si>
    <t xml:space="preserve"> Ojien yms. kunnossapito</t>
  </si>
  <si>
    <t xml:space="preserve"> Vakuutusmaksut</t>
  </si>
  <si>
    <t xml:space="preserve"> Automenot</t>
  </si>
  <si>
    <t xml:space="preserve"> Tietoliikenne- ja  pankkiyhteyskulut</t>
  </si>
  <si>
    <t xml:space="preserve"> Kirjanpito</t>
  </si>
  <si>
    <t xml:space="preserve"> Koulutus</t>
  </si>
  <si>
    <t xml:space="preserve"> Lehdet ym. sellaiset</t>
  </si>
  <si>
    <t xml:space="preserve"> Muut kulut</t>
  </si>
  <si>
    <t xml:space="preserve"> MAATALOUS YHTEENSÄ</t>
  </si>
  <si>
    <t>yritysTulkki TALOUSAGRI</t>
  </si>
  <si>
    <t xml:space="preserve"> Ohjelman käyttöoikeus voimassa: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</si>
  <si>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</si>
  <si>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</si>
  <si>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</si>
  <si>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</si>
  <si>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</si>
  <si>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</si>
  <si>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</si>
  <si>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</si>
  <si>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</si>
  <si>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 xml:space="preserve"> Peltoala (euroa)</t>
  </si>
  <si>
    <t xml:space="preserve"> Henkilöstösivukulut</t>
  </si>
  <si>
    <t xml:space="preserve"> Työntekijöiden palkat</t>
  </si>
  <si>
    <t>€</t>
  </si>
  <si>
    <t xml:space="preserve"> - työntekijöiden sotu- ja vakuutusmaksu-%</t>
  </si>
  <si>
    <t xml:space="preserve"> Päivitys 5.2.2024</t>
  </si>
  <si>
    <t>Yritystulkin tarjoaa:</t>
  </si>
  <si>
    <t>Siilinjärvi/Sydän-Savon maaseutupalvelut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</si>
</sst>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#,##0.00\ &quot;€&quot;;[Red]\-#,##0.00\ &quot;€&quot;"/>
    <numFmt numFmtId="164" formatCode="0.0\ %"/>
    <numFmt numFmtId="165" formatCode="#,##0_ ;[Red]\-#,##0\ "/>
    <numFmt numFmtId="166" formatCode="0.000"/>
    <numFmt numFmtId="167" formatCode="0.0"/>
    <numFmt numFmtId="168" formatCode="#,##0.0"/>
    <numFmt numFmtId="169" formatCode="0.000\ %"/>
    <numFmt numFmtId="170" formatCode="#,##0.000"/>
    <numFmt numFmtId="171" formatCode="#,##0.00_ ;[Red]\-#,##0.00\ "/>
  </numFmts>
  <fonts count="44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i/>
      <sz val="8"/>
      <name val="Arial"/>
      <family val="2"/>
    </font>
    <font>
      <b/>
      <u/>
      <sz val="10"/>
      <color indexed="12"/>
      <name val="Arial"/>
      <family val="2"/>
    </font>
    <font>
      <sz val="10"/>
      <color indexed="3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2"/>
      <color indexed="10"/>
      <name val="Arial"/>
      <family val="2"/>
    </font>
    <font>
      <b/>
      <sz val="14"/>
      <name val="Arial"/>
      <family val="2"/>
    </font>
    <font>
      <sz val="8"/>
      <name val="Arial Narrow"/>
      <family val="2"/>
    </font>
    <font>
      <b/>
      <sz val="8"/>
      <name val="Verdana"/>
      <family val="2"/>
    </font>
    <font>
      <u/>
      <sz val="8"/>
      <name val="Arial"/>
      <family val="2"/>
    </font>
    <font>
      <sz val="9"/>
      <color indexed="30"/>
      <name val="Arial"/>
      <family val="2"/>
    </font>
    <font>
      <u/>
      <sz val="9"/>
      <color indexed="12"/>
      <name val="Arial"/>
      <family val="2"/>
    </font>
    <font>
      <b/>
      <sz val="12"/>
      <name val="Calibri"/>
      <family val="2"/>
      <scheme val="minor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11"/>
      <name val="Calibri"/>
      <family val="2"/>
      <scheme val="minor"/>
    </font>
    <font>
      <sz val="12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indexed="81"/>
      <name val="Tahoma"/>
      <family val="2"/>
    </font>
    <font>
      <sz val="10"/>
      <color theme="0"/>
      <name val="Arial"/>
      <family val="2"/>
    </font>
    <font>
      <b/>
      <sz val="10"/>
      <name val="Arial"/>
      <family val="2"/>
      <charset val="1"/>
    </font>
    <font>
      <b/>
      <sz val="10"/>
      <color theme="1"/>
      <name val="Arial"/>
      <family val="2"/>
    </font>
    <font>
      <b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3C404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 tint="-0.34998626667073579"/>
      </right>
      <top/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830">
    <xf numFmtId="0" fontId="0" fillId="0" borderId="0" xfId="0"/>
    <xf numFmtId="0" fontId="4" fillId="0" borderId="0" xfId="0" applyFont="1"/>
    <xf numFmtId="0" fontId="5" fillId="0" borderId="0" xfId="0" applyFont="1"/>
    <xf numFmtId="0" fontId="13" fillId="0" borderId="0" xfId="0" applyFont="1"/>
    <xf numFmtId="0" fontId="0" fillId="2" borderId="0" xfId="0" applyFill="1"/>
    <xf numFmtId="3" fontId="5" fillId="2" borderId="0" xfId="0" applyNumberFormat="1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8" fontId="5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0" fontId="6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17" fillId="2" borderId="0" xfId="0" applyFont="1" applyFill="1"/>
    <xf numFmtId="0" fontId="15" fillId="0" borderId="0" xfId="0" applyFont="1" applyAlignment="1">
      <alignment horizontal="right"/>
    </xf>
    <xf numFmtId="0" fontId="0" fillId="0" borderId="0" xfId="0" applyProtection="1">
      <protection hidden="1"/>
    </xf>
    <xf numFmtId="0" fontId="12" fillId="0" borderId="0" xfId="0" applyFont="1"/>
    <xf numFmtId="3" fontId="13" fillId="0" borderId="0" xfId="0" applyNumberFormat="1" applyFont="1" applyProtection="1">
      <protection hidden="1"/>
    </xf>
    <xf numFmtId="3" fontId="13" fillId="0" borderId="0" xfId="0" applyNumberFormat="1" applyFont="1"/>
    <xf numFmtId="164" fontId="13" fillId="0" borderId="0" xfId="0" applyNumberFormat="1" applyFont="1"/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168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164" fontId="0" fillId="0" borderId="0" xfId="2" applyNumberFormat="1" applyFont="1"/>
    <xf numFmtId="165" fontId="0" fillId="0" borderId="0" xfId="0" applyNumberFormat="1"/>
    <xf numFmtId="0" fontId="7" fillId="0" borderId="2" xfId="0" applyFont="1" applyBorder="1"/>
    <xf numFmtId="0" fontId="4" fillId="0" borderId="0" xfId="0" applyFont="1" applyAlignment="1" applyProtection="1">
      <alignment horizontal="center"/>
      <protection hidden="1"/>
    </xf>
    <xf numFmtId="10" fontId="0" fillId="0" borderId="0" xfId="2" applyNumberFormat="1" applyFont="1" applyBorder="1"/>
    <xf numFmtId="0" fontId="4" fillId="0" borderId="3" xfId="0" applyFont="1" applyBorder="1"/>
    <xf numFmtId="0" fontId="4" fillId="0" borderId="3" xfId="0" applyFont="1" applyBorder="1" applyAlignment="1" applyProtection="1">
      <alignment horizontal="center"/>
      <protection hidden="1"/>
    </xf>
    <xf numFmtId="0" fontId="4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/>
    <xf numFmtId="0" fontId="13" fillId="0" borderId="5" xfId="0" applyFont="1" applyBorder="1" applyAlignment="1" applyProtection="1">
      <alignment vertical="center"/>
      <protection hidden="1"/>
    </xf>
    <xf numFmtId="0" fontId="8" fillId="0" borderId="0" xfId="0" applyFont="1"/>
    <xf numFmtId="14" fontId="5" fillId="0" borderId="0" xfId="0" applyNumberFormat="1" applyFont="1" applyAlignment="1" applyProtection="1">
      <alignment horizontal="right"/>
      <protection locked="0"/>
    </xf>
    <xf numFmtId="0" fontId="3" fillId="3" borderId="7" xfId="0" applyFont="1" applyFill="1" applyBorder="1" applyAlignment="1">
      <alignment horizontal="center"/>
    </xf>
    <xf numFmtId="1" fontId="5" fillId="3" borderId="8" xfId="0" applyNumberFormat="1" applyFont="1" applyFill="1" applyBorder="1" applyAlignment="1">
      <alignment horizontal="center"/>
    </xf>
    <xf numFmtId="0" fontId="15" fillId="0" borderId="0" xfId="0" applyFont="1" applyAlignment="1">
      <alignment vertical="center"/>
    </xf>
    <xf numFmtId="0" fontId="13" fillId="0" borderId="0" xfId="0" applyFont="1" applyAlignment="1" applyProtection="1">
      <alignment horizont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14" xfId="0" applyFont="1" applyBorder="1" applyAlignment="1">
      <alignment vertical="center"/>
    </xf>
    <xf numFmtId="0" fontId="3" fillId="3" borderId="16" xfId="0" applyFont="1" applyFill="1" applyBorder="1" applyAlignment="1">
      <alignment horizontal="center"/>
    </xf>
    <xf numFmtId="0" fontId="12" fillId="0" borderId="5" xfId="0" applyFont="1" applyBorder="1" applyAlignment="1" applyProtection="1">
      <alignment vertical="center"/>
      <protection hidden="1"/>
    </xf>
    <xf numFmtId="0" fontId="13" fillId="0" borderId="17" xfId="0" applyFont="1" applyBorder="1" applyAlignment="1" applyProtection="1">
      <alignment horizontal="left" vertical="top"/>
      <protection hidden="1"/>
    </xf>
    <xf numFmtId="0" fontId="12" fillId="0" borderId="17" xfId="0" applyFont="1" applyBorder="1" applyAlignment="1" applyProtection="1">
      <alignment horizontal="left" vertical="top"/>
      <protection hidden="1"/>
    </xf>
    <xf numFmtId="0" fontId="12" fillId="0" borderId="9" xfId="0" applyFont="1" applyBorder="1" applyAlignment="1" applyProtection="1">
      <alignment horizontal="left" vertical="top"/>
      <protection hidden="1"/>
    </xf>
    <xf numFmtId="0" fontId="13" fillId="0" borderId="18" xfId="0" applyFont="1" applyBorder="1" applyAlignment="1" applyProtection="1">
      <alignment horizontal="left" vertical="top"/>
      <protection hidden="1"/>
    </xf>
    <xf numFmtId="0" fontId="13" fillId="0" borderId="19" xfId="0" applyFont="1" applyBorder="1" applyAlignment="1" applyProtection="1">
      <alignment horizontal="right" vertical="center"/>
      <protection hidden="1"/>
    </xf>
    <xf numFmtId="0" fontId="6" fillId="0" borderId="0" xfId="0" applyFont="1" applyAlignment="1">
      <alignment vertical="center"/>
    </xf>
    <xf numFmtId="0" fontId="13" fillId="0" borderId="14" xfId="0" applyFont="1" applyBorder="1" applyAlignment="1" applyProtection="1">
      <alignment horizontal="center"/>
      <protection hidden="1"/>
    </xf>
    <xf numFmtId="0" fontId="13" fillId="0" borderId="18" xfId="0" applyFont="1" applyBorder="1" applyAlignment="1">
      <alignment horizontal="left" vertical="center"/>
    </xf>
    <xf numFmtId="0" fontId="13" fillId="4" borderId="23" xfId="0" applyFont="1" applyFill="1" applyBorder="1" applyAlignment="1" applyProtection="1">
      <alignment horizontal="left" vertical="center"/>
      <protection locked="0"/>
    </xf>
    <xf numFmtId="3" fontId="13" fillId="0" borderId="0" xfId="0" applyNumberFormat="1" applyFont="1" applyAlignment="1" applyProtection="1">
      <alignment vertical="center"/>
      <protection hidden="1"/>
    </xf>
    <xf numFmtId="0" fontId="13" fillId="0" borderId="20" xfId="0" applyFont="1" applyBorder="1" applyAlignment="1">
      <alignment vertical="center"/>
    </xf>
    <xf numFmtId="0" fontId="13" fillId="0" borderId="26" xfId="0" applyFont="1" applyBorder="1" applyAlignment="1">
      <alignment vertical="center"/>
    </xf>
    <xf numFmtId="0" fontId="13" fillId="0" borderId="27" xfId="0" applyFont="1" applyBorder="1" applyAlignment="1" applyProtection="1">
      <alignment vertical="center"/>
      <protection hidden="1"/>
    </xf>
    <xf numFmtId="0" fontId="13" fillId="0" borderId="29" xfId="0" applyFont="1" applyBorder="1" applyAlignment="1" applyProtection="1">
      <alignment horizontal="right" vertical="center"/>
      <protection hidden="1"/>
    </xf>
    <xf numFmtId="0" fontId="13" fillId="0" borderId="22" xfId="0" applyFont="1" applyBorder="1" applyAlignment="1" applyProtection="1">
      <alignment horizontal="right" vertical="center"/>
      <protection hidden="1"/>
    </xf>
    <xf numFmtId="0" fontId="3" fillId="0" borderId="0" xfId="0" applyFont="1"/>
    <xf numFmtId="0" fontId="23" fillId="0" borderId="0" xfId="0" applyFont="1"/>
    <xf numFmtId="0" fontId="0" fillId="0" borderId="35" xfId="0" applyBorder="1" applyAlignment="1">
      <alignment horizontal="center"/>
    </xf>
    <xf numFmtId="0" fontId="12" fillId="0" borderId="15" xfId="0" applyFont="1" applyBorder="1" applyAlignment="1">
      <alignment horizontal="left"/>
    </xf>
    <xf numFmtId="0" fontId="12" fillId="0" borderId="1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hidden="1"/>
    </xf>
    <xf numFmtId="0" fontId="13" fillId="0" borderId="23" xfId="0" applyFont="1" applyBorder="1" applyAlignment="1" applyProtection="1">
      <alignment horizontal="left"/>
      <protection hidden="1"/>
    </xf>
    <xf numFmtId="0" fontId="12" fillId="0" borderId="15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6" fillId="0" borderId="0" xfId="0" applyFont="1"/>
    <xf numFmtId="0" fontId="13" fillId="0" borderId="38" xfId="0" applyFont="1" applyBorder="1" applyProtection="1">
      <protection locked="0"/>
    </xf>
    <xf numFmtId="0" fontId="6" fillId="0" borderId="5" xfId="0" applyFont="1" applyBorder="1" applyAlignment="1">
      <alignment horizontal="left"/>
    </xf>
    <xf numFmtId="0" fontId="6" fillId="0" borderId="39" xfId="0" applyFont="1" applyBorder="1" applyAlignment="1">
      <alignment horizontal="left"/>
    </xf>
    <xf numFmtId="0" fontId="6" fillId="0" borderId="40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6" fillId="0" borderId="27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5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3" fillId="0" borderId="19" xfId="0" applyFont="1" applyBorder="1" applyAlignment="1" applyProtection="1">
      <alignment horizontal="center"/>
      <protection hidden="1"/>
    </xf>
    <xf numFmtId="0" fontId="6" fillId="0" borderId="40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12" fillId="0" borderId="15" xfId="0" applyFont="1" applyBorder="1" applyAlignment="1">
      <alignment horizontal="left" vertical="top"/>
    </xf>
    <xf numFmtId="3" fontId="13" fillId="0" borderId="15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/>
    </xf>
    <xf numFmtId="14" fontId="4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1" fontId="4" fillId="0" borderId="0" xfId="0" applyNumberFormat="1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/>
      <protection hidden="1"/>
    </xf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5" fillId="0" borderId="3" xfId="0" applyFont="1" applyBorder="1"/>
    <xf numFmtId="1" fontId="5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1" fontId="4" fillId="0" borderId="0" xfId="0" applyNumberFormat="1" applyFont="1"/>
    <xf numFmtId="3" fontId="12" fillId="0" borderId="15" xfId="0" applyNumberFormat="1" applyFont="1" applyBorder="1" applyAlignment="1">
      <alignment vertical="center"/>
    </xf>
    <xf numFmtId="0" fontId="6" fillId="0" borderId="51" xfId="0" applyFont="1" applyBorder="1" applyAlignment="1">
      <alignment horizontal="left" vertical="center"/>
    </xf>
    <xf numFmtId="0" fontId="6" fillId="0" borderId="52" xfId="0" applyFont="1" applyBorder="1" applyAlignment="1">
      <alignment horizontal="left" vertical="center"/>
    </xf>
    <xf numFmtId="0" fontId="12" fillId="0" borderId="38" xfId="0" applyFont="1" applyBorder="1" applyAlignment="1">
      <alignment horizontal="left" vertical="center"/>
    </xf>
    <xf numFmtId="0" fontId="12" fillId="0" borderId="54" xfId="0" applyFont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7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 applyProtection="1">
      <alignment horizontal="center" vertical="center"/>
      <protection hidden="1"/>
    </xf>
    <xf numFmtId="8" fontId="7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right"/>
      <protection hidden="1"/>
    </xf>
    <xf numFmtId="0" fontId="5" fillId="0" borderId="51" xfId="0" applyFont="1" applyBorder="1" applyAlignment="1">
      <alignment horizontal="left"/>
    </xf>
    <xf numFmtId="4" fontId="4" fillId="0" borderId="2" xfId="0" applyNumberFormat="1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169" fontId="5" fillId="0" borderId="39" xfId="2" applyNumberFormat="1" applyFont="1" applyBorder="1" applyAlignment="1" applyProtection="1">
      <alignment horizontal="center" vertical="center"/>
      <protection hidden="1"/>
    </xf>
    <xf numFmtId="169" fontId="5" fillId="0" borderId="24" xfId="2" applyNumberFormat="1" applyFont="1" applyBorder="1" applyAlignment="1" applyProtection="1">
      <alignment horizontal="center" vertical="center"/>
      <protection hidden="1"/>
    </xf>
    <xf numFmtId="169" fontId="5" fillId="0" borderId="21" xfId="2" applyNumberFormat="1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 vertical="center"/>
      <protection hidden="1"/>
    </xf>
    <xf numFmtId="0" fontId="4" fillId="0" borderId="34" xfId="0" applyFont="1" applyBorder="1" applyAlignment="1" applyProtection="1">
      <alignment horizontal="center" vertical="center"/>
      <protection hidden="1"/>
    </xf>
    <xf numFmtId="0" fontId="24" fillId="0" borderId="0" xfId="0" applyFont="1"/>
    <xf numFmtId="0" fontId="0" fillId="0" borderId="0" xfId="0" applyAlignment="1">
      <alignment horizontal="right"/>
    </xf>
    <xf numFmtId="1" fontId="5" fillId="0" borderId="39" xfId="2" applyNumberFormat="1" applyFont="1" applyFill="1" applyBorder="1" applyAlignment="1" applyProtection="1">
      <alignment horizontal="center" vertical="center"/>
    </xf>
    <xf numFmtId="1" fontId="5" fillId="0" borderId="24" xfId="2" applyNumberFormat="1" applyFont="1" applyFill="1" applyBorder="1" applyAlignment="1" applyProtection="1">
      <alignment horizontal="center" vertical="center"/>
    </xf>
    <xf numFmtId="8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39" xfId="0" applyNumberFormat="1" applyFont="1" applyBorder="1" applyAlignment="1" applyProtection="1">
      <alignment horizontal="center" vertical="center"/>
      <protection hidden="1"/>
    </xf>
    <xf numFmtId="167" fontId="5" fillId="0" borderId="24" xfId="0" applyNumberFormat="1" applyFont="1" applyBorder="1" applyAlignment="1" applyProtection="1">
      <alignment horizontal="center" vertical="center"/>
      <protection hidden="1"/>
    </xf>
    <xf numFmtId="171" fontId="4" fillId="0" borderId="39" xfId="0" applyNumberFormat="1" applyFont="1" applyBorder="1" applyAlignment="1" applyProtection="1">
      <alignment horizontal="center" vertical="center"/>
      <protection hidden="1"/>
    </xf>
    <xf numFmtId="171" fontId="4" fillId="0" borderId="24" xfId="0" applyNumberFormat="1" applyFont="1" applyBorder="1" applyAlignment="1" applyProtection="1">
      <alignment horizontal="center" vertical="center"/>
      <protection hidden="1"/>
    </xf>
    <xf numFmtId="171" fontId="5" fillId="0" borderId="10" xfId="0" applyNumberFormat="1" applyFont="1" applyBorder="1" applyAlignment="1" applyProtection="1">
      <alignment horizontal="center" vertical="center"/>
      <protection hidden="1"/>
    </xf>
    <xf numFmtId="171" fontId="5" fillId="0" borderId="23" xfId="0" applyNumberFormat="1" applyFont="1" applyBorder="1" applyAlignment="1" applyProtection="1">
      <alignment horizontal="center" vertical="center"/>
      <protection hidden="1"/>
    </xf>
    <xf numFmtId="171" fontId="5" fillId="0" borderId="43" xfId="0" applyNumberFormat="1" applyFont="1" applyBorder="1" applyAlignment="1" applyProtection="1">
      <alignment horizontal="center" vertical="center"/>
      <protection hidden="1"/>
    </xf>
    <xf numFmtId="171" fontId="5" fillId="0" borderId="11" xfId="0" applyNumberFormat="1" applyFont="1" applyBorder="1" applyAlignment="1" applyProtection="1">
      <alignment horizontal="center"/>
      <protection hidden="1"/>
    </xf>
    <xf numFmtId="171" fontId="5" fillId="0" borderId="44" xfId="0" applyNumberFormat="1" applyFont="1" applyBorder="1" applyAlignment="1" applyProtection="1">
      <alignment horizontal="center" vertical="center"/>
      <protection hidden="1"/>
    </xf>
    <xf numFmtId="171" fontId="5" fillId="0" borderId="34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/>
    </xf>
    <xf numFmtId="4" fontId="5" fillId="0" borderId="48" xfId="0" applyNumberFormat="1" applyFont="1" applyBorder="1" applyAlignment="1" applyProtection="1">
      <alignment horizontal="center" vertical="center"/>
      <protection hidden="1"/>
    </xf>
    <xf numFmtId="4" fontId="5" fillId="0" borderId="24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1" fontId="5" fillId="0" borderId="0" xfId="0" applyNumberFormat="1" applyFont="1" applyProtection="1">
      <protection hidden="1"/>
    </xf>
    <xf numFmtId="3" fontId="5" fillId="0" borderId="0" xfId="0" applyNumberFormat="1" applyFont="1" applyAlignment="1">
      <alignment horizontal="left" vertical="center"/>
    </xf>
    <xf numFmtId="1" fontId="5" fillId="0" borderId="0" xfId="0" applyNumberFormat="1" applyFont="1"/>
    <xf numFmtId="1" fontId="5" fillId="0" borderId="56" xfId="0" applyNumberFormat="1" applyFont="1" applyBorder="1" applyProtection="1">
      <protection hidden="1"/>
    </xf>
    <xf numFmtId="0" fontId="5" fillId="0" borderId="5" xfId="0" applyFont="1" applyBorder="1" applyAlignment="1">
      <alignment horizontal="center" vertical="center"/>
    </xf>
    <xf numFmtId="0" fontId="5" fillId="0" borderId="51" xfId="0" applyFont="1" applyBorder="1" applyProtection="1">
      <protection locked="0"/>
    </xf>
    <xf numFmtId="0" fontId="0" fillId="0" borderId="2" xfId="0" applyBorder="1"/>
    <xf numFmtId="0" fontId="0" fillId="0" borderId="52" xfId="0" applyBorder="1"/>
    <xf numFmtId="0" fontId="4" fillId="2" borderId="3" xfId="0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4" fillId="2" borderId="54" xfId="0" applyFont="1" applyFill="1" applyBorder="1" applyAlignment="1" applyProtection="1">
      <alignment horizontal="left" vertical="center"/>
      <protection locked="0"/>
    </xf>
    <xf numFmtId="0" fontId="4" fillId="2" borderId="27" xfId="0" applyFont="1" applyFill="1" applyBorder="1" applyAlignment="1" applyProtection="1">
      <alignment horizontal="left" vertical="center"/>
      <protection locked="0"/>
    </xf>
    <xf numFmtId="0" fontId="4" fillId="2" borderId="57" xfId="0" applyFont="1" applyFill="1" applyBorder="1" applyAlignment="1" applyProtection="1">
      <alignment horizontal="left" vertical="center"/>
      <protection locked="0"/>
    </xf>
    <xf numFmtId="0" fontId="4" fillId="2" borderId="41" xfId="0" applyFont="1" applyFill="1" applyBorder="1" applyAlignment="1" applyProtection="1">
      <alignment horizontal="left" vertical="center"/>
      <protection locked="0"/>
    </xf>
    <xf numFmtId="0" fontId="5" fillId="0" borderId="51" xfId="0" applyFont="1" applyBorder="1" applyAlignment="1">
      <alignment horizontal="left" vertical="center"/>
    </xf>
    <xf numFmtId="4" fontId="0" fillId="0" borderId="2" xfId="0" applyNumberFormat="1" applyBorder="1" applyAlignment="1">
      <alignment horizontal="left" vertical="center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5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54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0" fillId="0" borderId="57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54" xfId="0" applyFont="1" applyBorder="1" applyAlignment="1" applyProtection="1">
      <alignment vertical="center"/>
      <protection locked="0"/>
    </xf>
    <xf numFmtId="0" fontId="4" fillId="0" borderId="27" xfId="0" applyFont="1" applyBorder="1" applyAlignment="1" applyProtection="1">
      <alignment vertical="center"/>
      <protection locked="0"/>
    </xf>
    <xf numFmtId="0" fontId="4" fillId="0" borderId="57" xfId="0" applyFont="1" applyBorder="1" applyAlignment="1" applyProtection="1">
      <alignment vertical="center"/>
      <protection locked="0"/>
    </xf>
    <xf numFmtId="0" fontId="4" fillId="0" borderId="41" xfId="0" applyFont="1" applyBorder="1" applyAlignment="1" applyProtection="1">
      <alignment vertical="center"/>
      <protection locked="0"/>
    </xf>
    <xf numFmtId="3" fontId="5" fillId="4" borderId="56" xfId="0" applyNumberFormat="1" applyFont="1" applyFill="1" applyBorder="1" applyProtection="1">
      <protection locked="0"/>
    </xf>
    <xf numFmtId="1" fontId="5" fillId="4" borderId="56" xfId="0" applyNumberFormat="1" applyFont="1" applyFill="1" applyBorder="1" applyProtection="1">
      <protection locked="0"/>
    </xf>
    <xf numFmtId="10" fontId="5" fillId="4" borderId="48" xfId="0" applyNumberFormat="1" applyFont="1" applyFill="1" applyBorder="1" applyAlignment="1" applyProtection="1">
      <alignment horizontal="center" vertical="center"/>
      <protection locked="0"/>
    </xf>
    <xf numFmtId="0" fontId="5" fillId="4" borderId="27" xfId="0" applyFont="1" applyFill="1" applyBorder="1" applyAlignment="1" applyProtection="1">
      <alignment horizontal="center" vertical="center"/>
      <protection locked="0"/>
    </xf>
    <xf numFmtId="3" fontId="5" fillId="4" borderId="41" xfId="0" applyNumberFormat="1" applyFont="1" applyFill="1" applyBorder="1" applyAlignment="1" applyProtection="1">
      <alignment horizontal="center" vertical="center"/>
      <protection locked="0"/>
    </xf>
    <xf numFmtId="3" fontId="5" fillId="4" borderId="48" xfId="0" applyNumberFormat="1" applyFont="1" applyFill="1" applyBorder="1" applyAlignment="1" applyProtection="1">
      <alignment horizontal="center" vertical="center"/>
      <protection locked="0"/>
    </xf>
    <xf numFmtId="164" fontId="5" fillId="4" borderId="39" xfId="0" applyNumberFormat="1" applyFont="1" applyFill="1" applyBorder="1" applyAlignment="1" applyProtection="1">
      <alignment horizontal="center" vertical="center"/>
      <protection locked="0"/>
    </xf>
    <xf numFmtId="164" fontId="5" fillId="4" borderId="24" xfId="0" applyNumberFormat="1" applyFont="1" applyFill="1" applyBorder="1" applyAlignment="1" applyProtection="1">
      <alignment horizontal="center" vertical="center"/>
      <protection locked="0"/>
    </xf>
    <xf numFmtId="171" fontId="5" fillId="4" borderId="39" xfId="0" applyNumberFormat="1" applyFont="1" applyFill="1" applyBorder="1" applyAlignment="1" applyProtection="1">
      <alignment horizontal="center" vertical="center"/>
      <protection locked="0"/>
    </xf>
    <xf numFmtId="171" fontId="5" fillId="4" borderId="24" xfId="0" applyNumberFormat="1" applyFont="1" applyFill="1" applyBorder="1" applyAlignment="1" applyProtection="1">
      <alignment horizontal="center" vertical="center"/>
      <protection locked="0"/>
    </xf>
    <xf numFmtId="3" fontId="5" fillId="4" borderId="10" xfId="0" applyNumberFormat="1" applyFont="1" applyFill="1" applyBorder="1" applyAlignment="1" applyProtection="1">
      <alignment horizontal="center" vertical="center"/>
      <protection locked="0"/>
    </xf>
    <xf numFmtId="3" fontId="5" fillId="4" borderId="23" xfId="0" applyNumberFormat="1" applyFont="1" applyFill="1" applyBorder="1" applyAlignment="1" applyProtection="1">
      <alignment horizontal="center" vertical="center"/>
      <protection locked="0"/>
    </xf>
    <xf numFmtId="3" fontId="5" fillId="4" borderId="43" xfId="0" applyNumberFormat="1" applyFont="1" applyFill="1" applyBorder="1" applyAlignment="1" applyProtection="1">
      <alignment horizontal="center" vertical="center"/>
      <protection locked="0"/>
    </xf>
    <xf numFmtId="164" fontId="5" fillId="4" borderId="21" xfId="0" applyNumberFormat="1" applyFont="1" applyFill="1" applyBorder="1" applyAlignment="1" applyProtection="1">
      <alignment horizontal="center" vertical="center"/>
      <protection locked="0"/>
    </xf>
    <xf numFmtId="1" fontId="5" fillId="4" borderId="39" xfId="2" applyNumberFormat="1" applyFont="1" applyFill="1" applyBorder="1" applyAlignment="1" applyProtection="1">
      <alignment horizontal="center" vertical="center"/>
      <protection locked="0"/>
    </xf>
    <xf numFmtId="1" fontId="5" fillId="4" borderId="24" xfId="2" applyNumberFormat="1" applyFont="1" applyFill="1" applyBorder="1" applyAlignment="1" applyProtection="1">
      <alignment horizontal="center" vertical="center"/>
      <protection locked="0"/>
    </xf>
    <xf numFmtId="1" fontId="5" fillId="4" borderId="21" xfId="2" applyNumberFormat="1" applyFont="1" applyFill="1" applyBorder="1" applyAlignment="1" applyProtection="1">
      <alignment horizontal="center" vertical="center"/>
      <protection locked="0"/>
    </xf>
    <xf numFmtId="167" fontId="5" fillId="4" borderId="39" xfId="2" applyNumberFormat="1" applyFont="1" applyFill="1" applyBorder="1" applyAlignment="1" applyProtection="1">
      <alignment horizontal="center" vertical="center"/>
      <protection locked="0"/>
    </xf>
    <xf numFmtId="167" fontId="5" fillId="4" borderId="24" xfId="2" applyNumberFormat="1" applyFont="1" applyFill="1" applyBorder="1" applyAlignment="1" applyProtection="1">
      <alignment horizontal="center" vertical="center"/>
      <protection locked="0"/>
    </xf>
    <xf numFmtId="167" fontId="5" fillId="4" borderId="21" xfId="2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31" fillId="0" borderId="0" xfId="0" applyFont="1" applyAlignment="1">
      <alignment vertical="center"/>
    </xf>
    <xf numFmtId="0" fontId="32" fillId="0" borderId="0" xfId="0" applyFont="1"/>
    <xf numFmtId="0" fontId="3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3" fontId="12" fillId="0" borderId="0" xfId="0" applyNumberFormat="1" applyFont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17" fillId="2" borderId="0" xfId="0" applyFont="1" applyFill="1" applyAlignment="1">
      <alignment vertical="center"/>
    </xf>
    <xf numFmtId="3" fontId="5" fillId="0" borderId="0" xfId="0" applyNumberFormat="1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3" fontId="5" fillId="0" borderId="0" xfId="0" applyNumberFormat="1" applyFont="1" applyAlignment="1">
      <alignment vertical="center"/>
    </xf>
    <xf numFmtId="168" fontId="4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0" fontId="13" fillId="0" borderId="0" xfId="0" applyNumberFormat="1" applyFont="1" applyAlignment="1">
      <alignment vertical="center"/>
    </xf>
    <xf numFmtId="0" fontId="4" fillId="2" borderId="0" xfId="0" applyFont="1" applyFill="1" applyAlignment="1">
      <alignment vertical="center"/>
    </xf>
    <xf numFmtId="3" fontId="5" fillId="2" borderId="0" xfId="0" applyNumberFormat="1" applyFont="1" applyFill="1" applyAlignment="1" applyProtection="1">
      <alignment vertical="center"/>
      <protection hidden="1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vertical="center"/>
    </xf>
    <xf numFmtId="49" fontId="4" fillId="2" borderId="0" xfId="0" applyNumberFormat="1" applyFont="1" applyFill="1" applyAlignment="1">
      <alignment horizontal="right" vertical="center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9" fontId="4" fillId="2" borderId="0" xfId="0" applyNumberFormat="1" applyFont="1" applyFill="1" applyAlignment="1" applyProtection="1">
      <alignment vertical="center"/>
      <protection hidden="1"/>
    </xf>
    <xf numFmtId="164" fontId="4" fillId="2" borderId="0" xfId="0" applyNumberFormat="1" applyFont="1" applyFill="1" applyAlignment="1" applyProtection="1">
      <alignment vertical="center"/>
      <protection hidden="1"/>
    </xf>
    <xf numFmtId="49" fontId="5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 applyProtection="1">
      <alignment vertical="center"/>
      <protection hidden="1"/>
    </xf>
    <xf numFmtId="4" fontId="4" fillId="2" borderId="0" xfId="0" applyNumberFormat="1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3" fontId="0" fillId="2" borderId="0" xfId="0" applyNumberFormat="1" applyFill="1" applyAlignment="1" applyProtection="1">
      <alignment vertical="center"/>
      <protection hidden="1"/>
    </xf>
    <xf numFmtId="3" fontId="12" fillId="0" borderId="0" xfId="0" applyNumberFormat="1" applyFont="1" applyAlignment="1">
      <alignment vertical="center"/>
    </xf>
    <xf numFmtId="0" fontId="28" fillId="2" borderId="0" xfId="0" applyFont="1" applyFill="1"/>
    <xf numFmtId="0" fontId="29" fillId="0" borderId="0" xfId="1" applyNumberFormat="1" applyFont="1" applyFill="1" applyBorder="1" applyAlignment="1" applyProtection="1">
      <alignment horizontal="left" vertical="center"/>
      <protection locked="0"/>
    </xf>
    <xf numFmtId="0" fontId="4" fillId="0" borderId="2" xfId="0" applyFont="1" applyBorder="1" applyAlignment="1">
      <alignment vertical="center"/>
    </xf>
    <xf numFmtId="0" fontId="12" fillId="0" borderId="66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43" xfId="0" applyFont="1" applyBorder="1" applyAlignment="1">
      <alignment vertical="center"/>
    </xf>
    <xf numFmtId="0" fontId="12" fillId="0" borderId="67" xfId="0" applyFont="1" applyBorder="1" applyAlignment="1">
      <alignment horizontal="right" vertical="center"/>
    </xf>
    <xf numFmtId="0" fontId="12" fillId="0" borderId="3" xfId="0" applyFont="1" applyBorder="1" applyAlignment="1">
      <alignment vertical="center"/>
    </xf>
    <xf numFmtId="0" fontId="12" fillId="0" borderId="9" xfId="0" applyFont="1" applyBorder="1" applyAlignment="1">
      <alignment horizontal="left" vertical="center"/>
    </xf>
    <xf numFmtId="0" fontId="12" fillId="0" borderId="65" xfId="0" applyFont="1" applyBorder="1" applyAlignment="1">
      <alignment horizontal="right" vertical="center"/>
    </xf>
    <xf numFmtId="0" fontId="12" fillId="0" borderId="66" xfId="0" applyFont="1" applyBorder="1" applyAlignment="1">
      <alignment horizontal="left" vertical="center"/>
    </xf>
    <xf numFmtId="0" fontId="12" fillId="0" borderId="58" xfId="0" applyFont="1" applyBorder="1" applyAlignment="1">
      <alignment horizontal="right" vertical="center"/>
    </xf>
    <xf numFmtId="0" fontId="3" fillId="0" borderId="0" xfId="0" applyFont="1" applyAlignment="1">
      <alignment horizontal="left"/>
    </xf>
    <xf numFmtId="0" fontId="3" fillId="4" borderId="24" xfId="0" applyFont="1" applyFill="1" applyBorder="1" applyAlignment="1" applyProtection="1">
      <alignment vertical="center"/>
      <protection locked="0"/>
    </xf>
    <xf numFmtId="0" fontId="13" fillId="0" borderId="3" xfId="0" applyFont="1" applyBorder="1" applyAlignment="1">
      <alignment vertical="center"/>
    </xf>
    <xf numFmtId="0" fontId="12" fillId="0" borderId="36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77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13" fillId="0" borderId="10" xfId="0" applyFont="1" applyBorder="1" applyAlignment="1" applyProtection="1">
      <alignment horizontal="left"/>
      <protection hidden="1"/>
    </xf>
    <xf numFmtId="0" fontId="5" fillId="0" borderId="0" xfId="0" applyFont="1" applyAlignment="1">
      <alignment horizontal="right"/>
    </xf>
    <xf numFmtId="2" fontId="7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left"/>
    </xf>
    <xf numFmtId="0" fontId="3" fillId="0" borderId="0" xfId="0" applyFont="1" applyAlignment="1">
      <alignment vertical="center"/>
    </xf>
    <xf numFmtId="0" fontId="0" fillId="0" borderId="38" xfId="0" applyBorder="1"/>
    <xf numFmtId="0" fontId="3" fillId="0" borderId="1" xfId="0" applyFont="1" applyBorder="1" applyAlignment="1">
      <alignment horizontal="center"/>
    </xf>
    <xf numFmtId="0" fontId="36" fillId="0" borderId="0" xfId="0" applyFont="1"/>
    <xf numFmtId="0" fontId="35" fillId="0" borderId="0" xfId="0" applyFont="1"/>
    <xf numFmtId="0" fontId="37" fillId="0" borderId="0" xfId="0" applyFont="1"/>
    <xf numFmtId="0" fontId="38" fillId="0" borderId="0" xfId="0" applyFont="1"/>
    <xf numFmtId="0" fontId="8" fillId="0" borderId="0" xfId="0" applyFont="1" applyAlignment="1" applyProtection="1">
      <alignment horizontal="center"/>
      <protection hidden="1"/>
    </xf>
    <xf numFmtId="0" fontId="12" fillId="0" borderId="40" xfId="0" applyFont="1" applyBorder="1" applyAlignment="1" applyProtection="1">
      <alignment vertical="center"/>
      <protection hidden="1"/>
    </xf>
    <xf numFmtId="0" fontId="12" fillId="0" borderId="26" xfId="0" applyFont="1" applyBorder="1" applyAlignment="1" applyProtection="1">
      <alignment vertical="center"/>
      <protection hidden="1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13" fillId="0" borderId="30" xfId="0" applyFont="1" applyBorder="1" applyAlignment="1">
      <alignment horizontal="right" vertical="center"/>
    </xf>
    <xf numFmtId="0" fontId="13" fillId="0" borderId="22" xfId="0" applyFont="1" applyBorder="1" applyAlignment="1">
      <alignment horizontal="left" vertical="center"/>
    </xf>
    <xf numFmtId="0" fontId="13" fillId="0" borderId="21" xfId="0" applyFont="1" applyBorder="1" applyAlignment="1" applyProtection="1">
      <alignment horizontal="center" vertical="center"/>
      <protection hidden="1"/>
    </xf>
    <xf numFmtId="0" fontId="13" fillId="0" borderId="31" xfId="0" applyFont="1" applyBorder="1" applyAlignment="1">
      <alignment horizontal="right" vertical="center"/>
    </xf>
    <xf numFmtId="0" fontId="13" fillId="0" borderId="22" xfId="0" applyFont="1" applyBorder="1" applyAlignment="1" applyProtection="1">
      <alignment horizontal="left" vertical="center"/>
      <protection hidden="1"/>
    </xf>
    <xf numFmtId="0" fontId="13" fillId="0" borderId="33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28" xfId="0" applyFont="1" applyBorder="1" applyAlignment="1">
      <alignment vertical="center"/>
    </xf>
    <xf numFmtId="0" fontId="2" fillId="0" borderId="0" xfId="0" applyFont="1"/>
    <xf numFmtId="0" fontId="13" fillId="0" borderId="32" xfId="0" applyFont="1" applyBorder="1" applyAlignment="1">
      <alignment horizontal="right" vertical="center"/>
    </xf>
    <xf numFmtId="0" fontId="8" fillId="0" borderId="0" xfId="0" applyFont="1" applyAlignment="1">
      <alignment horizontal="left"/>
    </xf>
    <xf numFmtId="0" fontId="0" fillId="0" borderId="41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70" xfId="0" applyBorder="1" applyAlignment="1">
      <alignment vertical="center"/>
    </xf>
    <xf numFmtId="0" fontId="0" fillId="0" borderId="70" xfId="0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6" fillId="0" borderId="24" xfId="0" applyFont="1" applyBorder="1" applyAlignment="1" applyProtection="1">
      <alignment vertical="center"/>
      <protection locked="0"/>
    </xf>
    <xf numFmtId="0" fontId="0" fillId="0" borderId="5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5" fillId="5" borderId="52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0" fillId="0" borderId="54" xfId="0" applyBorder="1"/>
    <xf numFmtId="0" fontId="0" fillId="0" borderId="3" xfId="0" applyBorder="1"/>
    <xf numFmtId="0" fontId="6" fillId="2" borderId="0" xfId="0" applyFont="1" applyFill="1"/>
    <xf numFmtId="4" fontId="6" fillId="2" borderId="0" xfId="0" applyNumberFormat="1" applyFont="1" applyFill="1" applyProtection="1">
      <protection hidden="1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13" fillId="0" borderId="54" xfId="0" applyFont="1" applyBorder="1" applyAlignment="1" applyProtection="1">
      <alignment horizontal="left" vertical="center"/>
      <protection locked="0"/>
    </xf>
    <xf numFmtId="0" fontId="13" fillId="0" borderId="3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4" xfId="0" applyFont="1" applyBorder="1"/>
    <xf numFmtId="0" fontId="3" fillId="0" borderId="5" xfId="0" applyFont="1" applyBorder="1" applyAlignment="1">
      <alignment horizontal="center"/>
    </xf>
    <xf numFmtId="0" fontId="3" fillId="4" borderId="24" xfId="0" applyFont="1" applyFill="1" applyBorder="1" applyProtection="1">
      <protection locked="0"/>
    </xf>
    <xf numFmtId="0" fontId="13" fillId="0" borderId="54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48" xfId="0" applyFont="1" applyBorder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167" fontId="13" fillId="0" borderId="21" xfId="0" applyNumberFormat="1" applyFont="1" applyBorder="1" applyAlignment="1">
      <alignment horizontal="center" vertical="center"/>
    </xf>
    <xf numFmtId="167" fontId="12" fillId="0" borderId="21" xfId="0" applyNumberFormat="1" applyFont="1" applyBorder="1" applyAlignment="1">
      <alignment horizontal="center" vertical="center"/>
    </xf>
    <xf numFmtId="167" fontId="12" fillId="0" borderId="34" xfId="0" applyNumberFormat="1" applyFont="1" applyBorder="1" applyAlignment="1">
      <alignment horizontal="center" vertical="center"/>
    </xf>
    <xf numFmtId="0" fontId="2" fillId="0" borderId="0" xfId="0" applyFont="1" applyAlignment="1">
      <alignment wrapText="1"/>
    </xf>
    <xf numFmtId="3" fontId="0" fillId="0" borderId="0" xfId="0" applyNumberFormat="1" applyAlignment="1">
      <alignment vertical="center"/>
    </xf>
    <xf numFmtId="0" fontId="1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6" fillId="4" borderId="5" xfId="0" applyFont="1" applyFill="1" applyBorder="1" applyAlignment="1" applyProtection="1">
      <alignment vertical="center"/>
      <protection locked="0"/>
    </xf>
    <xf numFmtId="0" fontId="6" fillId="4" borderId="27" xfId="0" applyFont="1" applyFill="1" applyBorder="1" applyAlignment="1" applyProtection="1">
      <alignment vertical="center"/>
      <protection locked="0"/>
    </xf>
    <xf numFmtId="0" fontId="12" fillId="4" borderId="36" xfId="0" applyFont="1" applyFill="1" applyBorder="1" applyAlignment="1" applyProtection="1">
      <alignment vertical="center"/>
      <protection locked="0"/>
    </xf>
    <xf numFmtId="0" fontId="6" fillId="4" borderId="40" xfId="0" applyFont="1" applyFill="1" applyBorder="1" applyAlignment="1" applyProtection="1">
      <alignment vertical="center"/>
      <protection locked="0"/>
    </xf>
    <xf numFmtId="164" fontId="13" fillId="4" borderId="24" xfId="0" applyNumberFormat="1" applyFont="1" applyFill="1" applyBorder="1" applyAlignment="1" applyProtection="1">
      <alignment horizontal="center" vertical="center"/>
      <protection locked="0"/>
    </xf>
    <xf numFmtId="164" fontId="13" fillId="4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24" xfId="0" applyNumberFormat="1" applyFont="1" applyFill="1" applyBorder="1" applyAlignment="1" applyProtection="1">
      <alignment horizontal="center" vertical="center"/>
      <protection hidden="1"/>
    </xf>
    <xf numFmtId="3" fontId="13" fillId="7" borderId="23" xfId="0" applyNumberFormat="1" applyFont="1" applyFill="1" applyBorder="1" applyAlignment="1">
      <alignment horizontal="center" vertical="center"/>
    </xf>
    <xf numFmtId="3" fontId="6" fillId="7" borderId="24" xfId="0" applyNumberFormat="1" applyFont="1" applyFill="1" applyBorder="1" applyAlignment="1">
      <alignment horizontal="center" vertical="center"/>
    </xf>
    <xf numFmtId="164" fontId="6" fillId="7" borderId="24" xfId="0" applyNumberFormat="1" applyFont="1" applyFill="1" applyBorder="1" applyAlignment="1">
      <alignment horizontal="center" vertical="center"/>
    </xf>
    <xf numFmtId="0" fontId="13" fillId="0" borderId="4" xfId="0" applyFont="1" applyBorder="1" applyAlignment="1" applyProtection="1">
      <alignment horizontal="right"/>
      <protection hidden="1"/>
    </xf>
    <xf numFmtId="0" fontId="3" fillId="0" borderId="22" xfId="0" applyFont="1" applyBorder="1" applyAlignment="1" applyProtection="1">
      <alignment horizontal="right"/>
      <protection hidden="1"/>
    </xf>
    <xf numFmtId="0" fontId="3" fillId="0" borderId="19" xfId="0" applyFont="1" applyBorder="1" applyAlignment="1" applyProtection="1">
      <alignment horizontal="right"/>
      <protection hidden="1"/>
    </xf>
    <xf numFmtId="0" fontId="6" fillId="0" borderId="29" xfId="0" applyFont="1" applyBorder="1" applyAlignment="1" applyProtection="1">
      <alignment horizontal="right"/>
      <protection hidden="1"/>
    </xf>
    <xf numFmtId="0" fontId="3" fillId="0" borderId="50" xfId="0" applyFont="1" applyBorder="1" applyAlignment="1" applyProtection="1">
      <alignment horizontal="right"/>
      <protection hidden="1"/>
    </xf>
    <xf numFmtId="0" fontId="6" fillId="0" borderId="22" xfId="0" applyFont="1" applyBorder="1" applyAlignment="1" applyProtection="1">
      <alignment horizontal="right"/>
      <protection hidden="1"/>
    </xf>
    <xf numFmtId="0" fontId="6" fillId="0" borderId="19" xfId="0" applyFont="1" applyBorder="1" applyAlignment="1" applyProtection="1">
      <alignment horizontal="right"/>
      <protection hidden="1"/>
    </xf>
    <xf numFmtId="0" fontId="6" fillId="0" borderId="33" xfId="0" applyFont="1" applyBorder="1" applyAlignment="1" applyProtection="1">
      <alignment horizontal="right"/>
      <protection hidden="1"/>
    </xf>
    <xf numFmtId="0" fontId="6" fillId="0" borderId="13" xfId="0" applyFont="1" applyBorder="1" applyAlignment="1" applyProtection="1">
      <alignment horizontal="right"/>
      <protection hidden="1"/>
    </xf>
    <xf numFmtId="0" fontId="13" fillId="0" borderId="12" xfId="0" applyFont="1" applyBorder="1" applyAlignment="1" applyProtection="1">
      <alignment horizontal="right"/>
      <protection hidden="1"/>
    </xf>
    <xf numFmtId="0" fontId="13" fillId="0" borderId="14" xfId="0" applyFont="1" applyBorder="1" applyAlignment="1" applyProtection="1">
      <alignment horizontal="right"/>
      <protection hidden="1"/>
    </xf>
    <xf numFmtId="0" fontId="6" fillId="0" borderId="22" xfId="0" applyFont="1" applyBorder="1" applyAlignment="1">
      <alignment horizontal="right" vertical="center"/>
    </xf>
    <xf numFmtId="0" fontId="6" fillId="0" borderId="68" xfId="0" applyFont="1" applyBorder="1" applyAlignment="1">
      <alignment horizontal="right" vertical="center"/>
    </xf>
    <xf numFmtId="0" fontId="13" fillId="0" borderId="22" xfId="0" applyFont="1" applyBorder="1" applyAlignment="1">
      <alignment horizontal="right" vertical="center"/>
    </xf>
    <xf numFmtId="0" fontId="13" fillId="0" borderId="50" xfId="0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0" fontId="12" fillId="0" borderId="4" xfId="0" applyFont="1" applyBorder="1" applyAlignment="1" applyProtection="1">
      <alignment horizontal="right" vertical="center"/>
      <protection hidden="1"/>
    </xf>
    <xf numFmtId="0" fontId="6" fillId="0" borderId="19" xfId="0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" fillId="0" borderId="68" xfId="0" applyFont="1" applyBorder="1" applyAlignment="1">
      <alignment horizontal="right" vertical="center"/>
    </xf>
    <xf numFmtId="0" fontId="12" fillId="0" borderId="68" xfId="0" applyFont="1" applyBorder="1" applyAlignment="1">
      <alignment horizontal="right" vertical="center"/>
    </xf>
    <xf numFmtId="0" fontId="6" fillId="0" borderId="67" xfId="0" applyFont="1" applyBorder="1" applyAlignment="1">
      <alignment horizontal="right" vertical="center"/>
    </xf>
    <xf numFmtId="0" fontId="6" fillId="0" borderId="50" xfId="0" applyFont="1" applyBorder="1" applyAlignment="1">
      <alignment horizontal="right" vertical="center"/>
    </xf>
    <xf numFmtId="164" fontId="6" fillId="4" borderId="17" xfId="0" applyNumberFormat="1" applyFont="1" applyFill="1" applyBorder="1" applyAlignment="1" applyProtection="1">
      <alignment horizontal="center" vertical="center"/>
      <protection locked="0"/>
    </xf>
    <xf numFmtId="164" fontId="6" fillId="4" borderId="45" xfId="0" applyNumberFormat="1" applyFont="1" applyFill="1" applyBorder="1" applyAlignment="1" applyProtection="1">
      <alignment horizontal="center" vertical="center"/>
      <protection locked="0"/>
    </xf>
    <xf numFmtId="164" fontId="6" fillId="4" borderId="24" xfId="0" applyNumberFormat="1" applyFont="1" applyFill="1" applyBorder="1" applyAlignment="1" applyProtection="1">
      <alignment horizontal="center" vertical="center"/>
      <protection locked="0"/>
    </xf>
    <xf numFmtId="164" fontId="6" fillId="4" borderId="21" xfId="0" applyNumberFormat="1" applyFont="1" applyFill="1" applyBorder="1" applyAlignment="1" applyProtection="1">
      <alignment horizontal="center" vertical="center"/>
      <protection locked="0"/>
    </xf>
    <xf numFmtId="0" fontId="13" fillId="4" borderId="23" xfId="0" applyFont="1" applyFill="1" applyBorder="1" applyAlignment="1" applyProtection="1">
      <alignment horizontal="center" vertical="center"/>
      <protection hidden="1"/>
    </xf>
    <xf numFmtId="0" fontId="13" fillId="4" borderId="23" xfId="0" applyFont="1" applyFill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hidden="1"/>
    </xf>
    <xf numFmtId="0" fontId="3" fillId="6" borderId="24" xfId="0" applyFont="1" applyFill="1" applyBorder="1"/>
    <xf numFmtId="0" fontId="6" fillId="4" borderId="24" xfId="0" applyFont="1" applyFill="1" applyBorder="1" applyAlignment="1" applyProtection="1">
      <alignment horizontal="center"/>
      <protection locked="0"/>
    </xf>
    <xf numFmtId="0" fontId="6" fillId="4" borderId="24" xfId="0" applyFont="1" applyFill="1" applyBorder="1" applyAlignment="1">
      <alignment horizontal="center"/>
    </xf>
    <xf numFmtId="0" fontId="6" fillId="4" borderId="24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left" vertical="center"/>
      <protection locked="0"/>
    </xf>
    <xf numFmtId="0" fontId="6" fillId="4" borderId="40" xfId="0" applyFont="1" applyFill="1" applyBorder="1" applyAlignment="1" applyProtection="1">
      <alignment horizontal="left" vertical="center"/>
      <protection locked="0"/>
    </xf>
    <xf numFmtId="0" fontId="13" fillId="0" borderId="58" xfId="0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left" vertical="center"/>
    </xf>
    <xf numFmtId="1" fontId="12" fillId="8" borderId="69" xfId="0" applyNumberFormat="1" applyFont="1" applyFill="1" applyBorder="1" applyAlignment="1">
      <alignment horizontal="center"/>
    </xf>
    <xf numFmtId="0" fontId="13" fillId="8" borderId="49" xfId="0" applyFont="1" applyFill="1" applyBorder="1" applyAlignment="1">
      <alignment horizontal="center" vertical="center"/>
    </xf>
    <xf numFmtId="1" fontId="12" fillId="8" borderId="29" xfId="0" applyNumberFormat="1" applyFont="1" applyFill="1" applyBorder="1" applyAlignment="1">
      <alignment horizontal="center"/>
    </xf>
    <xf numFmtId="1" fontId="12" fillId="8" borderId="49" xfId="0" applyNumberFormat="1" applyFont="1" applyFill="1" applyBorder="1" applyAlignment="1">
      <alignment horizontal="center"/>
    </xf>
    <xf numFmtId="0" fontId="3" fillId="8" borderId="37" xfId="0" applyFont="1" applyFill="1" applyBorder="1" applyAlignment="1" applyProtection="1">
      <alignment horizontal="center"/>
      <protection hidden="1"/>
    </xf>
    <xf numFmtId="0" fontId="3" fillId="8" borderId="72" xfId="0" applyFont="1" applyFill="1" applyBorder="1" applyAlignment="1" applyProtection="1">
      <alignment horizontal="center"/>
      <protection hidden="1"/>
    </xf>
    <xf numFmtId="1" fontId="12" fillId="8" borderId="38" xfId="0" applyNumberFormat="1" applyFont="1" applyFill="1" applyBorder="1" applyAlignment="1">
      <alignment horizontal="center"/>
    </xf>
    <xf numFmtId="1" fontId="12" fillId="8" borderId="47" xfId="0" applyNumberFormat="1" applyFont="1" applyFill="1" applyBorder="1" applyAlignment="1">
      <alignment horizontal="center"/>
    </xf>
    <xf numFmtId="0" fontId="5" fillId="8" borderId="14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1" fontId="12" fillId="8" borderId="6" xfId="0" applyNumberFormat="1" applyFont="1" applyFill="1" applyBorder="1" applyAlignment="1">
      <alignment horizontal="center"/>
    </xf>
    <xf numFmtId="1" fontId="12" fillId="8" borderId="16" xfId="0" applyNumberFormat="1" applyFont="1" applyFill="1" applyBorder="1" applyAlignment="1">
      <alignment horizontal="center"/>
    </xf>
    <xf numFmtId="0" fontId="12" fillId="8" borderId="15" xfId="0" applyFont="1" applyFill="1" applyBorder="1" applyAlignment="1">
      <alignment horizontal="left" vertical="center"/>
    </xf>
    <xf numFmtId="1" fontId="12" fillId="8" borderId="15" xfId="0" applyNumberFormat="1" applyFont="1" applyFill="1" applyBorder="1" applyAlignment="1">
      <alignment horizontal="center"/>
    </xf>
    <xf numFmtId="1" fontId="12" fillId="8" borderId="15" xfId="0" applyNumberFormat="1" applyFont="1" applyFill="1" applyBorder="1"/>
    <xf numFmtId="1" fontId="12" fillId="8" borderId="63" xfId="0" applyNumberFormat="1" applyFont="1" applyFill="1" applyBorder="1"/>
    <xf numFmtId="0" fontId="5" fillId="8" borderId="37" xfId="0" applyFont="1" applyFill="1" applyBorder="1" applyAlignment="1">
      <alignment horizontal="left" vertical="center"/>
    </xf>
    <xf numFmtId="0" fontId="12" fillId="8" borderId="9" xfId="0" applyFont="1" applyFill="1" applyBorder="1" applyAlignment="1">
      <alignment vertical="center"/>
    </xf>
    <xf numFmtId="0" fontId="3" fillId="8" borderId="7" xfId="0" applyFont="1" applyFill="1" applyBorder="1" applyAlignment="1">
      <alignment horizontal="center"/>
    </xf>
    <xf numFmtId="0" fontId="3" fillId="8" borderId="16" xfId="0" applyFont="1" applyFill="1" applyBorder="1" applyAlignment="1">
      <alignment horizontal="center"/>
    </xf>
    <xf numFmtId="4" fontId="3" fillId="8" borderId="7" xfId="0" applyNumberFormat="1" applyFont="1" applyFill="1" applyBorder="1" applyAlignment="1" applyProtection="1">
      <alignment horizontal="center"/>
      <protection hidden="1"/>
    </xf>
    <xf numFmtId="0" fontId="5" fillId="8" borderId="38" xfId="0" applyFont="1" applyFill="1" applyBorder="1" applyAlignment="1">
      <alignment horizontal="center"/>
    </xf>
    <xf numFmtId="0" fontId="5" fillId="8" borderId="0" xfId="0" applyFont="1" applyFill="1" applyAlignment="1">
      <alignment horizontal="center"/>
    </xf>
    <xf numFmtId="0" fontId="5" fillId="8" borderId="35" xfId="0" applyFont="1" applyFill="1" applyBorder="1" applyAlignment="1">
      <alignment horizontal="center"/>
    </xf>
    <xf numFmtId="0" fontId="5" fillId="8" borderId="59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42" xfId="0" applyFont="1" applyFill="1" applyBorder="1" applyAlignment="1">
      <alignment horizontal="center"/>
    </xf>
    <xf numFmtId="0" fontId="5" fillId="6" borderId="64" xfId="0" applyFont="1" applyFill="1" applyBorder="1" applyAlignment="1">
      <alignment horizontal="left"/>
    </xf>
    <xf numFmtId="0" fontId="5" fillId="6" borderId="31" xfId="0" applyFont="1" applyFill="1" applyBorder="1" applyAlignment="1">
      <alignment horizontal="left"/>
    </xf>
    <xf numFmtId="0" fontId="5" fillId="6" borderId="32" xfId="0" applyFont="1" applyFill="1" applyBorder="1" applyAlignment="1">
      <alignment horizontal="left"/>
    </xf>
    <xf numFmtId="0" fontId="30" fillId="6" borderId="64" xfId="0" applyFont="1" applyFill="1" applyBorder="1" applyAlignment="1" applyProtection="1">
      <alignment horizontal="left"/>
      <protection hidden="1"/>
    </xf>
    <xf numFmtId="0" fontId="30" fillId="6" borderId="31" xfId="0" applyFont="1" applyFill="1" applyBorder="1" applyAlignment="1" applyProtection="1">
      <alignment horizontal="left"/>
      <protection hidden="1"/>
    </xf>
    <xf numFmtId="0" fontId="30" fillId="6" borderId="32" xfId="0" applyFont="1" applyFill="1" applyBorder="1" applyAlignment="1" applyProtection="1">
      <alignment horizontal="left"/>
      <protection hidden="1"/>
    </xf>
    <xf numFmtId="0" fontId="5" fillId="6" borderId="56" xfId="0" applyFont="1" applyFill="1" applyBorder="1"/>
    <xf numFmtId="167" fontId="12" fillId="0" borderId="21" xfId="0" applyNumberFormat="1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locked="0"/>
    </xf>
    <xf numFmtId="1" fontId="12" fillId="0" borderId="24" xfId="0" applyNumberFormat="1" applyFont="1" applyBorder="1" applyAlignment="1">
      <alignment horizontal="center" vertical="center"/>
    </xf>
    <xf numFmtId="0" fontId="12" fillId="8" borderId="58" xfId="0" applyFont="1" applyFill="1" applyBorder="1" applyAlignment="1">
      <alignment horizontal="right" vertical="center"/>
    </xf>
    <xf numFmtId="3" fontId="13" fillId="3" borderId="22" xfId="0" applyNumberFormat="1" applyFont="1" applyFill="1" applyBorder="1" applyAlignment="1">
      <alignment horizontal="center" vertical="center"/>
    </xf>
    <xf numFmtId="3" fontId="13" fillId="0" borderId="22" xfId="0" applyNumberFormat="1" applyFont="1" applyBorder="1" applyAlignment="1">
      <alignment horizontal="center" vertical="center"/>
    </xf>
    <xf numFmtId="3" fontId="13" fillId="4" borderId="22" xfId="0" applyNumberFormat="1" applyFont="1" applyFill="1" applyBorder="1" applyAlignment="1" applyProtection="1">
      <alignment horizontal="center" vertical="center"/>
      <protection locked="0"/>
    </xf>
    <xf numFmtId="3" fontId="13" fillId="0" borderId="22" xfId="0" applyNumberFormat="1" applyFont="1" applyBorder="1" applyAlignment="1" applyProtection="1">
      <alignment horizontal="center" vertical="center"/>
      <protection hidden="1"/>
    </xf>
    <xf numFmtId="167" fontId="13" fillId="0" borderId="22" xfId="0" applyNumberFormat="1" applyFont="1" applyBorder="1" applyAlignment="1">
      <alignment horizontal="center" vertical="center"/>
    </xf>
    <xf numFmtId="167" fontId="13" fillId="4" borderId="22" xfId="0" applyNumberFormat="1" applyFont="1" applyFill="1" applyBorder="1" applyAlignment="1" applyProtection="1">
      <alignment horizontal="center" vertical="center"/>
      <protection locked="0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12" fillId="0" borderId="19" xfId="0" applyNumberFormat="1" applyFont="1" applyBorder="1" applyAlignment="1">
      <alignment horizontal="center" vertical="center"/>
    </xf>
    <xf numFmtId="3" fontId="12" fillId="4" borderId="65" xfId="0" applyNumberFormat="1" applyFont="1" applyFill="1" applyBorder="1" applyAlignment="1" applyProtection="1">
      <alignment horizontal="center" vertical="center"/>
      <protection locked="0" hidden="1"/>
    </xf>
    <xf numFmtId="168" fontId="12" fillId="0" borderId="72" xfId="0" applyNumberFormat="1" applyFont="1" applyBorder="1" applyAlignment="1" applyProtection="1">
      <alignment horizontal="center" vertical="center"/>
      <protection hidden="1"/>
    </xf>
    <xf numFmtId="3" fontId="12" fillId="0" borderId="65" xfId="0" applyNumberFormat="1" applyFont="1" applyBorder="1" applyAlignment="1" applyProtection="1">
      <alignment horizontal="center" vertical="center"/>
      <protection hidden="1"/>
    </xf>
    <xf numFmtId="3" fontId="6" fillId="4" borderId="22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21" xfId="0" applyNumberFormat="1" applyFont="1" applyFill="1" applyBorder="1" applyAlignment="1" applyProtection="1">
      <alignment horizontal="center" vertical="center"/>
      <protection hidden="1"/>
    </xf>
    <xf numFmtId="3" fontId="6" fillId="4" borderId="22" xfId="0" applyNumberFormat="1" applyFont="1" applyFill="1" applyBorder="1" applyAlignment="1" applyProtection="1">
      <alignment horizontal="center" vertical="center"/>
      <protection locked="0"/>
    </xf>
    <xf numFmtId="168" fontId="6" fillId="7" borderId="21" xfId="0" applyNumberFormat="1" applyFont="1" applyFill="1" applyBorder="1" applyAlignment="1">
      <alignment horizontal="center" vertical="center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168" fontId="6" fillId="7" borderId="47" xfId="0" applyNumberFormat="1" applyFont="1" applyFill="1" applyBorder="1" applyAlignment="1" applyProtection="1">
      <alignment horizontal="center" vertical="center"/>
      <protection hidden="1"/>
    </xf>
    <xf numFmtId="1" fontId="6" fillId="4" borderId="22" xfId="0" applyNumberFormat="1" applyFont="1" applyFill="1" applyBorder="1" applyAlignment="1" applyProtection="1">
      <alignment horizontal="center" vertical="center"/>
      <protection locked="0"/>
    </xf>
    <xf numFmtId="4" fontId="6" fillId="0" borderId="67" xfId="0" applyNumberFormat="1" applyFont="1" applyBorder="1" applyAlignment="1" applyProtection="1">
      <alignment horizontal="center" vertical="center"/>
      <protection hidden="1"/>
    </xf>
    <xf numFmtId="168" fontId="6" fillId="7" borderId="62" xfId="0" applyNumberFormat="1" applyFont="1" applyFill="1" applyBorder="1" applyAlignment="1" applyProtection="1">
      <alignment horizontal="center" vertical="center"/>
      <protection hidden="1"/>
    </xf>
    <xf numFmtId="2" fontId="6" fillId="4" borderId="22" xfId="0" applyNumberFormat="1" applyFont="1" applyFill="1" applyBorder="1" applyAlignment="1" applyProtection="1">
      <alignment horizontal="center" vertical="center"/>
      <protection locked="0"/>
    </xf>
    <xf numFmtId="3" fontId="12" fillId="4" borderId="58" xfId="0" applyNumberFormat="1" applyFont="1" applyFill="1" applyBorder="1" applyAlignment="1" applyProtection="1">
      <alignment horizontal="center" vertical="center"/>
      <protection locked="0" hidden="1"/>
    </xf>
    <xf numFmtId="3" fontId="12" fillId="4" borderId="58" xfId="0" applyNumberFormat="1" applyFont="1" applyFill="1" applyBorder="1" applyAlignment="1" applyProtection="1">
      <alignment horizontal="center" vertical="center"/>
      <protection locked="0"/>
    </xf>
    <xf numFmtId="168" fontId="12" fillId="0" borderId="45" xfId="0" applyNumberFormat="1" applyFont="1" applyBorder="1" applyAlignment="1">
      <alignment horizontal="center" vertical="center"/>
    </xf>
    <xf numFmtId="3" fontId="12" fillId="4" borderId="67" xfId="0" applyNumberFormat="1" applyFont="1" applyFill="1" applyBorder="1" applyAlignment="1" applyProtection="1">
      <alignment horizontal="center" vertical="center"/>
      <protection locked="0"/>
    </xf>
    <xf numFmtId="3" fontId="12" fillId="2" borderId="65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>
      <alignment horizontal="center" vertical="center"/>
    </xf>
    <xf numFmtId="168" fontId="6" fillId="4" borderId="22" xfId="0" applyNumberFormat="1" applyFont="1" applyFill="1" applyBorder="1" applyAlignment="1" applyProtection="1">
      <alignment horizontal="center" vertical="center"/>
      <protection locked="0"/>
    </xf>
    <xf numFmtId="3" fontId="6" fillId="7" borderId="50" xfId="0" applyNumberFormat="1" applyFont="1" applyFill="1" applyBorder="1" applyAlignment="1" applyProtection="1">
      <alignment horizontal="center" vertical="center"/>
      <protection hidden="1"/>
    </xf>
    <xf numFmtId="168" fontId="6" fillId="7" borderId="60" xfId="0" applyNumberFormat="1" applyFont="1" applyFill="1" applyBorder="1" applyAlignment="1" applyProtection="1">
      <alignment horizontal="center" vertical="center"/>
      <protection hidden="1"/>
    </xf>
    <xf numFmtId="3" fontId="6" fillId="4" borderId="50" xfId="0" applyNumberFormat="1" applyFont="1" applyFill="1" applyBorder="1" applyAlignment="1" applyProtection="1">
      <alignment horizontal="center" vertical="center"/>
      <protection locked="0"/>
    </xf>
    <xf numFmtId="168" fontId="6" fillId="7" borderId="60" xfId="0" applyNumberFormat="1" applyFont="1" applyFill="1" applyBorder="1" applyAlignment="1">
      <alignment horizontal="center" vertical="center"/>
    </xf>
    <xf numFmtId="3" fontId="12" fillId="4" borderId="4" xfId="0" applyNumberFormat="1" applyFont="1" applyFill="1" applyBorder="1" applyAlignment="1" applyProtection="1">
      <alignment horizontal="center" vertical="center"/>
      <protection locked="0" hidden="1"/>
    </xf>
    <xf numFmtId="168" fontId="12" fillId="0" borderId="43" xfId="0" applyNumberFormat="1" applyFont="1" applyBorder="1" applyAlignment="1" applyProtection="1">
      <alignment horizontal="center" vertical="center"/>
      <protection hidden="1"/>
    </xf>
    <xf numFmtId="3" fontId="6" fillId="7" borderId="29" xfId="0" applyNumberFormat="1" applyFont="1" applyFill="1" applyBorder="1" applyAlignment="1" applyProtection="1">
      <alignment horizontal="center" vertical="center"/>
      <protection hidden="1"/>
    </xf>
    <xf numFmtId="168" fontId="6" fillId="7" borderId="49" xfId="0" applyNumberFormat="1" applyFont="1" applyFill="1" applyBorder="1" applyAlignment="1" applyProtection="1">
      <alignment horizontal="center" vertical="center"/>
      <protection hidden="1"/>
    </xf>
    <xf numFmtId="168" fontId="6" fillId="4" borderId="29" xfId="0" applyNumberFormat="1" applyFont="1" applyFill="1" applyBorder="1" applyAlignment="1" applyProtection="1">
      <alignment horizontal="center" vertical="center"/>
      <protection locked="0"/>
    </xf>
    <xf numFmtId="168" fontId="6" fillId="7" borderId="49" xfId="0" applyNumberFormat="1" applyFont="1" applyFill="1" applyBorder="1" applyAlignment="1">
      <alignment horizontal="center" vertical="center"/>
    </xf>
    <xf numFmtId="3" fontId="12" fillId="4" borderId="4" xfId="0" applyNumberFormat="1" applyFont="1" applyFill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 applyProtection="1">
      <alignment horizontal="center" vertical="center"/>
      <protection hidden="1"/>
    </xf>
    <xf numFmtId="3" fontId="6" fillId="7" borderId="19" xfId="0" applyNumberFormat="1" applyFont="1" applyFill="1" applyBorder="1" applyAlignment="1" applyProtection="1">
      <alignment horizontal="center" vertical="center"/>
      <protection hidden="1"/>
    </xf>
    <xf numFmtId="168" fontId="6" fillId="7" borderId="34" xfId="0" applyNumberFormat="1" applyFont="1" applyFill="1" applyBorder="1" applyAlignment="1" applyProtection="1">
      <alignment horizontal="center" vertical="center"/>
      <protection hidden="1"/>
    </xf>
    <xf numFmtId="3" fontId="6" fillId="4" borderId="19" xfId="0" applyNumberFormat="1" applyFont="1" applyFill="1" applyBorder="1" applyAlignment="1" applyProtection="1">
      <alignment horizontal="center" vertical="center"/>
      <protection locked="0"/>
    </xf>
    <xf numFmtId="168" fontId="6" fillId="7" borderId="34" xfId="0" applyNumberFormat="1" applyFont="1" applyFill="1" applyBorder="1" applyAlignment="1">
      <alignment horizontal="center" vertical="center"/>
    </xf>
    <xf numFmtId="3" fontId="12" fillId="4" borderId="67" xfId="0" applyNumberFormat="1" applyFont="1" applyFill="1" applyBorder="1" applyAlignment="1" applyProtection="1">
      <alignment horizontal="center" vertical="center"/>
      <protection locked="0" hidden="1"/>
    </xf>
    <xf numFmtId="168" fontId="12" fillId="0" borderId="49" xfId="0" applyNumberFormat="1" applyFont="1" applyBorder="1" applyAlignment="1" applyProtection="1">
      <alignment horizontal="center" vertical="center"/>
      <protection hidden="1"/>
    </xf>
    <xf numFmtId="9" fontId="6" fillId="7" borderId="22" xfId="0" applyNumberFormat="1" applyFont="1" applyFill="1" applyBorder="1" applyAlignment="1" applyProtection="1">
      <alignment horizontal="center" vertical="center"/>
      <protection hidden="1"/>
    </xf>
    <xf numFmtId="4" fontId="6" fillId="4" borderId="22" xfId="0" applyNumberFormat="1" applyFont="1" applyFill="1" applyBorder="1" applyAlignment="1" applyProtection="1">
      <alignment horizontal="center" vertical="center"/>
      <protection locked="0"/>
    </xf>
    <xf numFmtId="4" fontId="6" fillId="7" borderId="21" xfId="0" applyNumberFormat="1" applyFont="1" applyFill="1" applyBorder="1" applyAlignment="1">
      <alignment horizontal="center" vertical="center"/>
    </xf>
    <xf numFmtId="4" fontId="6" fillId="7" borderId="21" xfId="0" applyNumberFormat="1" applyFont="1" applyFill="1" applyBorder="1" applyAlignment="1" applyProtection="1">
      <alignment horizontal="center" vertical="center"/>
      <protection hidden="1"/>
    </xf>
    <xf numFmtId="164" fontId="6" fillId="7" borderId="21" xfId="0" applyNumberFormat="1" applyFont="1" applyFill="1" applyBorder="1" applyAlignment="1" applyProtection="1">
      <alignment horizontal="center" vertical="center"/>
      <protection hidden="1"/>
    </xf>
    <xf numFmtId="3" fontId="6" fillId="4" borderId="29" xfId="0" applyNumberFormat="1" applyFont="1" applyFill="1" applyBorder="1" applyAlignment="1" applyProtection="1">
      <alignment horizontal="center" vertical="center"/>
      <protection locked="0"/>
    </xf>
    <xf numFmtId="168" fontId="3" fillId="7" borderId="49" xfId="0" applyNumberFormat="1" applyFont="1" applyFill="1" applyBorder="1" applyAlignment="1">
      <alignment horizontal="center" vertical="center"/>
    </xf>
    <xf numFmtId="168" fontId="3" fillId="7" borderId="49" xfId="0" applyNumberFormat="1" applyFont="1" applyFill="1" applyBorder="1" applyAlignment="1" applyProtection="1">
      <alignment horizontal="center" vertical="center"/>
      <protection hidden="1"/>
    </xf>
    <xf numFmtId="168" fontId="3" fillId="7" borderId="21" xfId="0" applyNumberFormat="1" applyFont="1" applyFill="1" applyBorder="1" applyAlignment="1">
      <alignment horizontal="center" vertical="center"/>
    </xf>
    <xf numFmtId="168" fontId="3" fillId="7" borderId="21" xfId="0" applyNumberFormat="1" applyFont="1" applyFill="1" applyBorder="1" applyAlignment="1" applyProtection="1">
      <alignment horizontal="center" vertical="center"/>
      <protection hidden="1"/>
    </xf>
    <xf numFmtId="167" fontId="6" fillId="4" borderId="22" xfId="0" applyNumberFormat="1" applyFont="1" applyFill="1" applyBorder="1" applyAlignment="1" applyProtection="1">
      <alignment horizontal="center" vertical="center"/>
      <protection locked="0"/>
    </xf>
    <xf numFmtId="167" fontId="3" fillId="7" borderId="21" xfId="0" applyNumberFormat="1" applyFont="1" applyFill="1" applyBorder="1" applyAlignment="1">
      <alignment horizontal="center" vertical="center"/>
    </xf>
    <xf numFmtId="167" fontId="6" fillId="4" borderId="29" xfId="0" applyNumberFormat="1" applyFont="1" applyFill="1" applyBorder="1" applyAlignment="1" applyProtection="1">
      <alignment horizontal="center" vertical="center"/>
      <protection locked="0"/>
    </xf>
    <xf numFmtId="167" fontId="6" fillId="7" borderId="49" xfId="0" applyNumberFormat="1" applyFont="1" applyFill="1" applyBorder="1" applyAlignment="1">
      <alignment horizontal="center" vertical="center"/>
    </xf>
    <xf numFmtId="167" fontId="3" fillId="7" borderId="21" xfId="0" applyNumberFormat="1" applyFont="1" applyFill="1" applyBorder="1" applyAlignment="1" applyProtection="1">
      <alignment horizontal="center" vertical="center"/>
      <protection hidden="1"/>
    </xf>
    <xf numFmtId="164" fontId="6" fillId="7" borderId="49" xfId="0" applyNumberFormat="1" applyFont="1" applyFill="1" applyBorder="1" applyAlignment="1" applyProtection="1">
      <alignment horizontal="center" vertical="center"/>
      <protection hidden="1"/>
    </xf>
    <xf numFmtId="164" fontId="3" fillId="7" borderId="21" xfId="0" applyNumberFormat="1" applyFont="1" applyFill="1" applyBorder="1" applyAlignment="1" applyProtection="1">
      <alignment horizontal="center" vertical="center"/>
      <protection hidden="1"/>
    </xf>
    <xf numFmtId="164" fontId="6" fillId="7" borderId="29" xfId="0" applyNumberFormat="1" applyFont="1" applyFill="1" applyBorder="1" applyAlignment="1" applyProtection="1">
      <alignment horizontal="center" vertical="center"/>
      <protection hidden="1"/>
    </xf>
    <xf numFmtId="3" fontId="6" fillId="4" borderId="68" xfId="0" applyNumberFormat="1" applyFont="1" applyFill="1" applyBorder="1" applyAlignment="1" applyProtection="1">
      <alignment horizontal="center" vertical="center"/>
      <protection locked="0"/>
    </xf>
    <xf numFmtId="168" fontId="3" fillId="7" borderId="47" xfId="0" applyNumberFormat="1" applyFont="1" applyFill="1" applyBorder="1" applyAlignment="1">
      <alignment horizontal="center" vertical="center"/>
    </xf>
    <xf numFmtId="164" fontId="6" fillId="7" borderId="21" xfId="0" applyNumberFormat="1" applyFont="1" applyFill="1" applyBorder="1" applyAlignment="1">
      <alignment horizontal="center" vertical="center"/>
    </xf>
    <xf numFmtId="3" fontId="6" fillId="4" borderId="67" xfId="0" applyNumberFormat="1" applyFont="1" applyFill="1" applyBorder="1" applyAlignment="1" applyProtection="1">
      <alignment horizontal="center" vertical="center"/>
      <protection locked="0" hidden="1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8" fontId="6" fillId="7" borderId="53" xfId="0" applyNumberFormat="1" applyFont="1" applyFill="1" applyBorder="1" applyAlignment="1" applyProtection="1">
      <alignment horizontal="center" vertical="center"/>
      <protection hidden="1"/>
    </xf>
    <xf numFmtId="168" fontId="3" fillId="7" borderId="62" xfId="0" applyNumberFormat="1" applyFont="1" applyFill="1" applyBorder="1" applyAlignment="1" applyProtection="1">
      <alignment horizontal="center" vertical="center"/>
      <protection hidden="1"/>
    </xf>
    <xf numFmtId="164" fontId="6" fillId="4" borderId="22" xfId="0" applyNumberFormat="1" applyFont="1" applyFill="1" applyBorder="1" applyAlignment="1" applyProtection="1">
      <alignment horizontal="center" vertical="center"/>
      <protection locked="0"/>
    </xf>
    <xf numFmtId="164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168" fontId="6" fillId="7" borderId="24" xfId="0" applyNumberFormat="1" applyFont="1" applyFill="1" applyBorder="1" applyAlignment="1" applyProtection="1">
      <alignment horizontal="center" vertical="center"/>
      <protection hidden="1"/>
    </xf>
    <xf numFmtId="164" fontId="6" fillId="7" borderId="22" xfId="0" applyNumberFormat="1" applyFont="1" applyFill="1" applyBorder="1" applyAlignment="1" applyProtection="1">
      <alignment horizontal="center" vertical="center"/>
      <protection hidden="1"/>
    </xf>
    <xf numFmtId="10" fontId="6" fillId="4" borderId="22" xfId="0" applyNumberFormat="1" applyFont="1" applyFill="1" applyBorder="1" applyAlignment="1" applyProtection="1">
      <alignment horizontal="center" vertical="center"/>
      <protection locked="0" hidden="1"/>
    </xf>
    <xf numFmtId="10" fontId="6" fillId="7" borderId="21" xfId="0" applyNumberFormat="1" applyFont="1" applyFill="1" applyBorder="1" applyAlignment="1" applyProtection="1">
      <alignment horizontal="center" vertical="center"/>
      <protection hidden="1"/>
    </xf>
    <xf numFmtId="10" fontId="6" fillId="4" borderId="22" xfId="0" applyNumberFormat="1" applyFont="1" applyFill="1" applyBorder="1" applyAlignment="1" applyProtection="1">
      <alignment horizontal="center" vertical="center"/>
      <protection locked="0"/>
    </xf>
    <xf numFmtId="10" fontId="6" fillId="7" borderId="24" xfId="0" applyNumberFormat="1" applyFont="1" applyFill="1" applyBorder="1" applyAlignment="1" applyProtection="1">
      <alignment horizontal="center" vertical="center"/>
      <protection hidden="1"/>
    </xf>
    <xf numFmtId="10" fontId="3" fillId="7" borderId="21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>
      <alignment horizontal="center" vertical="center"/>
    </xf>
    <xf numFmtId="3" fontId="6" fillId="7" borderId="21" xfId="0" applyNumberFormat="1" applyFont="1" applyFill="1" applyBorder="1" applyAlignment="1" applyProtection="1">
      <alignment horizontal="center" vertical="center"/>
      <protection hidden="1"/>
    </xf>
    <xf numFmtId="3" fontId="13" fillId="0" borderId="67" xfId="0" applyNumberFormat="1" applyFont="1" applyBorder="1" applyAlignment="1" applyProtection="1">
      <alignment horizontal="center" vertical="center"/>
      <protection hidden="1"/>
    </xf>
    <xf numFmtId="168" fontId="13" fillId="7" borderId="62" xfId="0" applyNumberFormat="1" applyFont="1" applyFill="1" applyBorder="1" applyAlignment="1" applyProtection="1">
      <alignment horizontal="center" vertical="center"/>
      <protection hidden="1"/>
    </xf>
    <xf numFmtId="168" fontId="13" fillId="0" borderId="62" xfId="0" applyNumberFormat="1" applyFont="1" applyBorder="1" applyAlignment="1" applyProtection="1">
      <alignment horizontal="center" vertical="center"/>
      <protection hidden="1"/>
    </xf>
    <xf numFmtId="168" fontId="12" fillId="0" borderId="47" xfId="0" applyNumberFormat="1" applyFont="1" applyBorder="1" applyAlignment="1" applyProtection="1">
      <alignment horizontal="center" vertical="center"/>
      <protection hidden="1"/>
    </xf>
    <xf numFmtId="168" fontId="12" fillId="0" borderId="62" xfId="0" applyNumberFormat="1" applyFont="1" applyBorder="1" applyAlignment="1" applyProtection="1">
      <alignment horizontal="center" vertical="center"/>
      <protection hidden="1"/>
    </xf>
    <xf numFmtId="168" fontId="12" fillId="0" borderId="45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168" fontId="6" fillId="7" borderId="5" xfId="0" applyNumberFormat="1" applyFont="1" applyFill="1" applyBorder="1" applyAlignment="1" applyProtection="1">
      <alignment horizontal="center" vertical="center"/>
      <protection hidden="1"/>
    </xf>
    <xf numFmtId="168" fontId="6" fillId="7" borderId="5" xfId="0" applyNumberFormat="1" applyFont="1" applyFill="1" applyBorder="1" applyAlignment="1">
      <alignment horizontal="center" vertical="center"/>
    </xf>
    <xf numFmtId="168" fontId="6" fillId="7" borderId="3" xfId="0" applyNumberFormat="1" applyFont="1" applyFill="1" applyBorder="1" applyAlignment="1" applyProtection="1">
      <alignment horizontal="center" vertical="center"/>
      <protection hidden="1"/>
    </xf>
    <xf numFmtId="168" fontId="6" fillId="7" borderId="3" xfId="0" applyNumberFormat="1" applyFont="1" applyFill="1" applyBorder="1" applyAlignment="1">
      <alignment horizontal="center" vertical="center"/>
    </xf>
    <xf numFmtId="168" fontId="12" fillId="0" borderId="62" xfId="0" applyNumberFormat="1" applyFont="1" applyBorder="1" applyAlignment="1">
      <alignment horizontal="center" vertical="center"/>
    </xf>
    <xf numFmtId="168" fontId="12" fillId="0" borderId="72" xfId="0" applyNumberFormat="1" applyFont="1" applyBorder="1" applyAlignment="1">
      <alignment horizontal="center" vertical="center"/>
    </xf>
    <xf numFmtId="3" fontId="6" fillId="3" borderId="22" xfId="0" applyNumberFormat="1" applyFont="1" applyFill="1" applyBorder="1" applyAlignment="1" applyProtection="1">
      <alignment horizontal="center" vertical="center"/>
      <protection hidden="1"/>
    </xf>
    <xf numFmtId="168" fontId="6" fillId="4" borderId="19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40" xfId="0" applyNumberFormat="1" applyFont="1" applyFill="1" applyBorder="1" applyAlignment="1" applyProtection="1">
      <alignment horizontal="center" vertical="center"/>
      <protection hidden="1"/>
    </xf>
    <xf numFmtId="168" fontId="6" fillId="4" borderId="19" xfId="0" applyNumberFormat="1" applyFont="1" applyFill="1" applyBorder="1" applyAlignment="1" applyProtection="1">
      <alignment horizontal="center" vertical="center"/>
      <protection locked="0"/>
    </xf>
    <xf numFmtId="168" fontId="6" fillId="7" borderId="40" xfId="0" applyNumberFormat="1" applyFont="1" applyFill="1" applyBorder="1" applyAlignment="1">
      <alignment horizontal="center" vertical="center"/>
    </xf>
    <xf numFmtId="3" fontId="12" fillId="4" borderId="65" xfId="0" applyNumberFormat="1" applyFont="1" applyFill="1" applyBorder="1" applyAlignment="1" applyProtection="1">
      <alignment horizontal="center" vertical="center"/>
      <protection locked="0"/>
    </xf>
    <xf numFmtId="3" fontId="6" fillId="4" borderId="68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47" xfId="0" applyNumberFormat="1" applyFont="1" applyFill="1" applyBorder="1" applyAlignment="1">
      <alignment horizontal="center" vertical="center"/>
    </xf>
    <xf numFmtId="3" fontId="12" fillId="3" borderId="65" xfId="0" applyNumberFormat="1" applyFont="1" applyFill="1" applyBorder="1" applyAlignment="1" applyProtection="1">
      <alignment horizontal="center" vertical="center"/>
      <protection hidden="1"/>
    </xf>
    <xf numFmtId="4" fontId="12" fillId="0" borderId="72" xfId="0" applyNumberFormat="1" applyFont="1" applyBorder="1" applyAlignment="1" applyProtection="1">
      <alignment horizontal="center" vertical="center"/>
      <protection hidden="1"/>
    </xf>
    <xf numFmtId="9" fontId="6" fillId="4" borderId="50" xfId="0" applyNumberFormat="1" applyFont="1" applyFill="1" applyBorder="1" applyAlignment="1" applyProtection="1">
      <alignment horizontal="center" vertical="center"/>
      <protection locked="0" hidden="1"/>
    </xf>
    <xf numFmtId="168" fontId="6" fillId="7" borderId="77" xfId="0" applyNumberFormat="1" applyFont="1" applyFill="1" applyBorder="1" applyAlignment="1" applyProtection="1">
      <alignment horizontal="center" vertical="center"/>
      <protection hidden="1"/>
    </xf>
    <xf numFmtId="168" fontId="6" fillId="7" borderId="51" xfId="0" applyNumberFormat="1" applyFont="1" applyFill="1" applyBorder="1" applyAlignment="1">
      <alignment horizontal="center" vertical="center"/>
    </xf>
    <xf numFmtId="3" fontId="12" fillId="8" borderId="58" xfId="0" applyNumberFormat="1" applyFont="1" applyFill="1" applyBorder="1" applyAlignment="1" applyProtection="1">
      <alignment horizontal="center" vertical="center"/>
      <protection hidden="1"/>
    </xf>
    <xf numFmtId="168" fontId="12" fillId="0" borderId="9" xfId="0" applyNumberFormat="1" applyFont="1" applyBorder="1" applyAlignment="1" applyProtection="1">
      <alignment horizontal="center" vertical="center"/>
      <protection hidden="1"/>
    </xf>
    <xf numFmtId="168" fontId="12" fillId="0" borderId="45" xfId="0" applyNumberFormat="1" applyFont="1" applyBorder="1" applyAlignment="1" applyProtection="1">
      <alignment horizontal="center"/>
      <protection hidden="1"/>
    </xf>
    <xf numFmtId="3" fontId="6" fillId="4" borderId="27" xfId="0" applyNumberFormat="1" applyFont="1" applyFill="1" applyBorder="1" applyAlignment="1" applyProtection="1">
      <alignment horizontal="center" vertical="center"/>
      <protection locked="0"/>
    </xf>
    <xf numFmtId="3" fontId="6" fillId="0" borderId="27" xfId="0" applyNumberFormat="1" applyFont="1" applyBorder="1" applyAlignment="1" applyProtection="1">
      <alignment horizontal="center" vertical="center"/>
      <protection hidden="1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8" fontId="6" fillId="4" borderId="5" xfId="0" applyNumberFormat="1" applyFont="1" applyFill="1" applyBorder="1" applyAlignment="1" applyProtection="1">
      <alignment horizontal="center" vertical="center"/>
      <protection locked="0"/>
    </xf>
    <xf numFmtId="168" fontId="6" fillId="4" borderId="24" xfId="0" applyNumberFormat="1" applyFont="1" applyFill="1" applyBorder="1" applyAlignment="1" applyProtection="1">
      <alignment horizontal="center" vertical="center"/>
      <protection locked="0"/>
    </xf>
    <xf numFmtId="3" fontId="6" fillId="0" borderId="5" xfId="0" applyNumberFormat="1" applyFont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locked="0"/>
    </xf>
    <xf numFmtId="3" fontId="6" fillId="4" borderId="24" xfId="0" applyNumberFormat="1" applyFont="1" applyFill="1" applyBorder="1" applyAlignment="1" applyProtection="1">
      <alignment horizontal="center" vertical="center"/>
      <protection locked="0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166" fontId="6" fillId="0" borderId="24" xfId="0" applyNumberFormat="1" applyFont="1" applyBorder="1" applyAlignment="1">
      <alignment horizontal="center" vertical="center"/>
    </xf>
    <xf numFmtId="170" fontId="6" fillId="4" borderId="5" xfId="0" applyNumberFormat="1" applyFont="1" applyFill="1" applyBorder="1" applyAlignment="1" applyProtection="1">
      <alignment horizontal="center" vertical="center"/>
      <protection locked="0"/>
    </xf>
    <xf numFmtId="170" fontId="6" fillId="4" borderId="24" xfId="0" applyNumberFormat="1" applyFont="1" applyFill="1" applyBorder="1" applyAlignment="1" applyProtection="1">
      <alignment horizontal="center"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4" fontId="6" fillId="0" borderId="24" xfId="0" applyNumberFormat="1" applyFont="1" applyBorder="1" applyAlignment="1" applyProtection="1">
      <alignment horizontal="center" vertical="center"/>
      <protection hidden="1"/>
    </xf>
    <xf numFmtId="4" fontId="6" fillId="4" borderId="5" xfId="0" applyNumberFormat="1" applyFont="1" applyFill="1" applyBorder="1" applyAlignment="1" applyProtection="1">
      <alignment horizontal="center" vertical="center"/>
      <protection locked="0"/>
    </xf>
    <xf numFmtId="4" fontId="6" fillId="4" borderId="24" xfId="0" applyNumberFormat="1" applyFont="1" applyFill="1" applyBorder="1" applyAlignment="1" applyProtection="1">
      <alignment horizontal="center" vertical="center"/>
      <protection locked="0"/>
    </xf>
    <xf numFmtId="4" fontId="6" fillId="4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23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>
      <alignment horizontal="center" vertical="center"/>
    </xf>
    <xf numFmtId="3" fontId="3" fillId="0" borderId="24" xfId="0" applyNumberFormat="1" applyFont="1" applyBorder="1" applyAlignment="1" applyProtection="1">
      <alignment horizontal="center" vertical="center"/>
      <protection hidden="1"/>
    </xf>
    <xf numFmtId="3" fontId="3" fillId="0" borderId="46" xfId="0" applyNumberFormat="1" applyFont="1" applyBorder="1" applyAlignment="1" applyProtection="1">
      <alignment horizontal="center" vertical="center"/>
      <protection hidden="1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168" fontId="33" fillId="0" borderId="24" xfId="0" applyNumberFormat="1" applyFont="1" applyBorder="1" applyAlignment="1">
      <alignment horizontal="center" vertical="center"/>
    </xf>
    <xf numFmtId="1" fontId="12" fillId="8" borderId="8" xfId="0" applyNumberFormat="1" applyFont="1" applyFill="1" applyBorder="1" applyAlignment="1">
      <alignment horizontal="center"/>
    </xf>
    <xf numFmtId="1" fontId="12" fillId="8" borderId="25" xfId="0" applyNumberFormat="1" applyFont="1" applyFill="1" applyBorder="1" applyAlignment="1" applyProtection="1">
      <alignment horizontal="center"/>
      <protection hidden="1"/>
    </xf>
    <xf numFmtId="0" fontId="12" fillId="0" borderId="0" xfId="0" applyFont="1" applyAlignment="1">
      <alignment horizontal="right"/>
    </xf>
    <xf numFmtId="10" fontId="12" fillId="0" borderId="0" xfId="0" applyNumberFormat="1" applyFont="1" applyAlignment="1">
      <alignment horizontal="right" vertical="center"/>
    </xf>
    <xf numFmtId="10" fontId="12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" fontId="12" fillId="0" borderId="0" xfId="0" applyNumberFormat="1" applyFont="1" applyAlignment="1">
      <alignment horizontal="center"/>
    </xf>
    <xf numFmtId="0" fontId="5" fillId="5" borderId="5" xfId="0" applyFont="1" applyFill="1" applyBorder="1" applyAlignment="1">
      <alignment horizontal="left" vertical="center"/>
    </xf>
    <xf numFmtId="0" fontId="12" fillId="5" borderId="55" xfId="0" applyFont="1" applyFill="1" applyBorder="1" applyAlignment="1">
      <alignment horizontal="left" vertical="center"/>
    </xf>
    <xf numFmtId="1" fontId="12" fillId="5" borderId="55" xfId="0" applyNumberFormat="1" applyFont="1" applyFill="1" applyBorder="1" applyAlignment="1">
      <alignment horizontal="center"/>
    </xf>
    <xf numFmtId="1" fontId="12" fillId="5" borderId="39" xfId="0" applyNumberFormat="1" applyFont="1" applyFill="1" applyBorder="1" applyAlignment="1">
      <alignment horizontal="center"/>
    </xf>
    <xf numFmtId="0" fontId="13" fillId="0" borderId="27" xfId="0" applyFont="1" applyBorder="1" applyAlignment="1">
      <alignment horizontal="left" vertical="center"/>
    </xf>
    <xf numFmtId="0" fontId="13" fillId="0" borderId="57" xfId="0" applyFont="1" applyBorder="1" applyAlignment="1">
      <alignment horizontal="left" vertical="center"/>
    </xf>
    <xf numFmtId="0" fontId="13" fillId="0" borderId="41" xfId="0" applyFont="1" applyBorder="1"/>
    <xf numFmtId="1" fontId="12" fillId="5" borderId="55" xfId="0" applyNumberFormat="1" applyFont="1" applyFill="1" applyBorder="1"/>
    <xf numFmtId="1" fontId="12" fillId="5" borderId="39" xfId="0" applyNumberFormat="1" applyFont="1" applyFill="1" applyBorder="1"/>
    <xf numFmtId="0" fontId="13" fillId="0" borderId="54" xfId="0" applyFont="1" applyBorder="1" applyAlignment="1" applyProtection="1">
      <alignment vertical="center"/>
      <protection locked="0"/>
    </xf>
    <xf numFmtId="0" fontId="12" fillId="0" borderId="2" xfId="0" applyFont="1" applyBorder="1" applyAlignment="1">
      <alignment horizontal="left" vertical="center"/>
    </xf>
    <xf numFmtId="3" fontId="13" fillId="0" borderId="2" xfId="0" applyNumberFormat="1" applyFont="1" applyBorder="1" applyAlignment="1">
      <alignment horizontal="center"/>
    </xf>
    <xf numFmtId="3" fontId="13" fillId="0" borderId="2" xfId="0" applyNumberFormat="1" applyFont="1" applyBorder="1"/>
    <xf numFmtId="3" fontId="13" fillId="0" borderId="52" xfId="0" applyNumberFormat="1" applyFont="1" applyBorder="1"/>
    <xf numFmtId="0" fontId="4" fillId="0" borderId="51" xfId="0" applyFont="1" applyBorder="1"/>
    <xf numFmtId="0" fontId="4" fillId="0" borderId="2" xfId="0" applyFont="1" applyBorder="1"/>
    <xf numFmtId="0" fontId="5" fillId="0" borderId="2" xfId="0" applyFont="1" applyBorder="1"/>
    <xf numFmtId="0" fontId="19" fillId="0" borderId="2" xfId="0" applyFont="1" applyBorder="1"/>
    <xf numFmtId="0" fontId="20" fillId="0" borderId="2" xfId="0" applyFont="1" applyBorder="1"/>
    <xf numFmtId="0" fontId="4" fillId="0" borderId="52" xfId="0" applyFont="1" applyBorder="1"/>
    <xf numFmtId="0" fontId="13" fillId="0" borderId="3" xfId="0" applyFont="1" applyBorder="1" applyAlignment="1" applyProtection="1">
      <alignment vertical="center"/>
      <protection locked="0"/>
    </xf>
    <xf numFmtId="9" fontId="13" fillId="7" borderId="24" xfId="0" applyNumberFormat="1" applyFont="1" applyFill="1" applyBorder="1" applyAlignment="1">
      <alignment horizontal="center" vertical="center"/>
    </xf>
    <xf numFmtId="0" fontId="13" fillId="0" borderId="27" xfId="0" applyFont="1" applyBorder="1" applyAlignment="1" applyProtection="1">
      <alignment vertical="center"/>
      <protection locked="0"/>
    </xf>
    <xf numFmtId="0" fontId="13" fillId="0" borderId="57" xfId="0" applyFont="1" applyBorder="1" applyAlignment="1" applyProtection="1">
      <alignment vertical="center"/>
      <protection locked="0"/>
    </xf>
    <xf numFmtId="0" fontId="13" fillId="0" borderId="41" xfId="0" applyFont="1" applyBorder="1" applyAlignment="1" applyProtection="1">
      <alignment vertical="center"/>
      <protection locked="0"/>
    </xf>
    <xf numFmtId="1" fontId="12" fillId="0" borderId="61" xfId="0" applyNumberFormat="1" applyFont="1" applyBorder="1" applyAlignment="1">
      <alignment horizontal="center" vertical="center"/>
    </xf>
    <xf numFmtId="1" fontId="12" fillId="0" borderId="53" xfId="0" applyNumberFormat="1" applyFont="1" applyBorder="1" applyAlignment="1">
      <alignment horizontal="center" vertical="center"/>
    </xf>
    <xf numFmtId="0" fontId="13" fillId="0" borderId="2" xfId="0" applyFont="1" applyBorder="1" applyAlignment="1" applyProtection="1">
      <alignment vertical="center"/>
      <protection locked="0"/>
    </xf>
    <xf numFmtId="0" fontId="13" fillId="0" borderId="52" xfId="0" applyFont="1" applyBorder="1" applyAlignment="1" applyProtection="1">
      <alignment vertical="center"/>
      <protection locked="0"/>
    </xf>
    <xf numFmtId="10" fontId="6" fillId="4" borderId="29" xfId="0" applyNumberFormat="1" applyFont="1" applyFill="1" applyBorder="1" applyAlignment="1" applyProtection="1">
      <alignment horizontal="center" vertical="center"/>
      <protection locked="0" hidden="1"/>
    </xf>
    <xf numFmtId="10" fontId="6" fillId="7" borderId="49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>
      <alignment horizontal="center"/>
    </xf>
    <xf numFmtId="3" fontId="13" fillId="4" borderId="23" xfId="0" applyNumberFormat="1" applyFont="1" applyFill="1" applyBorder="1" applyAlignment="1" applyProtection="1">
      <alignment horizontal="center" vertical="center"/>
      <protection locked="0"/>
    </xf>
    <xf numFmtId="3" fontId="13" fillId="0" borderId="23" xfId="0" applyNumberFormat="1" applyFont="1" applyBorder="1" applyAlignment="1" applyProtection="1">
      <alignment horizontal="center" vertical="center"/>
      <protection hidden="1"/>
    </xf>
    <xf numFmtId="3" fontId="13" fillId="0" borderId="43" xfId="0" applyNumberFormat="1" applyFont="1" applyBorder="1" applyAlignment="1" applyProtection="1">
      <alignment horizontal="center" vertical="center"/>
      <protection hidden="1"/>
    </xf>
    <xf numFmtId="3" fontId="6" fillId="7" borderId="24" xfId="0" applyNumberFormat="1" applyFont="1" applyFill="1" applyBorder="1" applyAlignment="1" applyProtection="1">
      <alignment horizontal="center" vertical="center"/>
      <protection hidden="1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4" borderId="2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6" fillId="0" borderId="34" xfId="0" applyNumberFormat="1" applyFont="1" applyBorder="1" applyAlignment="1" applyProtection="1">
      <alignment horizontal="center" vertical="center"/>
      <protection hidden="1"/>
    </xf>
    <xf numFmtId="3" fontId="6" fillId="0" borderId="21" xfId="0" applyNumberFormat="1" applyFont="1" applyBorder="1" applyAlignment="1">
      <alignment horizontal="center" vertical="center"/>
    </xf>
    <xf numFmtId="9" fontId="6" fillId="7" borderId="24" xfId="0" applyNumberFormat="1" applyFont="1" applyFill="1" applyBorder="1" applyAlignment="1">
      <alignment horizontal="center" vertical="center"/>
    </xf>
    <xf numFmtId="3" fontId="6" fillId="7" borderId="44" xfId="0" applyNumberFormat="1" applyFont="1" applyFill="1" applyBorder="1" applyAlignment="1">
      <alignment horizontal="center" vertical="center"/>
    </xf>
    <xf numFmtId="3" fontId="13" fillId="4" borderId="43" xfId="0" applyNumberFormat="1" applyFont="1" applyFill="1" applyBorder="1" applyAlignment="1" applyProtection="1">
      <alignment horizontal="center" vertical="center"/>
      <protection locked="0"/>
    </xf>
    <xf numFmtId="3" fontId="13" fillId="7" borderId="17" xfId="0" applyNumberFormat="1" applyFont="1" applyFill="1" applyBorder="1" applyAlignment="1">
      <alignment horizontal="center" vertical="center"/>
    </xf>
    <xf numFmtId="3" fontId="13" fillId="4" borderId="17" xfId="0" applyNumberFormat="1" applyFont="1" applyFill="1" applyBorder="1" applyAlignment="1" applyProtection="1">
      <alignment horizontal="center" vertical="center"/>
      <protection locked="0"/>
    </xf>
    <xf numFmtId="3" fontId="13" fillId="4" borderId="45" xfId="0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>
      <alignment horizontal="center" vertical="center"/>
    </xf>
    <xf numFmtId="3" fontId="13" fillId="7" borderId="46" xfId="0" applyNumberFormat="1" applyFont="1" applyFill="1" applyBorder="1" applyAlignment="1">
      <alignment horizontal="center" vertical="center"/>
    </xf>
    <xf numFmtId="3" fontId="12" fillId="0" borderId="46" xfId="0" applyNumberFormat="1" applyFont="1" applyBorder="1" applyAlignment="1">
      <alignment horizontal="center" vertical="center"/>
    </xf>
    <xf numFmtId="3" fontId="12" fillId="0" borderId="47" xfId="0" applyNumberFormat="1" applyFont="1" applyBorder="1" applyAlignment="1">
      <alignment horizontal="center" vertical="center"/>
    </xf>
    <xf numFmtId="3" fontId="13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53" xfId="0" applyNumberFormat="1" applyFont="1" applyFill="1" applyBorder="1" applyAlignment="1">
      <alignment horizontal="center" vertical="center"/>
    </xf>
    <xf numFmtId="3" fontId="13" fillId="8" borderId="6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>
      <alignment horizontal="center" vertical="center"/>
    </xf>
    <xf numFmtId="3" fontId="6" fillId="0" borderId="34" xfId="0" applyNumberFormat="1" applyFont="1" applyBorder="1" applyAlignment="1">
      <alignment horizontal="center" vertical="center"/>
    </xf>
    <xf numFmtId="1" fontId="6" fillId="4" borderId="24" xfId="0" applyNumberFormat="1" applyFont="1" applyFill="1" applyBorder="1" applyAlignment="1" applyProtection="1">
      <alignment horizontal="center" vertical="center"/>
      <protection locked="0"/>
    </xf>
    <xf numFmtId="1" fontId="6" fillId="4" borderId="21" xfId="0" applyNumberFormat="1" applyFont="1" applyFill="1" applyBorder="1" applyAlignment="1" applyProtection="1">
      <alignment horizontal="center" vertical="center"/>
      <protection locked="0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78" xfId="0" applyNumberFormat="1" applyFont="1" applyBorder="1" applyAlignment="1" applyProtection="1">
      <alignment horizontal="center" vertical="center"/>
      <protection hidden="1"/>
    </xf>
    <xf numFmtId="3" fontId="13" fillId="0" borderId="17" xfId="0" applyNumberFormat="1" applyFont="1" applyBorder="1" applyAlignment="1">
      <alignment horizontal="center" vertical="center"/>
    </xf>
    <xf numFmtId="3" fontId="13" fillId="0" borderId="78" xfId="0" applyNumberFormat="1" applyFont="1" applyBorder="1" applyAlignment="1">
      <alignment horizontal="center" vertical="center"/>
    </xf>
    <xf numFmtId="3" fontId="12" fillId="7" borderId="46" xfId="0" applyNumberFormat="1" applyFont="1" applyFill="1" applyBorder="1" applyAlignment="1">
      <alignment horizontal="center" vertical="center"/>
    </xf>
    <xf numFmtId="3" fontId="12" fillId="0" borderId="79" xfId="0" applyNumberFormat="1" applyFont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/>
    </xf>
    <xf numFmtId="3" fontId="13" fillId="8" borderId="6" xfId="0" applyNumberFormat="1" applyFont="1" applyFill="1" applyBorder="1" applyAlignment="1">
      <alignment horizontal="center" vertical="center"/>
    </xf>
    <xf numFmtId="3" fontId="13" fillId="8" borderId="16" xfId="0" applyNumberFormat="1" applyFont="1" applyFill="1" applyBorder="1" applyAlignment="1">
      <alignment horizontal="center" vertical="center"/>
    </xf>
    <xf numFmtId="3" fontId="13" fillId="0" borderId="23" xfId="0" applyNumberFormat="1" applyFont="1" applyBorder="1" applyAlignment="1">
      <alignment horizontal="center" vertical="center"/>
    </xf>
    <xf numFmtId="3" fontId="13" fillId="0" borderId="43" xfId="0" applyNumberFormat="1" applyFont="1" applyBorder="1" applyAlignment="1">
      <alignment horizontal="center" vertical="center"/>
    </xf>
    <xf numFmtId="164" fontId="6" fillId="0" borderId="24" xfId="0" applyNumberFormat="1" applyFont="1" applyBorder="1" applyAlignment="1" applyProtection="1">
      <alignment horizontal="center" vertical="center"/>
      <protection hidden="1"/>
    </xf>
    <xf numFmtId="164" fontId="6" fillId="0" borderId="21" xfId="0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>
      <alignment horizontal="center" vertical="center"/>
    </xf>
    <xf numFmtId="3" fontId="12" fillId="0" borderId="45" xfId="0" applyNumberFormat="1" applyFont="1" applyBorder="1" applyAlignment="1">
      <alignment horizontal="center" vertical="center"/>
    </xf>
    <xf numFmtId="3" fontId="12" fillId="7" borderId="23" xfId="0" applyNumberFormat="1" applyFont="1" applyFill="1" applyBorder="1" applyAlignment="1">
      <alignment horizontal="center" vertical="center"/>
    </xf>
    <xf numFmtId="3" fontId="12" fillId="0" borderId="23" xfId="0" applyNumberFormat="1" applyFont="1" applyBorder="1" applyAlignment="1">
      <alignment horizontal="center" vertical="center"/>
    </xf>
    <xf numFmtId="3" fontId="12" fillId="0" borderId="43" xfId="0" applyNumberFormat="1" applyFont="1" applyBorder="1" applyAlignment="1">
      <alignment horizontal="center" vertical="center"/>
    </xf>
    <xf numFmtId="3" fontId="12" fillId="7" borderId="24" xfId="0" applyNumberFormat="1" applyFont="1" applyFill="1" applyBorder="1" applyAlignment="1">
      <alignment horizontal="center" vertical="center"/>
    </xf>
    <xf numFmtId="3" fontId="12" fillId="0" borderId="61" xfId="0" applyNumberFormat="1" applyFont="1" applyBorder="1" applyAlignment="1">
      <alignment horizontal="center" vertical="center"/>
    </xf>
    <xf numFmtId="3" fontId="12" fillId="0" borderId="21" xfId="0" applyNumberFormat="1" applyFont="1" applyBorder="1" applyAlignment="1">
      <alignment horizontal="center" vertical="center"/>
    </xf>
    <xf numFmtId="3" fontId="12" fillId="7" borderId="44" xfId="0" applyNumberFormat="1" applyFont="1" applyFill="1" applyBorder="1" applyAlignment="1">
      <alignment horizontal="center" vertical="center"/>
    </xf>
    <xf numFmtId="3" fontId="12" fillId="0" borderId="44" xfId="0" applyNumberFormat="1" applyFont="1" applyBorder="1" applyAlignment="1">
      <alignment horizontal="center" vertical="center"/>
    </xf>
    <xf numFmtId="3" fontId="12" fillId="0" borderId="34" xfId="0" applyNumberFormat="1" applyFont="1" applyBorder="1" applyAlignment="1">
      <alignment horizontal="center" vertical="center"/>
    </xf>
    <xf numFmtId="0" fontId="33" fillId="0" borderId="24" xfId="0" applyFont="1" applyBorder="1"/>
    <xf numFmtId="0" fontId="33" fillId="0" borderId="24" xfId="0" applyFont="1" applyBorder="1" applyAlignment="1">
      <alignment horizontal="center"/>
    </xf>
    <xf numFmtId="0" fontId="41" fillId="0" borderId="0" xfId="0" applyFont="1" applyAlignment="1">
      <alignment vertical="center"/>
    </xf>
    <xf numFmtId="0" fontId="13" fillId="0" borderId="51" xfId="0" applyFont="1" applyBorder="1" applyAlignment="1" applyProtection="1">
      <alignment vertical="center"/>
      <protection locked="0"/>
    </xf>
    <xf numFmtId="0" fontId="0" fillId="0" borderId="0" xfId="0" applyAlignment="1" applyProtection="1">
      <alignment horizontal="left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right" vertical="center"/>
    </xf>
    <xf numFmtId="0" fontId="3" fillId="0" borderId="6" xfId="0" applyFont="1" applyBorder="1" applyAlignment="1">
      <alignment horizontal="right"/>
    </xf>
    <xf numFmtId="0" fontId="40" fillId="0" borderId="0" xfId="0" applyFont="1" applyAlignment="1">
      <alignment horizontal="left"/>
    </xf>
    <xf numFmtId="0" fontId="5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16" fillId="0" borderId="0" xfId="1" applyFont="1" applyFill="1" applyBorder="1" applyAlignment="1" applyProtection="1">
      <alignment horizontal="left"/>
    </xf>
    <xf numFmtId="0" fontId="22" fillId="0" borderId="0" xfId="0" applyFont="1" applyAlignment="1">
      <alignment horizontal="center"/>
    </xf>
    <xf numFmtId="0" fontId="5" fillId="5" borderId="0" xfId="0" applyFont="1" applyFill="1"/>
    <xf numFmtId="0" fontId="7" fillId="5" borderId="0" xfId="0" applyFont="1" applyFill="1" applyAlignment="1">
      <alignment horizontal="center"/>
    </xf>
    <xf numFmtId="0" fontId="0" fillId="0" borderId="0" xfId="0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3" fontId="12" fillId="0" borderId="56" xfId="0" applyNumberFormat="1" applyFont="1" applyBorder="1" applyAlignment="1">
      <alignment horizontal="center"/>
    </xf>
    <xf numFmtId="0" fontId="12" fillId="8" borderId="7" xfId="0" applyFont="1" applyFill="1" applyBorder="1" applyAlignment="1" applyProtection="1">
      <alignment horizontal="center"/>
      <protection hidden="1"/>
    </xf>
    <xf numFmtId="3" fontId="13" fillId="0" borderId="32" xfId="0" applyNumberFormat="1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3" fontId="13" fillId="0" borderId="31" xfId="0" applyNumberFormat="1" applyFont="1" applyBorder="1" applyAlignment="1" applyProtection="1">
      <alignment horizontal="center" vertical="center"/>
      <protection hidden="1"/>
    </xf>
    <xf numFmtId="1" fontId="12" fillId="8" borderId="30" xfId="0" applyNumberFormat="1" applyFont="1" applyFill="1" applyBorder="1" applyAlignment="1">
      <alignment horizontal="center"/>
    </xf>
    <xf numFmtId="3" fontId="13" fillId="7" borderId="31" xfId="0" applyNumberFormat="1" applyFont="1" applyFill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left" vertical="center" wrapText="1"/>
      <protection hidden="1"/>
    </xf>
    <xf numFmtId="0" fontId="12" fillId="0" borderId="20" xfId="0" applyFont="1" applyBorder="1" applyAlignment="1" applyProtection="1">
      <alignment horizontal="left" vertical="center" wrapText="1"/>
      <protection hidden="1"/>
    </xf>
    <xf numFmtId="0" fontId="13" fillId="0" borderId="5" xfId="0" applyFont="1" applyBorder="1" applyAlignment="1" applyProtection="1">
      <alignment horizontal="left" vertical="center"/>
      <protection hidden="1"/>
    </xf>
    <xf numFmtId="0" fontId="13" fillId="0" borderId="20" xfId="0" applyFont="1" applyBorder="1" applyAlignment="1" applyProtection="1">
      <alignment horizontal="left" vertical="center"/>
      <protection hidden="1"/>
    </xf>
    <xf numFmtId="0" fontId="12" fillId="8" borderId="37" xfId="0" applyFont="1" applyFill="1" applyBorder="1" applyAlignment="1" applyProtection="1">
      <alignment horizontal="center"/>
      <protection hidden="1"/>
    </xf>
    <xf numFmtId="0" fontId="12" fillId="8" borderId="16" xfId="0" applyFont="1" applyFill="1" applyBorder="1" applyAlignment="1" applyProtection="1">
      <alignment horizontal="center"/>
      <protection hidden="1"/>
    </xf>
    <xf numFmtId="3" fontId="13" fillId="7" borderId="31" xfId="0" applyNumberFormat="1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/>
    </xf>
    <xf numFmtId="3" fontId="13" fillId="7" borderId="32" xfId="0" applyNumberFormat="1" applyFont="1" applyFill="1" applyBorder="1" applyAlignment="1">
      <alignment horizontal="center" vertical="center"/>
    </xf>
    <xf numFmtId="0" fontId="13" fillId="7" borderId="32" xfId="0" applyFont="1" applyFill="1" applyBorder="1" applyAlignment="1">
      <alignment horizontal="center" vertical="center"/>
    </xf>
    <xf numFmtId="3" fontId="13" fillId="0" borderId="31" xfId="0" applyNumberFormat="1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1" fontId="13" fillId="0" borderId="31" xfId="0" applyNumberFormat="1" applyFont="1" applyBorder="1" applyAlignment="1" applyProtection="1">
      <alignment horizontal="center" vertical="center"/>
      <protection hidden="1"/>
    </xf>
    <xf numFmtId="0" fontId="13" fillId="4" borderId="5" xfId="0" applyFont="1" applyFill="1" applyBorder="1" applyAlignment="1" applyProtection="1">
      <alignment horizontal="left" vertical="center"/>
      <protection locked="0"/>
    </xf>
    <xf numFmtId="0" fontId="13" fillId="4" borderId="20" xfId="0" applyFont="1" applyFill="1" applyBorder="1" applyAlignment="1" applyProtection="1">
      <alignment horizontal="left" vertical="center"/>
      <protection locked="0"/>
    </xf>
    <xf numFmtId="0" fontId="12" fillId="0" borderId="14" xfId="0" applyFont="1" applyBorder="1" applyAlignment="1" applyProtection="1">
      <alignment horizontal="left" vertical="center"/>
      <protection hidden="1"/>
    </xf>
    <xf numFmtId="0" fontId="12" fillId="0" borderId="15" xfId="0" applyFont="1" applyBorder="1" applyAlignment="1" applyProtection="1">
      <alignment horizontal="left" vertical="center"/>
      <protection hidden="1"/>
    </xf>
    <xf numFmtId="0" fontId="12" fillId="0" borderId="63" xfId="0" applyFont="1" applyBorder="1" applyAlignment="1" applyProtection="1">
      <alignment horizontal="left" vertical="center"/>
      <protection hidden="1"/>
    </xf>
    <xf numFmtId="0" fontId="3" fillId="0" borderId="0" xfId="0" applyFont="1" applyAlignment="1">
      <alignment horizontal="left"/>
    </xf>
    <xf numFmtId="14" fontId="4" fillId="0" borderId="0" xfId="0" applyNumberFormat="1" applyFont="1" applyAlignment="1">
      <alignment horizontal="left" vertical="center"/>
    </xf>
    <xf numFmtId="0" fontId="13" fillId="0" borderId="33" xfId="0" applyFont="1" applyBorder="1" applyAlignment="1">
      <alignment horizontal="left" vertical="center"/>
    </xf>
    <xf numFmtId="0" fontId="13" fillId="0" borderId="20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3" fontId="12" fillId="4" borderId="56" xfId="0" applyNumberFormat="1" applyFont="1" applyFill="1" applyBorder="1" applyAlignment="1" applyProtection="1">
      <alignment horizontal="center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5" fillId="8" borderId="12" xfId="0" applyFont="1" applyFill="1" applyBorder="1" applyAlignment="1" applyProtection="1">
      <alignment horizontal="center" vertical="center"/>
      <protection hidden="1"/>
    </xf>
    <xf numFmtId="0" fontId="2" fillId="8" borderId="73" xfId="0" applyFont="1" applyFill="1" applyBorder="1" applyAlignment="1">
      <alignment horizontal="center" vertical="center"/>
    </xf>
    <xf numFmtId="0" fontId="2" fillId="8" borderId="74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2" fillId="8" borderId="70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0" fontId="5" fillId="8" borderId="64" xfId="0" applyFont="1" applyFill="1" applyBorder="1" applyAlignment="1" applyProtection="1">
      <alignment horizontal="center" vertical="center" wrapText="1"/>
      <protection hidden="1"/>
    </xf>
    <xf numFmtId="0" fontId="2" fillId="8" borderId="64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left" vertical="center"/>
    </xf>
    <xf numFmtId="0" fontId="13" fillId="0" borderId="74" xfId="0" applyFont="1" applyBorder="1" applyAlignment="1">
      <alignment horizontal="left" vertical="center"/>
    </xf>
    <xf numFmtId="0" fontId="2" fillId="8" borderId="31" xfId="0" applyFont="1" applyFill="1" applyBorder="1" applyAlignment="1">
      <alignment horizontal="center" vertical="center" wrapText="1"/>
    </xf>
    <xf numFmtId="1" fontId="12" fillId="4" borderId="30" xfId="0" applyNumberFormat="1" applyFont="1" applyFill="1" applyBorder="1" applyAlignment="1" applyProtection="1">
      <alignment horizontal="center"/>
      <protection locked="0"/>
    </xf>
    <xf numFmtId="3" fontId="12" fillId="6" borderId="31" xfId="0" applyNumberFormat="1" applyFont="1" applyFill="1" applyBorder="1" applyAlignment="1">
      <alignment horizontal="center" vertical="center"/>
    </xf>
    <xf numFmtId="14" fontId="2" fillId="4" borderId="0" xfId="0" applyNumberFormat="1" applyFont="1" applyFill="1" applyAlignment="1" applyProtection="1">
      <alignment horizontal="left" vertical="center"/>
      <protection locked="0"/>
    </xf>
    <xf numFmtId="14" fontId="4" fillId="4" borderId="0" xfId="0" applyNumberFormat="1" applyFont="1" applyFill="1" applyAlignment="1" applyProtection="1">
      <alignment horizontal="left" vertical="center"/>
      <protection locked="0"/>
    </xf>
    <xf numFmtId="0" fontId="12" fillId="0" borderId="14" xfId="0" applyFont="1" applyBorder="1" applyAlignment="1">
      <alignment horizontal="right" vertical="top" indent="1"/>
    </xf>
    <xf numFmtId="0" fontId="12" fillId="0" borderId="15" xfId="0" applyFont="1" applyBorder="1" applyAlignment="1">
      <alignment horizontal="right" vertical="top" indent="1"/>
    </xf>
    <xf numFmtId="0" fontId="12" fillId="0" borderId="18" xfId="0" applyFont="1" applyBorder="1" applyAlignment="1">
      <alignment horizontal="right" vertical="top" indent="1"/>
    </xf>
    <xf numFmtId="0" fontId="6" fillId="0" borderId="5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 vertical="top"/>
      <protection hidden="1"/>
    </xf>
    <xf numFmtId="0" fontId="12" fillId="0" borderId="18" xfId="0" applyFont="1" applyBorder="1" applyAlignment="1" applyProtection="1">
      <alignment horizontal="left" vertical="top"/>
      <protection hidden="1"/>
    </xf>
    <xf numFmtId="0" fontId="3" fillId="0" borderId="0" xfId="0" applyFont="1" applyAlignment="1">
      <alignment horizontal="left" vertical="center"/>
    </xf>
    <xf numFmtId="0" fontId="12" fillId="0" borderId="14" xfId="0" applyFont="1" applyBorder="1" applyAlignment="1">
      <alignment horizontal="right" vertical="center" indent="1"/>
    </xf>
    <xf numFmtId="0" fontId="12" fillId="0" borderId="15" xfId="0" applyFont="1" applyBorder="1" applyAlignment="1">
      <alignment horizontal="right" vertical="center" indent="1"/>
    </xf>
    <xf numFmtId="0" fontId="12" fillId="0" borderId="71" xfId="0" applyFont="1" applyBorder="1" applyAlignment="1">
      <alignment horizontal="right" vertical="center" indent="1"/>
    </xf>
    <xf numFmtId="0" fontId="7" fillId="8" borderId="37" xfId="0" applyFont="1" applyFill="1" applyBorder="1" applyAlignment="1" applyProtection="1">
      <alignment horizontal="center" vertical="center"/>
      <protection hidden="1"/>
    </xf>
    <xf numFmtId="0" fontId="21" fillId="8" borderId="6" xfId="0" applyFont="1" applyFill="1" applyBorder="1" applyAlignment="1">
      <alignment horizontal="center" vertical="center"/>
    </xf>
    <xf numFmtId="0" fontId="21" fillId="8" borderId="16" xfId="0" applyFont="1" applyFill="1" applyBorder="1" applyAlignment="1">
      <alignment horizontal="center" vertical="center"/>
    </xf>
    <xf numFmtId="0" fontId="21" fillId="8" borderId="59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6" fillId="0" borderId="15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0" fontId="12" fillId="0" borderId="59" xfId="0" applyFont="1" applyBorder="1" applyAlignment="1">
      <alignment horizontal="right" vertical="center" indent="1"/>
    </xf>
    <xf numFmtId="0" fontId="12" fillId="0" borderId="1" xfId="0" applyFont="1" applyBorder="1" applyAlignment="1">
      <alignment horizontal="right" vertical="center" indent="1"/>
    </xf>
    <xf numFmtId="0" fontId="12" fillId="0" borderId="27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2" fillId="3" borderId="37" xfId="0" applyFont="1" applyFill="1" applyBorder="1" applyAlignment="1">
      <alignment horizontal="center" vertical="center" wrapText="1"/>
    </xf>
    <xf numFmtId="0" fontId="0" fillId="3" borderId="59" xfId="0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14" fontId="2" fillId="0" borderId="0" xfId="0" applyNumberFormat="1" applyFont="1" applyAlignment="1">
      <alignment horizontal="left" vertical="center"/>
    </xf>
    <xf numFmtId="0" fontId="12" fillId="8" borderId="37" xfId="0" applyFont="1" applyFill="1" applyBorder="1" applyAlignment="1">
      <alignment horizontal="left" vertical="center" wrapText="1" indent="1"/>
    </xf>
    <xf numFmtId="0" fontId="2" fillId="8" borderId="16" xfId="0" applyFont="1" applyFill="1" applyBorder="1" applyAlignment="1">
      <alignment horizontal="left" vertical="center" wrapText="1" indent="1"/>
    </xf>
    <xf numFmtId="0" fontId="2" fillId="8" borderId="59" xfId="0" applyFont="1" applyFill="1" applyBorder="1" applyAlignment="1">
      <alignment horizontal="left" vertical="center" wrapText="1" indent="1"/>
    </xf>
    <xf numFmtId="0" fontId="2" fillId="8" borderId="42" xfId="0" applyFont="1" applyFill="1" applyBorder="1" applyAlignment="1">
      <alignment horizontal="left" vertical="center" wrapText="1" indent="1"/>
    </xf>
    <xf numFmtId="0" fontId="2" fillId="8" borderId="38" xfId="0" applyFont="1" applyFill="1" applyBorder="1" applyAlignment="1">
      <alignment horizontal="left" vertical="center" wrapText="1" indent="1"/>
    </xf>
    <xf numFmtId="0" fontId="2" fillId="8" borderId="35" xfId="0" applyFont="1" applyFill="1" applyBorder="1" applyAlignment="1">
      <alignment horizontal="left" vertical="center" wrapText="1" indent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39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>
      <alignment horizontal="left"/>
    </xf>
    <xf numFmtId="0" fontId="6" fillId="0" borderId="24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3" fillId="0" borderId="71" xfId="0" applyFont="1" applyBorder="1" applyAlignment="1">
      <alignment horizontal="left" vertical="center"/>
    </xf>
    <xf numFmtId="0" fontId="34" fillId="8" borderId="37" xfId="0" applyFont="1" applyFill="1" applyBorder="1" applyAlignment="1">
      <alignment horizontal="center"/>
    </xf>
    <xf numFmtId="0" fontId="34" fillId="8" borderId="6" xfId="0" applyFont="1" applyFill="1" applyBorder="1" applyAlignment="1">
      <alignment horizontal="center"/>
    </xf>
    <xf numFmtId="0" fontId="34" fillId="8" borderId="16" xfId="0" applyFont="1" applyFill="1" applyBorder="1" applyAlignment="1">
      <alignment horizontal="center"/>
    </xf>
    <xf numFmtId="0" fontId="5" fillId="0" borderId="0" xfId="0" applyFont="1" applyAlignment="1">
      <alignment vertical="center"/>
    </xf>
    <xf numFmtId="0" fontId="5" fillId="0" borderId="35" xfId="0" applyFont="1" applyBorder="1" applyAlignment="1">
      <alignment vertical="center"/>
    </xf>
    <xf numFmtId="4" fontId="5" fillId="0" borderId="5" xfId="0" applyNumberFormat="1" applyFont="1" applyBorder="1" applyAlignment="1" applyProtection="1">
      <alignment horizontal="center" vertical="center"/>
      <protection hidden="1"/>
    </xf>
    <xf numFmtId="4" fontId="5" fillId="0" borderId="39" xfId="0" applyNumberFormat="1" applyFont="1" applyBorder="1" applyAlignment="1" applyProtection="1">
      <alignment horizontal="center" vertical="center"/>
      <protection hidden="1"/>
    </xf>
    <xf numFmtId="0" fontId="5" fillId="8" borderId="75" xfId="0" applyFont="1" applyFill="1" applyBorder="1" applyAlignment="1">
      <alignment horizontal="center" vertical="center" wrapText="1"/>
    </xf>
    <xf numFmtId="0" fontId="0" fillId="8" borderId="61" xfId="0" applyFill="1" applyBorder="1" applyAlignment="1">
      <alignment horizontal="center" vertical="center" wrapText="1"/>
    </xf>
    <xf numFmtId="0" fontId="0" fillId="8" borderId="46" xfId="0" applyFill="1" applyBorder="1" applyAlignment="1">
      <alignment horizontal="center" vertical="center" wrapText="1"/>
    </xf>
    <xf numFmtId="0" fontId="5" fillId="8" borderId="65" xfId="0" applyFont="1" applyFill="1" applyBorder="1" applyAlignment="1">
      <alignment horizontal="center" vertical="center" wrapText="1"/>
    </xf>
    <xf numFmtId="0" fontId="0" fillId="8" borderId="67" xfId="0" applyFill="1" applyBorder="1" applyAlignment="1">
      <alignment horizontal="center" vertical="center" wrapText="1"/>
    </xf>
    <xf numFmtId="0" fontId="0" fillId="8" borderId="68" xfId="0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76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5" fillId="8" borderId="54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71" xfId="0" applyFont="1" applyFill="1" applyBorder="1" applyAlignment="1">
      <alignment horizontal="center" vertical="center" wrapText="1"/>
    </xf>
    <xf numFmtId="4" fontId="5" fillId="0" borderId="27" xfId="0" applyNumberFormat="1" applyFont="1" applyBorder="1" applyAlignment="1" applyProtection="1">
      <alignment horizontal="center" vertical="center"/>
      <protection hidden="1"/>
    </xf>
    <xf numFmtId="4" fontId="5" fillId="0" borderId="41" xfId="0" applyNumberFormat="1" applyFont="1" applyBorder="1" applyAlignment="1" applyProtection="1">
      <alignment horizontal="center" vertical="center"/>
      <protection hidden="1"/>
    </xf>
    <xf numFmtId="0" fontId="5" fillId="8" borderId="72" xfId="0" applyFont="1" applyFill="1" applyBorder="1" applyAlignment="1">
      <alignment horizontal="center" vertical="center" wrapText="1"/>
    </xf>
    <xf numFmtId="0" fontId="0" fillId="8" borderId="62" xfId="0" applyFill="1" applyBorder="1" applyAlignment="1">
      <alignment horizontal="center" vertical="center" wrapText="1"/>
    </xf>
    <xf numFmtId="0" fontId="0" fillId="8" borderId="47" xfId="0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5" fillId="0" borderId="0" xfId="0" applyFont="1" applyBorder="1"/>
    <xf numFmtId="0" fontId="0" fillId="0" borderId="0" xfId="0" applyBorder="1"/>
    <xf numFmtId="0" fontId="6" fillId="0" borderId="0" xfId="0" applyFont="1" applyBorder="1" applyAlignment="1">
      <alignment horizontal="left"/>
    </xf>
    <xf numFmtId="0" fontId="13" fillId="0" borderId="0" xfId="0" applyFont="1" applyBorder="1" applyProtection="1">
      <protection hidden="1"/>
    </xf>
    <xf numFmtId="3" fontId="13" fillId="0" borderId="0" xfId="0" applyNumberFormat="1" applyFont="1" applyBorder="1"/>
    <xf numFmtId="3" fontId="13" fillId="0" borderId="0" xfId="0" applyNumberFormat="1" applyFont="1" applyBorder="1" applyProtection="1">
      <protection hidden="1"/>
    </xf>
    <xf numFmtId="164" fontId="13" fillId="0" borderId="0" xfId="0" applyNumberFormat="1" applyFont="1" applyBorder="1"/>
    <xf numFmtId="0" fontId="12" fillId="0" borderId="23" xfId="0" applyFont="1" applyBorder="1" applyAlignment="1" applyProtection="1">
      <alignment horizontal="left"/>
      <protection hidden="1"/>
    </xf>
    <xf numFmtId="0" fontId="12" fillId="0" borderId="36" xfId="0" applyFont="1" applyBorder="1" applyAlignment="1" applyProtection="1">
      <alignment horizontal="left"/>
      <protection hidden="1"/>
    </xf>
    <xf numFmtId="0" fontId="12" fillId="0" borderId="10" xfId="0" applyFont="1" applyBorder="1" applyAlignment="1" applyProtection="1">
      <alignment horizontal="left"/>
      <protection hidden="1"/>
    </xf>
    <xf numFmtId="0" fontId="12" fillId="0" borderId="36" xfId="0" applyFont="1" applyBorder="1" applyAlignment="1" applyProtection="1">
      <alignment horizontal="left"/>
      <protection hidden="1"/>
    </xf>
    <xf numFmtId="0" fontId="12" fillId="4" borderId="9" xfId="0" applyFont="1" applyFill="1" applyBorder="1" applyAlignment="1" applyProtection="1">
      <alignment horizontal="left"/>
      <protection locked="0"/>
    </xf>
    <xf numFmtId="0" fontId="12" fillId="4" borderId="18" xfId="0" applyFont="1" applyFill="1" applyBorder="1" applyAlignment="1" applyProtection="1">
      <alignment horizontal="left"/>
      <protection locked="0"/>
    </xf>
    <xf numFmtId="0" fontId="12" fillId="4" borderId="36" xfId="0" applyFont="1" applyFill="1" applyBorder="1" applyAlignment="1" applyProtection="1">
      <alignment horizontal="left" vertical="center"/>
      <protection locked="0"/>
    </xf>
    <xf numFmtId="0" fontId="12" fillId="4" borderId="10" xfId="0" applyFont="1" applyFill="1" applyBorder="1" applyAlignment="1" applyProtection="1">
      <alignment horizontal="left" vertical="center"/>
      <protection locked="0"/>
    </xf>
    <xf numFmtId="0" fontId="12" fillId="0" borderId="58" xfId="0" applyFont="1" applyBorder="1" applyAlignment="1" applyProtection="1">
      <alignment horizontal="center" vertical="top"/>
      <protection hidden="1"/>
    </xf>
    <xf numFmtId="0" fontId="6" fillId="0" borderId="50" xfId="0" applyFont="1" applyBorder="1" applyAlignment="1" applyProtection="1">
      <alignment horizontal="right"/>
      <protection hidden="1"/>
    </xf>
    <xf numFmtId="0" fontId="3" fillId="0" borderId="67" xfId="0" applyFont="1" applyBorder="1" applyAlignment="1" applyProtection="1">
      <alignment horizontal="right"/>
      <protection hidden="1"/>
    </xf>
    <xf numFmtId="0" fontId="3" fillId="0" borderId="68" xfId="0" applyFont="1" applyBorder="1" applyAlignment="1" applyProtection="1">
      <alignment horizontal="right"/>
      <protection hidden="1"/>
    </xf>
    <xf numFmtId="0" fontId="42" fillId="8" borderId="64" xfId="0" applyFont="1" applyFill="1" applyBorder="1" applyAlignment="1" applyProtection="1">
      <alignment horizontal="center" vertical="center" wrapText="1"/>
      <protection hidden="1"/>
    </xf>
    <xf numFmtId="0" fontId="1" fillId="8" borderId="64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2" fillId="5" borderId="51" xfId="0" applyFont="1" applyFill="1" applyBorder="1" applyAlignment="1">
      <alignment vertical="center"/>
    </xf>
    <xf numFmtId="0" fontId="3" fillId="5" borderId="51" xfId="0" applyFont="1" applyFill="1" applyBorder="1" applyAlignment="1">
      <alignment vertical="center"/>
    </xf>
    <xf numFmtId="0" fontId="12" fillId="5" borderId="2" xfId="0" applyFont="1" applyFill="1" applyBorder="1" applyAlignment="1">
      <alignment vertical="center"/>
    </xf>
    <xf numFmtId="0" fontId="42" fillId="8" borderId="37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/>
    </xf>
    <xf numFmtId="0" fontId="43" fillId="8" borderId="16" xfId="0" applyFont="1" applyFill="1" applyBorder="1" applyAlignment="1">
      <alignment horizontal="center"/>
    </xf>
    <xf numFmtId="0" fontId="43" fillId="8" borderId="37" xfId="0" applyFont="1" applyFill="1" applyBorder="1" applyAlignment="1">
      <alignment horizontal="center"/>
    </xf>
    <xf numFmtId="0" fontId="1" fillId="8" borderId="59" xfId="0" applyFont="1" applyFill="1" applyBorder="1" applyAlignment="1">
      <alignment horizontal="center" vertical="center" wrapText="1"/>
    </xf>
    <xf numFmtId="0" fontId="1" fillId="8" borderId="42" xfId="0" applyFont="1" applyFill="1" applyBorder="1" applyAlignment="1">
      <alignment horizontal="center" vertical="center" wrapText="1"/>
    </xf>
    <xf numFmtId="1" fontId="42" fillId="8" borderId="71" xfId="0" applyNumberFormat="1" applyFont="1" applyFill="1" applyBorder="1" applyAlignment="1">
      <alignment horizontal="center"/>
    </xf>
    <xf numFmtId="1" fontId="42" fillId="8" borderId="47" xfId="0" applyNumberFormat="1" applyFont="1" applyFill="1" applyBorder="1" applyAlignment="1">
      <alignment horizontal="center"/>
    </xf>
    <xf numFmtId="1" fontId="42" fillId="8" borderId="68" xfId="0" applyNumberFormat="1" applyFont="1" applyFill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3" fillId="4" borderId="5" xfId="0" applyFont="1" applyFill="1" applyBorder="1" applyAlignment="1" applyProtection="1">
      <alignment vertical="center"/>
      <protection locked="0"/>
    </xf>
    <xf numFmtId="14" fontId="41" fillId="0" borderId="0" xfId="0" applyNumberFormat="1" applyFont="1" applyAlignment="1">
      <alignment horizontal="left" vertical="center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9" defaultPivotStyle="PivotStyleLight16"/>
  <colors>
    <mruColors>
      <color rgb="FF13C404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788776402949643E-2"/>
          <c:y val="1.804144770152068E-2"/>
          <c:w val="0.69998000249968739"/>
          <c:h val="0.92519777877689491"/>
        </c:manualLayout>
      </c:layout>
      <c:lineChart>
        <c:grouping val="standard"/>
        <c:varyColors val="0"/>
        <c:ser>
          <c:idx val="0"/>
          <c:order val="0"/>
          <c:tx>
            <c:strRef>
              <c:f>Kaavio!$B$10</c:f>
              <c:strCache>
                <c:ptCount val="1"/>
                <c:pt idx="0">
                  <c:v>Yritystoiminnan liikevaihto</c:v>
                </c:pt>
              </c:strCache>
            </c:strRef>
          </c:tx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Kaavio!$C$10:$J$10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4-4E2F-9FA0-B19B72F1F3FC}"/>
            </c:ext>
          </c:extLst>
        </c:ser>
        <c:ser>
          <c:idx val="1"/>
          <c:order val="1"/>
          <c:tx>
            <c:strRef>
              <c:f>Kaavio!$B$11</c:f>
              <c:strCache>
                <c:ptCount val="1"/>
                <c:pt idx="0">
                  <c:v>Yritystoiminnan verotettava tulo</c:v>
                </c:pt>
              </c:strCache>
            </c:strRef>
          </c:tx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Kaavio!$C$11:$J$11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4-4E2F-9FA0-B19B72F1F3FC}"/>
            </c:ext>
          </c:extLst>
        </c:ser>
        <c:ser>
          <c:idx val="3"/>
          <c:order val="3"/>
          <c:tx>
            <c:strRef>
              <c:f>Kaavio!$B$13</c:f>
              <c:strCache>
                <c:ptCount val="1"/>
                <c:pt idx="0">
                  <c:v>Yritystoiminnan lainanlyhennykset</c:v>
                </c:pt>
              </c:strCache>
            </c:strRef>
          </c:tx>
          <c:spPr>
            <a:ln>
              <a:prstDash val="lgDash"/>
            </a:ln>
          </c:spPr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Kaavio!$C$13:$J$13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64-4E2F-9FA0-B19B72F1F3FC}"/>
            </c:ext>
          </c:extLst>
        </c:ser>
        <c:ser>
          <c:idx val="4"/>
          <c:order val="4"/>
          <c:tx>
            <c:strRef>
              <c:f>Kaavio!$B$14</c:f>
              <c:strCache>
                <c:ptCount val="1"/>
                <c:pt idx="0">
                  <c:v>Rahoitustulos (oltava suurempi kuin lainanlyhennykset)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Kaavio!$C$14:$J$14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64-4E2F-9FA0-B19B72F1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81017824"/>
        <c:axId val="-38101728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Kaavio!$B$12</c15:sqref>
                        </c15:formulaRef>
                      </c:ext>
                    </c:extLst>
                    <c:strCache>
                      <c:ptCount val="1"/>
                      <c:pt idx="0">
                        <c:v>Tuotantomenot</c:v>
                      </c:pt>
                    </c:strCache>
                  </c:strRef>
                </c:tx>
                <c:spPr>
                  <a:ln>
                    <a:prstDash val="dashDot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Kaavio!$C$3:$J$3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Kaavio!$C$12:$J$12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864-4E2F-9FA0-B19B72F1F3FC}"/>
                  </c:ext>
                </c:extLst>
              </c15:ser>
            </c15:filteredLineSeries>
          </c:ext>
        </c:extLst>
      </c:lineChart>
      <c:catAx>
        <c:axId val="-3810178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i-FI"/>
          </a:p>
        </c:txPr>
        <c:crossAx val="-381017280"/>
        <c:crosses val="autoZero"/>
        <c:auto val="1"/>
        <c:lblAlgn val="ctr"/>
        <c:lblOffset val="100"/>
        <c:noMultiLvlLbl val="0"/>
      </c:catAx>
      <c:valAx>
        <c:axId val="-3810172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i-FI"/>
          </a:p>
        </c:txPr>
        <c:crossAx val="-38101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12898387701537"/>
          <c:y val="0.18335196731030148"/>
          <c:w val="0.18055618047744035"/>
          <c:h val="0.55782912178928623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T2 Investoinnit, rahoitus'!A1"/><Relationship Id="rId7" Type="http://schemas.openxmlformats.org/officeDocument/2006/relationships/image" Target="../media/image3.png"/><Relationship Id="rId2" Type="http://schemas.openxmlformats.org/officeDocument/2006/relationships/hyperlink" Target="#'T1 Taloussuunnitelma'!A1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11" Type="http://schemas.openxmlformats.org/officeDocument/2006/relationships/image" Target="../media/image7.jpeg"/><Relationship Id="rId5" Type="http://schemas.openxmlformats.org/officeDocument/2006/relationships/hyperlink" Target="#'T4 Tuotanto'!A1"/><Relationship Id="rId10" Type="http://schemas.openxmlformats.org/officeDocument/2006/relationships/image" Target="../media/image6.png"/><Relationship Id="rId4" Type="http://schemas.openxmlformats.org/officeDocument/2006/relationships/hyperlink" Target="#'T3 Kustannukset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9.png"/><Relationship Id="rId7" Type="http://schemas.openxmlformats.org/officeDocument/2006/relationships/hyperlink" Target="#'T3 Kustannukset'!A1"/><Relationship Id="rId12" Type="http://schemas.openxmlformats.org/officeDocument/2006/relationships/image" Target="../media/image15.jpeg"/><Relationship Id="rId2" Type="http://schemas.openxmlformats.org/officeDocument/2006/relationships/chart" Target="../charts/chart1.xml"/><Relationship Id="rId1" Type="http://schemas.openxmlformats.org/officeDocument/2006/relationships/image" Target="../media/image8.jpeg"/><Relationship Id="rId6" Type="http://schemas.openxmlformats.org/officeDocument/2006/relationships/image" Target="../media/image11.png"/><Relationship Id="rId11" Type="http://schemas.openxmlformats.org/officeDocument/2006/relationships/image" Target="../media/image14.jpeg"/><Relationship Id="rId5" Type="http://schemas.openxmlformats.org/officeDocument/2006/relationships/hyperlink" Target="#'T4 Tuotanto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T2 Investoinnit, rahoitu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7.png"/><Relationship Id="rId7" Type="http://schemas.openxmlformats.org/officeDocument/2006/relationships/image" Target="../media/image19.png"/><Relationship Id="rId2" Type="http://schemas.openxmlformats.org/officeDocument/2006/relationships/image" Target="../media/image16.png"/><Relationship Id="rId1" Type="http://schemas.openxmlformats.org/officeDocument/2006/relationships/hyperlink" Target="#'T1 Taloussuunnitelma'!A1"/><Relationship Id="rId6" Type="http://schemas.openxmlformats.org/officeDocument/2006/relationships/hyperlink" Target="#'T3 Kustannukset'!A1"/><Relationship Id="rId5" Type="http://schemas.openxmlformats.org/officeDocument/2006/relationships/image" Target="../media/image18.png"/><Relationship Id="rId4" Type="http://schemas.openxmlformats.org/officeDocument/2006/relationships/hyperlink" Target="#'T4 Tuotanto'!A1"/><Relationship Id="rId9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3.png"/><Relationship Id="rId7" Type="http://schemas.openxmlformats.org/officeDocument/2006/relationships/hyperlink" Target="#'T2 Investoinnit, rahoitus'!A1"/><Relationship Id="rId2" Type="http://schemas.openxmlformats.org/officeDocument/2006/relationships/image" Target="../media/image22.png"/><Relationship Id="rId1" Type="http://schemas.openxmlformats.org/officeDocument/2006/relationships/hyperlink" Target="#'T1 Taloussuunnitelma'!A1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hyperlink" Target="#'T4 Tuotanto'!A1"/><Relationship Id="rId9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T2 Investoinnit, rahoitus'!A1"/><Relationship Id="rId3" Type="http://schemas.openxmlformats.org/officeDocument/2006/relationships/image" Target="../media/image29.png"/><Relationship Id="rId7" Type="http://schemas.openxmlformats.org/officeDocument/2006/relationships/image" Target="../media/image32.png"/><Relationship Id="rId12" Type="http://schemas.openxmlformats.org/officeDocument/2006/relationships/image" Target="../media/image36.jpeg"/><Relationship Id="rId2" Type="http://schemas.openxmlformats.org/officeDocument/2006/relationships/hyperlink" Target="#'T1 Taloussuunnitelma'!A1"/><Relationship Id="rId1" Type="http://schemas.openxmlformats.org/officeDocument/2006/relationships/image" Target="../media/image28.png"/><Relationship Id="rId6" Type="http://schemas.openxmlformats.org/officeDocument/2006/relationships/hyperlink" Target="#'T3 Kustannukset'!A1"/><Relationship Id="rId11" Type="http://schemas.openxmlformats.org/officeDocument/2006/relationships/image" Target="../media/image35.png"/><Relationship Id="rId5" Type="http://schemas.openxmlformats.org/officeDocument/2006/relationships/image" Target="../media/image31.png"/><Relationship Id="rId10" Type="http://schemas.openxmlformats.org/officeDocument/2006/relationships/image" Target="../media/image34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57149</xdr:rowOff>
    </xdr:from>
    <xdr:to>
      <xdr:col>8</xdr:col>
      <xdr:colOff>476676</xdr:colOff>
      <xdr:row>35</xdr:row>
      <xdr:rowOff>92392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1AF6A5D2-24B1-44EC-AA37-E4AF15D3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3962"/>
          <a:ext cx="7057499" cy="4586288"/>
        </a:xfrm>
        <a:prstGeom prst="rect">
          <a:avLst/>
        </a:prstGeom>
      </xdr:spPr>
    </xdr:pic>
    <xdr:clientData/>
  </xdr:twoCellAnchor>
  <xdr:twoCellAnchor>
    <xdr:from>
      <xdr:col>9</xdr:col>
      <xdr:colOff>18098</xdr:colOff>
      <xdr:row>1</xdr:row>
      <xdr:rowOff>78105</xdr:rowOff>
    </xdr:from>
    <xdr:to>
      <xdr:col>15</xdr:col>
      <xdr:colOff>275273</xdr:colOff>
      <xdr:row>41</xdr:row>
      <xdr:rowOff>125731</xdr:rowOff>
    </xdr:to>
    <xdr:sp macro="" textlink="">
      <xdr:nvSpPr>
        <xdr:cNvPr id="13" name="Vuokaaviosymboli: Dokumentti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921818" y="329565"/>
          <a:ext cx="3914775" cy="6646546"/>
        </a:xfrm>
        <a:prstGeom prst="flowChartDocument">
          <a:avLst/>
        </a:prstGeom>
        <a:solidFill>
          <a:srgbClr val="FFC000"/>
        </a:solidFill>
        <a:ln>
          <a:solidFill>
            <a:schemeClr val="bg1">
              <a:lumMod val="8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>
            <a:lnSpc>
              <a:spcPts val="1400"/>
            </a:lnSpc>
          </a:pPr>
          <a:r>
            <a:rPr lang="fi-FI" sz="1200" b="1">
              <a:solidFill>
                <a:sysClr val="windowText" lastClr="000000"/>
              </a:solidFill>
            </a:rPr>
            <a:t>Täyttöohjeita:</a:t>
          </a:r>
        </a:p>
        <a:p>
          <a:pPr algn="l">
            <a:lnSpc>
              <a:spcPts val="1400"/>
            </a:lnSpc>
          </a:pPr>
          <a:endParaRPr lang="fi-FI" sz="1200" b="1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>
              <a:solidFill>
                <a:sysClr val="windowText" lastClr="000000"/>
              </a:solidFill>
            </a:rPr>
            <a:t>VAIHE</a:t>
          </a:r>
          <a:r>
            <a:rPr lang="fi-FI" sz="1200" b="1" u="none" baseline="0">
              <a:solidFill>
                <a:sysClr val="windowText" lastClr="000000"/>
              </a:solidFill>
            </a:rPr>
            <a:t> 1.</a:t>
          </a:r>
        </a:p>
        <a:p>
          <a:pPr algn="l">
            <a:lnSpc>
              <a:spcPts val="1400"/>
            </a:lnSpc>
          </a:pPr>
          <a:r>
            <a:rPr lang="fi-FI" sz="1200" b="1" baseline="0">
              <a:solidFill>
                <a:sysClr val="windowText" lastClr="000000"/>
              </a:solidFill>
            </a:rPr>
            <a:t>Yrityksen nimi yms. tiedot sekä toteutuneen tilivuoden </a:t>
          </a:r>
          <a:br>
            <a:rPr lang="fi-FI" sz="1200" b="1" baseline="0">
              <a:solidFill>
                <a:sysClr val="windowText" lastClr="000000"/>
              </a:solidFill>
            </a:rPr>
          </a:br>
          <a:r>
            <a:rPr lang="fi-FI" sz="1200" b="1" baseline="0">
              <a:solidFill>
                <a:sysClr val="windowText" lastClr="000000"/>
              </a:solidFill>
            </a:rPr>
            <a:t>tiedot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a</a:t>
          </a:r>
          <a:r>
            <a:rPr lang="fi-FI" sz="1200" b="0">
              <a:solidFill>
                <a:sysClr val="windowText" lastClr="000000"/>
              </a:solidFill>
            </a:rPr>
            <a:t>loita</a:t>
          </a:r>
          <a:r>
            <a:rPr lang="fi-FI" sz="1200" b="0" baseline="0">
              <a:solidFill>
                <a:sysClr val="windowText" lastClr="000000"/>
              </a:solidFill>
            </a:rPr>
            <a:t> täyttämällä toteutuneen tilikauden tiedot kaikkiin </a:t>
          </a:r>
          <a:br>
            <a:rPr lang="fi-FI" sz="1200" b="0" baseline="0">
              <a:solidFill>
                <a:sysClr val="windowText" lastClr="000000"/>
              </a:solidFill>
            </a:rPr>
          </a:br>
          <a:r>
            <a:rPr lang="fi-FI" sz="1200" b="0" baseline="0">
              <a:solidFill>
                <a:sysClr val="windowText" lastClr="000000"/>
              </a:solidFill>
            </a:rPr>
            <a:t>  taulukoihin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ohjelma laskee valmiiksi tunnuslukuja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lainalaskureilla voit vertailla erilaisten lainamuotojen </a:t>
          </a:r>
          <a:br>
            <a:rPr lang="fi-FI" sz="1200" b="0" baseline="0">
              <a:solidFill>
                <a:sysClr val="windowText" lastClr="000000"/>
              </a:solidFill>
            </a:rPr>
          </a:br>
          <a:r>
            <a:rPr lang="fi-FI" sz="1200" b="0" baseline="0">
              <a:solidFill>
                <a:sysClr val="windowText" lastClr="000000"/>
              </a:solidFill>
            </a:rPr>
            <a:t>  kustannuksia</a:t>
          </a:r>
        </a:p>
        <a:p>
          <a:pPr algn="l">
            <a:lnSpc>
              <a:spcPts val="1400"/>
            </a:lnSpc>
          </a:pPr>
          <a:endParaRPr lang="fi-FI" sz="1200" b="1" baseline="0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VAIHE 2.</a:t>
          </a: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Investointi- ja rahoitussuunnitelman laatiminen 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T2-taulukkoon</a:t>
          </a:r>
          <a:br>
            <a:rPr lang="fi-FI" sz="1200" b="1" u="none" baseline="0">
              <a:solidFill>
                <a:sysClr val="windowText" lastClr="000000"/>
              </a:solidFill>
            </a:rPr>
          </a:br>
          <a:r>
            <a:rPr lang="fi-FI" sz="1200" b="0" u="none" baseline="0">
              <a:solidFill>
                <a:sysClr val="windowText" lastClr="000000"/>
              </a:solidFill>
            </a:rPr>
            <a:t>- aseta arvonlisäverolliset investointisummat toteutus-     </a:t>
          </a:r>
          <a:br>
            <a:rPr lang="fi-FI" sz="1200" b="0" u="none" baseline="0">
              <a:solidFill>
                <a:sysClr val="windowText" lastClr="000000"/>
              </a:solidFill>
            </a:rPr>
          </a:br>
          <a:r>
            <a:rPr lang="fi-FI" sz="1200" b="0" u="none" baseline="0">
              <a:solidFill>
                <a:sysClr val="windowText" lastClr="000000"/>
              </a:solidFill>
            </a:rPr>
            <a:t>   vuosittain</a:t>
          </a:r>
        </a:p>
        <a:p>
          <a:pPr algn="l">
            <a:lnSpc>
              <a:spcPts val="1400"/>
            </a:lnSpc>
          </a:pPr>
          <a:r>
            <a:rPr lang="fi-FI" sz="1200" b="0" u="none" baseline="0">
              <a:solidFill>
                <a:sysClr val="windowText" lastClr="000000"/>
              </a:solidFill>
            </a:rPr>
            <a:t>- suunnittele investointiohjelman rahoitus </a:t>
          </a:r>
        </a:p>
        <a:p>
          <a:pPr algn="l"/>
          <a:r>
            <a:rPr lang="fi-FI" sz="1200" b="0" u="none" baseline="0">
              <a:solidFill>
                <a:sysClr val="windowText" lastClr="000000"/>
              </a:solidFill>
            </a:rPr>
            <a:t>- kirjaa maatilan vanhat lainat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VAIHE 3.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Kustannusennusteen laatiminen T3-taulukkoon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VAIHE 4.</a:t>
          </a: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Tuotantoennusteen laatiminen T4-taulukkoon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VAIHE 5.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Tulosten arviointi T1-taulukosta</a:t>
          </a:r>
        </a:p>
        <a:p>
          <a:pPr algn="l"/>
          <a:r>
            <a:rPr lang="fi-FI" sz="1200" b="0" u="none" baseline="0">
              <a:solidFill>
                <a:sysClr val="windowText" lastClr="000000"/>
              </a:solidFill>
            </a:rPr>
            <a:t>- lisää urakointi- tms. yritystulot</a:t>
          </a:r>
        </a:p>
        <a:p>
          <a:pPr algn="l">
            <a:lnSpc>
              <a:spcPts val="1400"/>
            </a:lnSpc>
          </a:pPr>
          <a:r>
            <a:rPr lang="fi-FI" sz="1200" b="0" u="none" baseline="0">
              <a:solidFill>
                <a:sysClr val="windowText" lastClr="000000"/>
              </a:solidFill>
            </a:rPr>
            <a:t>- taulukon alla graafiset kuvaajat</a:t>
          </a:r>
        </a:p>
        <a:p>
          <a:pPr algn="l">
            <a:lnSpc>
              <a:spcPts val="1400"/>
            </a:lnSpc>
          </a:pPr>
          <a:endParaRPr lang="fi-FI" sz="1200" b="1" u="none" baseline="0">
            <a:solidFill>
              <a:schemeClr val="bg1"/>
            </a:solidFill>
          </a:endParaRPr>
        </a:p>
        <a:p>
          <a:pPr algn="l"/>
          <a:endParaRPr lang="fi-FI" sz="1200" b="1" u="sng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1805940</xdr:colOff>
      <xdr:row>9</xdr:row>
      <xdr:rowOff>40005</xdr:rowOff>
    </xdr:from>
    <xdr:to>
      <xdr:col>6</xdr:col>
      <xdr:colOff>141540</xdr:colOff>
      <xdr:row>13</xdr:row>
      <xdr:rowOff>112305</xdr:rowOff>
    </xdr:to>
    <xdr:sp macro="" textlink="">
      <xdr:nvSpPr>
        <xdr:cNvPr id="8" name="Pyöristetty suorakulmi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805940" y="1573530"/>
          <a:ext cx="3060000" cy="720000"/>
        </a:xfrm>
        <a:prstGeom prst="roundRect">
          <a:avLst/>
        </a:prstGeom>
        <a:solidFill>
          <a:srgbClr val="FFFF66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100" b="1">
              <a:solidFill>
                <a:schemeClr val="accent1">
                  <a:lumMod val="75000"/>
                </a:schemeClr>
              </a:solidFill>
            </a:rPr>
            <a:t>TOTEUTUNEEN</a:t>
          </a:r>
          <a:r>
            <a:rPr lang="fi-FI" sz="1100" b="1" baseline="0">
              <a:solidFill>
                <a:schemeClr val="accent1">
                  <a:lumMod val="75000"/>
                </a:schemeClr>
              </a:solidFill>
            </a:rPr>
            <a:t> TILIVUODEN TIETOJEN KIRJAAMINEN TAULUKOIHIN </a:t>
          </a:r>
          <a:r>
            <a:rPr lang="fi-FI" sz="1400" b="1" baseline="0">
              <a:solidFill>
                <a:schemeClr val="accent1">
                  <a:lumMod val="75000"/>
                </a:schemeClr>
              </a:solidFill>
            </a:rPr>
            <a:t>T1 - T4</a:t>
          </a:r>
          <a:endParaRPr lang="fi-FI" sz="14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1794509</xdr:colOff>
      <xdr:row>14</xdr:row>
      <xdr:rowOff>76200</xdr:rowOff>
    </xdr:from>
    <xdr:to>
      <xdr:col>6</xdr:col>
      <xdr:colOff>130109</xdr:colOff>
      <xdr:row>18</xdr:row>
      <xdr:rowOff>72300</xdr:rowOff>
    </xdr:to>
    <xdr:sp macro="" textlink="">
      <xdr:nvSpPr>
        <xdr:cNvPr id="9" name="Pyöristetty suorakulmi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794509" y="2419350"/>
          <a:ext cx="3060000" cy="720000"/>
        </a:xfrm>
        <a:prstGeom prst="roundRect">
          <a:avLst/>
        </a:prstGeom>
        <a:solidFill>
          <a:schemeClr val="tx2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1400"/>
            </a:lnSpc>
          </a:pPr>
          <a:r>
            <a:rPr lang="fi-FI" sz="1400" b="1" baseline="0">
              <a:solidFill>
                <a:schemeClr val="bg1"/>
              </a:solidFill>
            </a:rPr>
            <a:t> </a:t>
          </a:r>
          <a:r>
            <a:rPr lang="fi-FI" sz="1400" b="1">
              <a:solidFill>
                <a:schemeClr val="lt1"/>
              </a:solidFill>
              <a:latin typeface="+mn-lt"/>
              <a:ea typeface="+mn-ea"/>
              <a:cs typeface="+mn-cs"/>
            </a:rPr>
            <a:t>TAULUKKO T2 </a:t>
          </a:r>
          <a:endParaRPr lang="fi-FI" sz="1400" b="1">
            <a:solidFill>
              <a:schemeClr val="bg1"/>
            </a:solidFill>
          </a:endParaRPr>
        </a:p>
        <a:p>
          <a:pPr algn="ctr">
            <a:lnSpc>
              <a:spcPts val="1400"/>
            </a:lnSpc>
          </a:pPr>
          <a:r>
            <a:rPr lang="fi-FI" sz="1100" b="1" baseline="0">
              <a:solidFill>
                <a:schemeClr val="bg1"/>
              </a:solidFill>
            </a:rPr>
            <a:t>INVESTOINTI- JA RAHOITUSSUUNNITELMAN LAATIMINEN 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1798319</xdr:colOff>
      <xdr:row>19</xdr:row>
      <xdr:rowOff>38101</xdr:rowOff>
    </xdr:from>
    <xdr:to>
      <xdr:col>6</xdr:col>
      <xdr:colOff>133919</xdr:colOff>
      <xdr:row>23</xdr:row>
      <xdr:rowOff>72301</xdr:rowOff>
    </xdr:to>
    <xdr:sp macro="" textlink="">
      <xdr:nvSpPr>
        <xdr:cNvPr id="10" name="Pyöristetty suorakulmi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798319" y="3267076"/>
          <a:ext cx="3060000" cy="720000"/>
        </a:xfrm>
        <a:prstGeom prst="roundRect">
          <a:avLst/>
        </a:prstGeom>
        <a:solidFill>
          <a:schemeClr val="accent2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>
              <a:solidFill>
                <a:schemeClr val="bg1"/>
              </a:solidFill>
            </a:rPr>
            <a:t>TAULUKKO</a:t>
          </a:r>
          <a:r>
            <a:rPr lang="fi-FI" sz="1400" b="1" baseline="0">
              <a:solidFill>
                <a:schemeClr val="bg1"/>
              </a:solidFill>
            </a:rPr>
            <a:t> T3 </a:t>
          </a:r>
          <a:br>
            <a:rPr lang="fi-FI" sz="1100" b="1" baseline="0">
              <a:solidFill>
                <a:schemeClr val="bg1"/>
              </a:solidFill>
            </a:rPr>
          </a:br>
          <a:r>
            <a:rPr lang="fi-FI" sz="1100" b="1" i="0" baseline="0">
              <a:solidFill>
                <a:schemeClr val="bg1"/>
              </a:solidFill>
            </a:rPr>
            <a:t>KUSTANNUSENNUSTEEN L</a:t>
          </a:r>
          <a:r>
            <a:rPr lang="fi-FI" sz="1100" b="1" baseline="0">
              <a:solidFill>
                <a:schemeClr val="bg1"/>
              </a:solidFill>
            </a:rPr>
            <a:t>AATIMINEN 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1796415</xdr:colOff>
      <xdr:row>24</xdr:row>
      <xdr:rowOff>47625</xdr:rowOff>
    </xdr:from>
    <xdr:to>
      <xdr:col>6</xdr:col>
      <xdr:colOff>132015</xdr:colOff>
      <xdr:row>28</xdr:row>
      <xdr:rowOff>81825</xdr:rowOff>
    </xdr:to>
    <xdr:sp macro="" textlink="">
      <xdr:nvSpPr>
        <xdr:cNvPr id="11" name="Pyöristetty suorakulmi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796415" y="4124325"/>
          <a:ext cx="3060000" cy="720000"/>
        </a:xfrm>
        <a:prstGeom prst="roundRect">
          <a:avLst/>
        </a:prstGeom>
        <a:solidFill>
          <a:schemeClr val="accent3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 baseline="0">
              <a:solidFill>
                <a:schemeClr val="bg1"/>
              </a:solidFill>
            </a:rPr>
            <a:t>TAULUKKO T4 </a:t>
          </a:r>
          <a:br>
            <a:rPr lang="fi-FI" sz="1100" b="1" baseline="0">
              <a:solidFill>
                <a:schemeClr val="bg1"/>
              </a:solidFill>
            </a:rPr>
          </a:br>
          <a:r>
            <a:rPr lang="fi-FI" sz="1100" b="1" baseline="0">
              <a:solidFill>
                <a:schemeClr val="bg1"/>
              </a:solidFill>
            </a:rPr>
            <a:t>TUOTANTOENNUSTEEN LAATIMINEN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1767839</xdr:colOff>
      <xdr:row>29</xdr:row>
      <xdr:rowOff>19050</xdr:rowOff>
    </xdr:from>
    <xdr:to>
      <xdr:col>6</xdr:col>
      <xdr:colOff>103439</xdr:colOff>
      <xdr:row>33</xdr:row>
      <xdr:rowOff>91350</xdr:rowOff>
    </xdr:to>
    <xdr:sp macro="" textlink="">
      <xdr:nvSpPr>
        <xdr:cNvPr id="14" name="Pyöristetty suorakulmi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767839" y="4943475"/>
          <a:ext cx="3060000" cy="720000"/>
        </a:xfrm>
        <a:prstGeom prst="roundRect">
          <a:avLst/>
        </a:prstGeom>
        <a:solidFill>
          <a:srgbClr val="FFFF66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 baseline="0">
              <a:solidFill>
                <a:schemeClr val="accent1">
                  <a:lumMod val="75000"/>
                </a:schemeClr>
              </a:solidFill>
            </a:rPr>
            <a:t>TAULUKKO T1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1" baseline="0">
              <a:solidFill>
                <a:schemeClr val="accent1">
                  <a:lumMod val="75000"/>
                </a:schemeClr>
              </a:solidFill>
            </a:rPr>
            <a:t>TULOSTEN ARVIOINTI </a:t>
          </a:r>
        </a:p>
      </xdr:txBody>
    </xdr:sp>
    <xdr:clientData/>
  </xdr:twoCellAnchor>
  <xdr:twoCellAnchor>
    <xdr:from>
      <xdr:col>0</xdr:col>
      <xdr:colOff>1562100</xdr:colOff>
      <xdr:row>10</xdr:row>
      <xdr:rowOff>9525</xdr:rowOff>
    </xdr:from>
    <xdr:to>
      <xdr:col>0</xdr:col>
      <xdr:colOff>2042749</xdr:colOff>
      <xdr:row>12</xdr:row>
      <xdr:rowOff>153675</xdr:rowOff>
    </xdr:to>
    <xdr:pic>
      <xdr:nvPicPr>
        <xdr:cNvPr id="3" name="Kuv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D0971D-EE86-4BDD-89B0-F9F736D4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704975"/>
          <a:ext cx="480649" cy="468000"/>
        </a:xfrm>
        <a:prstGeom prst="rect">
          <a:avLst/>
        </a:prstGeom>
      </xdr:spPr>
    </xdr:pic>
    <xdr:clientData/>
  </xdr:twoCellAnchor>
  <xdr:twoCellAnchor>
    <xdr:from>
      <xdr:col>0</xdr:col>
      <xdr:colOff>1550175</xdr:colOff>
      <xdr:row>15</xdr:row>
      <xdr:rowOff>9524</xdr:rowOff>
    </xdr:from>
    <xdr:to>
      <xdr:col>0</xdr:col>
      <xdr:colOff>2030823</xdr:colOff>
      <xdr:row>17</xdr:row>
      <xdr:rowOff>115574</xdr:rowOff>
    </xdr:to>
    <xdr:pic>
      <xdr:nvPicPr>
        <xdr:cNvPr id="5" name="Kuv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E06F8D-5CBD-4B98-A34A-7AAAB7CF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175" y="2514599"/>
          <a:ext cx="480648" cy="468000"/>
        </a:xfrm>
        <a:prstGeom prst="rect">
          <a:avLst/>
        </a:prstGeom>
      </xdr:spPr>
    </xdr:pic>
    <xdr:clientData/>
  </xdr:twoCellAnchor>
  <xdr:twoCellAnchor>
    <xdr:from>
      <xdr:col>0</xdr:col>
      <xdr:colOff>1552539</xdr:colOff>
      <xdr:row>20</xdr:row>
      <xdr:rowOff>0</xdr:rowOff>
    </xdr:from>
    <xdr:to>
      <xdr:col>0</xdr:col>
      <xdr:colOff>2033188</xdr:colOff>
      <xdr:row>22</xdr:row>
      <xdr:rowOff>144150</xdr:rowOff>
    </xdr:to>
    <xdr:pic>
      <xdr:nvPicPr>
        <xdr:cNvPr id="7" name="Kuv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E98B8D-DFBA-4723-A56E-3B80BFD4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39" y="3167063"/>
          <a:ext cx="480649" cy="472762"/>
        </a:xfrm>
        <a:prstGeom prst="rect">
          <a:avLst/>
        </a:prstGeom>
      </xdr:spPr>
    </xdr:pic>
    <xdr:clientData/>
  </xdr:twoCellAnchor>
  <xdr:twoCellAnchor>
    <xdr:from>
      <xdr:col>0</xdr:col>
      <xdr:colOff>1581150</xdr:colOff>
      <xdr:row>25</xdr:row>
      <xdr:rowOff>19121</xdr:rowOff>
    </xdr:from>
    <xdr:to>
      <xdr:col>0</xdr:col>
      <xdr:colOff>2061798</xdr:colOff>
      <xdr:row>27</xdr:row>
      <xdr:rowOff>163271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34C4290-1BDB-49EA-847C-315CE8D3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4257746"/>
          <a:ext cx="480648" cy="468000"/>
        </a:xfrm>
        <a:prstGeom prst="rect">
          <a:avLst/>
        </a:prstGeom>
      </xdr:spPr>
    </xdr:pic>
    <xdr:clientData/>
  </xdr:twoCellAnchor>
  <xdr:twoCellAnchor>
    <xdr:from>
      <xdr:col>0</xdr:col>
      <xdr:colOff>1571625</xdr:colOff>
      <xdr:row>29</xdr:row>
      <xdr:rowOff>142875</xdr:rowOff>
    </xdr:from>
    <xdr:to>
      <xdr:col>0</xdr:col>
      <xdr:colOff>2052274</xdr:colOff>
      <xdr:row>32</xdr:row>
      <xdr:rowOff>125100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532464-BE3E-4F18-8C2C-F2DD211F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5067300"/>
          <a:ext cx="480649" cy="4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539710</xdr:colOff>
      <xdr:row>0</xdr:row>
      <xdr:rowOff>190501</xdr:rowOff>
    </xdr:from>
    <xdr:to>
      <xdr:col>4</xdr:col>
      <xdr:colOff>301913</xdr:colOff>
      <xdr:row>7</xdr:row>
      <xdr:rowOff>60959</xdr:rowOff>
    </xdr:to>
    <xdr:pic>
      <xdr:nvPicPr>
        <xdr:cNvPr id="28" name="Kuva 27">
          <a:extLst>
            <a:ext uri="{FF2B5EF4-FFF2-40B4-BE49-F238E27FC236}">
              <a16:creationId xmlns:a16="http://schemas.microsoft.com/office/drawing/2014/main" id="{EC1BEFEF-8D85-4113-95B7-16B6FA25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4273" y="190501"/>
          <a:ext cx="1810078" cy="966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447675</xdr:colOff>
      <xdr:row>0</xdr:row>
      <xdr:rowOff>28575</xdr:rowOff>
    </xdr:from>
    <xdr:to>
      <xdr:col>19</xdr:col>
      <xdr:colOff>190500</xdr:colOff>
      <xdr:row>0</xdr:row>
      <xdr:rowOff>28575</xdr:rowOff>
    </xdr:to>
    <xdr:pic>
      <xdr:nvPicPr>
        <xdr:cNvPr id="2619941" name="Kuva 12" descr="tulkki_vari2rivi.jpg">
          <a:extLst>
            <a:ext uri="{FF2B5EF4-FFF2-40B4-BE49-F238E27FC236}">
              <a16:creationId xmlns:a16="http://schemas.microsoft.com/office/drawing/2014/main" id="{00000000-0008-0000-0100-000025FA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28575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838200</xdr:colOff>
      <xdr:row>56</xdr:row>
      <xdr:rowOff>144780</xdr:rowOff>
    </xdr:from>
    <xdr:to>
      <xdr:col>17</xdr:col>
      <xdr:colOff>243840</xdr:colOff>
      <xdr:row>82</xdr:row>
      <xdr:rowOff>28575</xdr:rowOff>
    </xdr:to>
    <xdr:graphicFrame macro="">
      <xdr:nvGraphicFramePr>
        <xdr:cNvPr id="2619943" name="Kaavio 2">
          <a:extLst>
            <a:ext uri="{FF2B5EF4-FFF2-40B4-BE49-F238E27FC236}">
              <a16:creationId xmlns:a16="http://schemas.microsoft.com/office/drawing/2014/main" id="{00000000-0008-0000-0100-000027FA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226695</xdr:colOff>
      <xdr:row>2</xdr:row>
      <xdr:rowOff>100964</xdr:rowOff>
    </xdr:from>
    <xdr:to>
      <xdr:col>26</xdr:col>
      <xdr:colOff>225243</xdr:colOff>
      <xdr:row>14</xdr:row>
      <xdr:rowOff>114299</xdr:rowOff>
    </xdr:to>
    <xdr:sp macro="" textlink="">
      <xdr:nvSpPr>
        <xdr:cNvPr id="6" name="AutoShape 18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0789920" y="424814"/>
          <a:ext cx="3284673" cy="186118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  <a:effectLst/>
      </xdr:spPr>
      <xdr:txBody>
        <a:bodyPr vertOverflow="clip" wrap="square" lIns="108000" tIns="36000" rIns="36000" bIns="0" anchor="ctr" upright="1"/>
        <a:lstStyle/>
        <a:p>
          <a:pPr algn="l" rtl="0">
            <a:lnSpc>
              <a:spcPct val="150000"/>
            </a:lnSpc>
            <a:defRPr sz="1000"/>
          </a:pPr>
          <a:r>
            <a:rPr lang="fi-FI" sz="1000" b="1" i="1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 SEURAAVASTI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-  Yrityksen nimi yms. tiedot siirtyvät tästä taulukosta 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 muihin taulukoihin</a:t>
          </a:r>
          <a:endParaRPr lang="fi-FI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>
              <a:solidFill>
                <a:srgbClr val="000000"/>
              </a:solidFill>
              <a:latin typeface="Arial"/>
              <a:cs typeface="Arial"/>
            </a:rPr>
            <a:t>- TU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LOSLASKELMA  - osaan siellä kysytyt luvut</a:t>
          </a:r>
          <a:r>
            <a:rPr lang="fi-FI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endParaRPr lang="fi-FI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89197</xdr:colOff>
      <xdr:row>7</xdr:row>
      <xdr:rowOff>100445</xdr:rowOff>
    </xdr:from>
    <xdr:to>
      <xdr:col>0</xdr:col>
      <xdr:colOff>532872</xdr:colOff>
      <xdr:row>10</xdr:row>
      <xdr:rowOff>75124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4407A9E5-927C-4046-8989-62AE35F4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97" y="1206810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93452</xdr:colOff>
      <xdr:row>19</xdr:row>
      <xdr:rowOff>37279</xdr:rowOff>
    </xdr:from>
    <xdr:to>
      <xdr:col>0</xdr:col>
      <xdr:colOff>537127</xdr:colOff>
      <xdr:row>22</xdr:row>
      <xdr:rowOff>11959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07CA4661-073D-40F7-85F1-67124D7EA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2" y="2990029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93725</xdr:colOff>
      <xdr:row>16</xdr:row>
      <xdr:rowOff>61906</xdr:rowOff>
    </xdr:from>
    <xdr:to>
      <xdr:col>0</xdr:col>
      <xdr:colOff>537400</xdr:colOff>
      <xdr:row>19</xdr:row>
      <xdr:rowOff>36586</xdr:rowOff>
    </xdr:to>
    <xdr:pic>
      <xdr:nvPicPr>
        <xdr:cNvPr id="23" name="Kuva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0CF5DA-EA78-4EED-9139-CB3E1766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5" y="2553060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96521</xdr:colOff>
      <xdr:row>13</xdr:row>
      <xdr:rowOff>73261</xdr:rowOff>
    </xdr:from>
    <xdr:to>
      <xdr:col>0</xdr:col>
      <xdr:colOff>540196</xdr:colOff>
      <xdr:row>16</xdr:row>
      <xdr:rowOff>47941</xdr:rowOff>
    </xdr:to>
    <xdr:pic>
      <xdr:nvPicPr>
        <xdr:cNvPr id="25" name="Kuva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E0917C-1CBA-4B67-9A82-67917F41F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1" y="2102819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90657</xdr:colOff>
      <xdr:row>10</xdr:row>
      <xdr:rowOff>83736</xdr:rowOff>
    </xdr:from>
    <xdr:to>
      <xdr:col>0</xdr:col>
      <xdr:colOff>534332</xdr:colOff>
      <xdr:row>13</xdr:row>
      <xdr:rowOff>58417</xdr:rowOff>
    </xdr:to>
    <xdr:pic>
      <xdr:nvPicPr>
        <xdr:cNvPr id="27" name="Kuva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CC787D-D3E2-4E89-A700-807E8DAA4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" y="1651698"/>
          <a:ext cx="443675" cy="436277"/>
        </a:xfrm>
        <a:prstGeom prst="rect">
          <a:avLst/>
        </a:prstGeom>
      </xdr:spPr>
    </xdr:pic>
    <xdr:clientData/>
  </xdr:twoCellAnchor>
  <xdr:twoCellAnchor>
    <xdr:from>
      <xdr:col>0</xdr:col>
      <xdr:colOff>631947</xdr:colOff>
      <xdr:row>87</xdr:row>
      <xdr:rowOff>75467</xdr:rowOff>
    </xdr:from>
    <xdr:to>
      <xdr:col>11</xdr:col>
      <xdr:colOff>368911</xdr:colOff>
      <xdr:row>91</xdr:row>
      <xdr:rowOff>34068</xdr:rowOff>
    </xdr:to>
    <xdr:sp macro="" textlink="">
      <xdr:nvSpPr>
        <xdr:cNvPr id="36" name="Tekstiruutu 35">
          <a:extLst>
            <a:ext uri="{FF2B5EF4-FFF2-40B4-BE49-F238E27FC236}">
              <a16:creationId xmlns:a16="http://schemas.microsoft.com/office/drawing/2014/main" id="{4C61583D-AB04-4EF7-9495-51FE3809798F}"/>
            </a:ext>
          </a:extLst>
        </xdr:cNvPr>
        <xdr:cNvSpPr txBox="1"/>
      </xdr:nvSpPr>
      <xdr:spPr>
        <a:xfrm>
          <a:off x="631947" y="13591442"/>
          <a:ext cx="6328264" cy="61106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17</xdr:col>
      <xdr:colOff>357191</xdr:colOff>
      <xdr:row>1</xdr:row>
      <xdr:rowOff>33338</xdr:rowOff>
    </xdr:from>
    <xdr:to>
      <xdr:col>19</xdr:col>
      <xdr:colOff>396364</xdr:colOff>
      <xdr:row>3</xdr:row>
      <xdr:rowOff>97868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A425D4E3-153F-41F0-97C3-670B47ED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9" y="195263"/>
          <a:ext cx="1106925" cy="396000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333377</xdr:colOff>
      <xdr:row>46</xdr:row>
      <xdr:rowOff>76201</xdr:rowOff>
    </xdr:from>
    <xdr:to>
      <xdr:col>19</xdr:col>
      <xdr:colOff>364932</xdr:colOff>
      <xdr:row>48</xdr:row>
      <xdr:rowOff>136921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1817CFA3-900E-4DE9-A794-F2F59019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9365" y="7153276"/>
          <a:ext cx="1106927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</xdr:colOff>
      <xdr:row>0</xdr:row>
      <xdr:rowOff>66674</xdr:rowOff>
    </xdr:from>
    <xdr:to>
      <xdr:col>16</xdr:col>
      <xdr:colOff>468628</xdr:colOff>
      <xdr:row>4</xdr:row>
      <xdr:rowOff>28575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7869555" y="66674"/>
          <a:ext cx="2285998" cy="600076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108000" rIns="36000" bIns="108000" anchor="t" upright="1"/>
        <a:lstStyle/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58484</xdr:colOff>
      <xdr:row>32</xdr:row>
      <xdr:rowOff>142875</xdr:rowOff>
    </xdr:from>
    <xdr:to>
      <xdr:col>0</xdr:col>
      <xdr:colOff>508149</xdr:colOff>
      <xdr:row>47</xdr:row>
      <xdr:rowOff>41400</xdr:rowOff>
    </xdr:to>
    <xdr:grpSp>
      <xdr:nvGrpSpPr>
        <xdr:cNvPr id="5" name="Ryhmä 4">
          <a:extLst>
            <a:ext uri="{FF2B5EF4-FFF2-40B4-BE49-F238E27FC236}">
              <a16:creationId xmlns:a16="http://schemas.microsoft.com/office/drawing/2014/main" id="{5B5A3CBD-4CA9-4024-A52C-8BDEB0D8886B}"/>
            </a:ext>
          </a:extLst>
        </xdr:cNvPr>
        <xdr:cNvGrpSpPr/>
      </xdr:nvGrpSpPr>
      <xdr:grpSpPr>
        <a:xfrm>
          <a:off x="58484" y="5036004"/>
          <a:ext cx="449665" cy="2184525"/>
          <a:chOff x="58484" y="1434465"/>
          <a:chExt cx="449665" cy="2184525"/>
        </a:xfrm>
      </xdr:grpSpPr>
      <xdr:pic>
        <xdr:nvPicPr>
          <xdr:cNvPr id="15" name="Kuva 1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A831615-85B9-42E5-B242-E8F39E5A4C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484" y="1434465"/>
            <a:ext cx="441007" cy="429402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E0370E7-24E7-4DD0-87F2-87D8367152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739" y="3189588"/>
            <a:ext cx="441007" cy="429402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FBA4C62-75B1-4FE8-B2CD-1849C2FB99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78" y="2759504"/>
            <a:ext cx="443675" cy="429402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213FA96-5047-4DEF-842F-976CF0308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74" y="2316357"/>
            <a:ext cx="443675" cy="429402"/>
          </a:xfrm>
          <a:prstGeom prst="rect">
            <a:avLst/>
          </a:prstGeom>
        </xdr:spPr>
      </xdr:pic>
      <xdr:pic>
        <xdr:nvPicPr>
          <xdr:cNvPr id="19" name="Kuva 18">
            <a:extLst>
              <a:ext uri="{FF2B5EF4-FFF2-40B4-BE49-F238E27FC236}">
                <a16:creationId xmlns:a16="http://schemas.microsoft.com/office/drawing/2014/main" id="{F0A72826-2D2E-487A-BC76-4AD55908DD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43" y="1872343"/>
            <a:ext cx="441008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71438</xdr:colOff>
      <xdr:row>106</xdr:row>
      <xdr:rowOff>89297</xdr:rowOff>
    </xdr:from>
    <xdr:to>
      <xdr:col>0</xdr:col>
      <xdr:colOff>521103</xdr:colOff>
      <xdr:row>120</xdr:row>
      <xdr:rowOff>142604</xdr:rowOff>
    </xdr:to>
    <xdr:grpSp>
      <xdr:nvGrpSpPr>
        <xdr:cNvPr id="26" name="Ryhmä 25">
          <a:extLst>
            <a:ext uri="{FF2B5EF4-FFF2-40B4-BE49-F238E27FC236}">
              <a16:creationId xmlns:a16="http://schemas.microsoft.com/office/drawing/2014/main" id="{9998FCC3-955A-4B46-B5B7-023D6AD4E97F}"/>
            </a:ext>
          </a:extLst>
        </xdr:cNvPr>
        <xdr:cNvGrpSpPr/>
      </xdr:nvGrpSpPr>
      <xdr:grpSpPr>
        <a:xfrm>
          <a:off x="71438" y="16227368"/>
          <a:ext cx="449665" cy="2186907"/>
          <a:chOff x="58484" y="1434465"/>
          <a:chExt cx="449665" cy="2184525"/>
        </a:xfrm>
      </xdr:grpSpPr>
      <xdr:pic>
        <xdr:nvPicPr>
          <xdr:cNvPr id="27" name="Kuva 2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A5A5296-16AA-46F8-9A00-D95473C23F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484" y="1434465"/>
            <a:ext cx="441007" cy="429402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144AE2D-5AB1-4F6A-A34B-750C3D265C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739" y="3189588"/>
            <a:ext cx="441007" cy="429402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5AEC6D9-EE38-4B8D-BDD2-75C314B1FA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78" y="2759504"/>
            <a:ext cx="443675" cy="429402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9379070-C7FF-4F4E-9646-9D0FEE01A4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74" y="2316357"/>
            <a:ext cx="443675" cy="429402"/>
          </a:xfrm>
          <a:prstGeom prst="rect">
            <a:avLst/>
          </a:prstGeom>
        </xdr:spPr>
      </xdr:pic>
      <xdr:pic>
        <xdr:nvPicPr>
          <xdr:cNvPr id="31" name="Kuva 30">
            <a:extLst>
              <a:ext uri="{FF2B5EF4-FFF2-40B4-BE49-F238E27FC236}">
                <a16:creationId xmlns:a16="http://schemas.microsoft.com/office/drawing/2014/main" id="{E586D10A-F4F1-421F-9792-30413EB5CB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43" y="1872343"/>
            <a:ext cx="441008" cy="42940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124240</xdr:colOff>
      <xdr:row>150</xdr:row>
      <xdr:rowOff>124239</xdr:rowOff>
    </xdr:from>
    <xdr:to>
      <xdr:col>10</xdr:col>
      <xdr:colOff>155459</xdr:colOff>
      <xdr:row>154</xdr:row>
      <xdr:rowOff>69763</xdr:rowOff>
    </xdr:to>
    <xdr:sp macro="" textlink="">
      <xdr:nvSpPr>
        <xdr:cNvPr id="35" name="Tekstiruutu 34">
          <a:extLst>
            <a:ext uri="{FF2B5EF4-FFF2-40B4-BE49-F238E27FC236}">
              <a16:creationId xmlns:a16="http://schemas.microsoft.com/office/drawing/2014/main" id="{C9A9B421-1B9D-41EE-9AD9-5E44015C1583}"/>
            </a:ext>
          </a:extLst>
        </xdr:cNvPr>
        <xdr:cNvSpPr txBox="1"/>
      </xdr:nvSpPr>
      <xdr:spPr>
        <a:xfrm>
          <a:off x="712305" y="22495565"/>
          <a:ext cx="5920154" cy="60813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10</xdr:col>
      <xdr:colOff>454011</xdr:colOff>
      <xdr:row>1</xdr:row>
      <xdr:rowOff>43544</xdr:rowOff>
    </xdr:from>
    <xdr:to>
      <xdr:col>11</xdr:col>
      <xdr:colOff>614213</xdr:colOff>
      <xdr:row>2</xdr:row>
      <xdr:rowOff>132887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BC70AEEE-8E82-4F68-897E-EA8016C2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9225" y="261258"/>
          <a:ext cx="786131" cy="2471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0</xdr:row>
      <xdr:rowOff>119743</xdr:rowOff>
    </xdr:from>
    <xdr:to>
      <xdr:col>26</xdr:col>
      <xdr:colOff>304800</xdr:colOff>
      <xdr:row>4</xdr:row>
      <xdr:rowOff>136071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11391900" y="119743"/>
          <a:ext cx="3810000" cy="609599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108000" rIns="36000" bIns="108000" anchor="t" upright="1"/>
        <a:lstStyle/>
        <a:p>
          <a:pPr algn="l" rtl="0">
            <a:lnSpc>
              <a:spcPts val="12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Täytä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keltaisia soluja. Kustannukset arvonlisäverottomia.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77534</xdr:colOff>
      <xdr:row>8</xdr:row>
      <xdr:rowOff>76200</xdr:rowOff>
    </xdr:from>
    <xdr:to>
      <xdr:col>0</xdr:col>
      <xdr:colOff>525865</xdr:colOff>
      <xdr:row>23</xdr:row>
      <xdr:rowOff>79500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53ADB21-F876-4961-A6C0-A887AF53C6F0}"/>
            </a:ext>
          </a:extLst>
        </xdr:cNvPr>
        <xdr:cNvGrpSpPr/>
      </xdr:nvGrpSpPr>
      <xdr:grpSpPr>
        <a:xfrm>
          <a:off x="77534" y="1268186"/>
          <a:ext cx="448331" cy="2169557"/>
          <a:chOff x="77534" y="1295400"/>
          <a:chExt cx="448331" cy="2184525"/>
        </a:xfrm>
      </xdr:grpSpPr>
      <xdr:pic>
        <xdr:nvPicPr>
          <xdr:cNvPr id="15" name="Kuva 1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324D02C-0F0A-4B42-80F8-D316A7F225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534" y="1295400"/>
            <a:ext cx="441007" cy="42940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0CE1AE1-4BB7-4760-8E59-E52F6C5947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789" y="3050523"/>
            <a:ext cx="441007" cy="429402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6149D95-800F-4ED3-B9F2-6CAFE095C2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28" y="2620439"/>
            <a:ext cx="443675" cy="429402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D35268BA-F861-4416-8159-73DF99091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858" y="2177292"/>
            <a:ext cx="441007" cy="429402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8F9F27F-6C10-41FD-A316-DEDC65E630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60" y="1733278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76200</xdr:colOff>
      <xdr:row>71</xdr:row>
      <xdr:rowOff>9525</xdr:rowOff>
    </xdr:from>
    <xdr:to>
      <xdr:col>0</xdr:col>
      <xdr:colOff>524531</xdr:colOff>
      <xdr:row>86</xdr:row>
      <xdr:rowOff>12825</xdr:rowOff>
    </xdr:to>
    <xdr:grpSp>
      <xdr:nvGrpSpPr>
        <xdr:cNvPr id="36" name="Ryhmä 35">
          <a:extLst>
            <a:ext uri="{FF2B5EF4-FFF2-40B4-BE49-F238E27FC236}">
              <a16:creationId xmlns:a16="http://schemas.microsoft.com/office/drawing/2014/main" id="{65ACC9E8-0DD4-4A0F-8B61-9448757E0726}"/>
            </a:ext>
          </a:extLst>
        </xdr:cNvPr>
        <xdr:cNvGrpSpPr/>
      </xdr:nvGrpSpPr>
      <xdr:grpSpPr>
        <a:xfrm>
          <a:off x="76200" y="10334625"/>
          <a:ext cx="448331" cy="2169557"/>
          <a:chOff x="77534" y="1295400"/>
          <a:chExt cx="448331" cy="2184525"/>
        </a:xfrm>
      </xdr:grpSpPr>
      <xdr:pic>
        <xdr:nvPicPr>
          <xdr:cNvPr id="37" name="Kuva 3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8B39C-BCDC-403C-B7A9-EF932E73CD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534" y="1295400"/>
            <a:ext cx="441007" cy="429402"/>
          </a:xfrm>
          <a:prstGeom prst="rect">
            <a:avLst/>
          </a:prstGeom>
        </xdr:spPr>
      </xdr:pic>
      <xdr:pic>
        <xdr:nvPicPr>
          <xdr:cNvPr id="38" name="Kuva 3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72C65A3-A5E2-467B-80F4-F8112C8A2A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789" y="3050523"/>
            <a:ext cx="441007" cy="429402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8C37CF8-35BE-402D-B4CC-2AD6AC309D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28" y="2620439"/>
            <a:ext cx="443675" cy="429402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3BAC6FB-1EC4-4923-A9B6-DA0532B298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858" y="2177292"/>
            <a:ext cx="441007" cy="429402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F294530-2EF6-46E4-97B9-9FC8DCA92A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60" y="1733278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593480</xdr:colOff>
      <xdr:row>91</xdr:row>
      <xdr:rowOff>109904</xdr:rowOff>
    </xdr:from>
    <xdr:to>
      <xdr:col>10</xdr:col>
      <xdr:colOff>219807</xdr:colOff>
      <xdr:row>95</xdr:row>
      <xdr:rowOff>102575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2930880-97A9-465B-83A5-CBEFD7171F44}"/>
            </a:ext>
          </a:extLst>
        </xdr:cNvPr>
        <xdr:cNvSpPr txBox="1"/>
      </xdr:nvSpPr>
      <xdr:spPr>
        <a:xfrm>
          <a:off x="593480" y="13620750"/>
          <a:ext cx="5920154" cy="60813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16</xdr:col>
      <xdr:colOff>324803</xdr:colOff>
      <xdr:row>2</xdr:row>
      <xdr:rowOff>38100</xdr:rowOff>
    </xdr:from>
    <xdr:to>
      <xdr:col>19</xdr:col>
      <xdr:colOff>19868</xdr:colOff>
      <xdr:row>4</xdr:row>
      <xdr:rowOff>133896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BF9F147B-ABF4-4630-A77D-2C2ADB01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9328" y="361950"/>
          <a:ext cx="1078095" cy="381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0</xdr:rowOff>
    </xdr:from>
    <xdr:ext cx="6335864" cy="0"/>
    <xdr:pic>
      <xdr:nvPicPr>
        <xdr:cNvPr id="2" name="Picture 241" descr="YT4 kelt yläpalkki PNG">
          <a:extLst>
            <a:ext uri="{FF2B5EF4-FFF2-40B4-BE49-F238E27FC236}">
              <a16:creationId xmlns:a16="http://schemas.microsoft.com/office/drawing/2014/main" id="{04EF7F0B-4155-4837-9BD5-83C8CD911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" y="171450"/>
          <a:ext cx="633586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61788</xdr:colOff>
      <xdr:row>0</xdr:row>
      <xdr:rowOff>75786</xdr:rowOff>
    </xdr:from>
    <xdr:to>
      <xdr:col>15</xdr:col>
      <xdr:colOff>505239</xdr:colOff>
      <xdr:row>3</xdr:row>
      <xdr:rowOff>82826</xdr:rowOff>
    </xdr:to>
    <xdr:sp macro="" textlink="">
      <xdr:nvSpPr>
        <xdr:cNvPr id="3" name="AutoShape 189">
          <a:extLst>
            <a:ext uri="{FF2B5EF4-FFF2-40B4-BE49-F238E27FC236}">
              <a16:creationId xmlns:a16="http://schemas.microsoft.com/office/drawing/2014/main" id="{9A136771-9006-4DF4-BA8C-D9EB6DE04A28}"/>
            </a:ext>
          </a:extLst>
        </xdr:cNvPr>
        <xdr:cNvSpPr>
          <a:spLocks noChangeArrowheads="1"/>
        </xdr:cNvSpPr>
      </xdr:nvSpPr>
      <xdr:spPr bwMode="auto">
        <a:xfrm>
          <a:off x="7373178" y="75786"/>
          <a:ext cx="2277966" cy="523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36000" rIns="36000" bIns="36000" anchor="t" upright="1"/>
        <a:lstStyle/>
        <a:p>
          <a:pPr algn="l" rtl="0">
            <a:lnSpc>
              <a:spcPts val="11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1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75878</xdr:colOff>
      <xdr:row>27</xdr:row>
      <xdr:rowOff>31227</xdr:rowOff>
    </xdr:from>
    <xdr:to>
      <xdr:col>0</xdr:col>
      <xdr:colOff>523638</xdr:colOff>
      <xdr:row>44</xdr:row>
      <xdr:rowOff>124062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F355B12B-C445-4DC0-BAA5-3F2865288C2C}"/>
            </a:ext>
          </a:extLst>
        </xdr:cNvPr>
        <xdr:cNvGrpSpPr/>
      </xdr:nvGrpSpPr>
      <xdr:grpSpPr>
        <a:xfrm>
          <a:off x="75878" y="3492884"/>
          <a:ext cx="447760" cy="2215549"/>
          <a:chOff x="67595" y="2915479"/>
          <a:chExt cx="449665" cy="2184525"/>
        </a:xfrm>
      </xdr:grpSpPr>
      <xdr:pic>
        <xdr:nvPicPr>
          <xdr:cNvPr id="5" name="Kuva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40AA563-9936-4A02-82E5-9A1F90573D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95" y="2915479"/>
            <a:ext cx="441007" cy="42940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C4FBE06-B94C-4D4B-AA22-25AD140FF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50" y="4670602"/>
            <a:ext cx="441007" cy="429402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9F8F4AF2-A839-4405-A22F-A2195A60AF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23" y="4240518"/>
            <a:ext cx="441007" cy="429402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9B3706C-D699-4120-91C1-72019E5DC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585" y="3797371"/>
            <a:ext cx="443675" cy="429402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ECEAFAD3-84D7-4782-BCFA-25D91AFCAF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21" y="3353357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74543</xdr:colOff>
      <xdr:row>57</xdr:row>
      <xdr:rowOff>41413</xdr:rowOff>
    </xdr:from>
    <xdr:to>
      <xdr:col>0</xdr:col>
      <xdr:colOff>522303</xdr:colOff>
      <xdr:row>74</xdr:row>
      <xdr:rowOff>29142</xdr:rowOff>
    </xdr:to>
    <xdr:grpSp>
      <xdr:nvGrpSpPr>
        <xdr:cNvPr id="11" name="Ryhmä 10">
          <a:extLst>
            <a:ext uri="{FF2B5EF4-FFF2-40B4-BE49-F238E27FC236}">
              <a16:creationId xmlns:a16="http://schemas.microsoft.com/office/drawing/2014/main" id="{6E71E823-46EC-45A1-9EBC-0F79CCDEDE95}"/>
            </a:ext>
          </a:extLst>
        </xdr:cNvPr>
        <xdr:cNvGrpSpPr/>
      </xdr:nvGrpSpPr>
      <xdr:grpSpPr>
        <a:xfrm>
          <a:off x="74543" y="7258642"/>
          <a:ext cx="447760" cy="2186643"/>
          <a:chOff x="67595" y="2915479"/>
          <a:chExt cx="449665" cy="2184525"/>
        </a:xfrm>
      </xdr:grpSpPr>
      <xdr:pic>
        <xdr:nvPicPr>
          <xdr:cNvPr id="12" name="Kuva 1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4FA4111-EE35-4197-8DA8-E7ACBB5A9A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95" y="2915479"/>
            <a:ext cx="441007" cy="429402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65E286-C958-4809-ADB6-E83EBB41E9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50" y="4670602"/>
            <a:ext cx="441007" cy="429402"/>
          </a:xfrm>
          <a:prstGeom prst="rect">
            <a:avLst/>
          </a:prstGeom>
        </xdr:spPr>
      </xdr:pic>
      <xdr:pic>
        <xdr:nvPicPr>
          <xdr:cNvPr id="14" name="Kuva 13">
            <a:extLst>
              <a:ext uri="{FF2B5EF4-FFF2-40B4-BE49-F238E27FC236}">
                <a16:creationId xmlns:a16="http://schemas.microsoft.com/office/drawing/2014/main" id="{53159A2D-3900-4128-9AB8-6984A32D01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23" y="4240518"/>
            <a:ext cx="441007" cy="429402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E735FCA2-77E9-422A-A216-20273BB9B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585" y="3797371"/>
            <a:ext cx="443675" cy="429402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7A409197-8DEB-4E48-AA74-2B526DF1C7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21" y="3353357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81</xdr:row>
      <xdr:rowOff>0</xdr:rowOff>
    </xdr:from>
    <xdr:to>
      <xdr:col>10</xdr:col>
      <xdr:colOff>180306</xdr:colOff>
      <xdr:row>84</xdr:row>
      <xdr:rowOff>111177</xdr:rowOff>
    </xdr:to>
    <xdr:sp macro="" textlink="">
      <xdr:nvSpPr>
        <xdr:cNvPr id="17" name="Tekstiruutu 16">
          <a:extLst>
            <a:ext uri="{FF2B5EF4-FFF2-40B4-BE49-F238E27FC236}">
              <a16:creationId xmlns:a16="http://schemas.microsoft.com/office/drawing/2014/main" id="{AE200647-35D2-4696-95D4-EED7F235B4AA}"/>
            </a:ext>
          </a:extLst>
        </xdr:cNvPr>
        <xdr:cNvSpPr txBox="1"/>
      </xdr:nvSpPr>
      <xdr:spPr>
        <a:xfrm>
          <a:off x="609600" y="14230350"/>
          <a:ext cx="5664801" cy="62552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9</xdr:col>
      <xdr:colOff>57148</xdr:colOff>
      <xdr:row>1</xdr:row>
      <xdr:rowOff>39644</xdr:rowOff>
    </xdr:from>
    <xdr:to>
      <xdr:col>11</xdr:col>
      <xdr:colOff>36058</xdr:colOff>
      <xdr:row>3</xdr:row>
      <xdr:rowOff>136281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FF233913-F0D1-407F-BA3E-0B1841F6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3" y="211094"/>
          <a:ext cx="1083810" cy="3976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110491</xdr:rowOff>
    </xdr:from>
    <xdr:to>
      <xdr:col>1</xdr:col>
      <xdr:colOff>1428548</xdr:colOff>
      <xdr:row>19</xdr:row>
      <xdr:rowOff>47669</xdr:rowOff>
    </xdr:to>
    <xdr:sp macro="" textlink="">
      <xdr:nvSpPr>
        <xdr:cNvPr id="2" name="Rectangle 2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400050" y="3457576"/>
          <a:ext cx="1390650" cy="266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>
    <xdr:from>
      <xdr:col>6</xdr:col>
      <xdr:colOff>28575</xdr:colOff>
      <xdr:row>17</xdr:row>
      <xdr:rowOff>110490</xdr:rowOff>
    </xdr:from>
    <xdr:to>
      <xdr:col>6</xdr:col>
      <xdr:colOff>1230934</xdr:colOff>
      <xdr:row>19</xdr:row>
      <xdr:rowOff>38262</xdr:rowOff>
    </xdr:to>
    <xdr:sp macro="" textlink="">
      <xdr:nvSpPr>
        <xdr:cNvPr id="9" name="Rectangle 2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4629150" y="3457575"/>
          <a:ext cx="12096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>
    <xdr:from>
      <xdr:col>11</xdr:col>
      <xdr:colOff>0</xdr:colOff>
      <xdr:row>30</xdr:row>
      <xdr:rowOff>148590</xdr:rowOff>
    </xdr:from>
    <xdr:to>
      <xdr:col>12</xdr:col>
      <xdr:colOff>411632</xdr:colOff>
      <xdr:row>32</xdr:row>
      <xdr:rowOff>95623</xdr:rowOff>
    </xdr:to>
    <xdr:sp macro="" textlink="">
      <xdr:nvSpPr>
        <xdr:cNvPr id="11" name="Rectangle 36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9401175" y="5610225"/>
          <a:ext cx="1028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 editAs="oneCell">
    <xdr:from>
      <xdr:col>4</xdr:col>
      <xdr:colOff>87083</xdr:colOff>
      <xdr:row>39</xdr:row>
      <xdr:rowOff>26119</xdr:rowOff>
    </xdr:from>
    <xdr:to>
      <xdr:col>4</xdr:col>
      <xdr:colOff>807083</xdr:colOff>
      <xdr:row>40</xdr:row>
      <xdr:rowOff>124671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296E3F1-DBCF-4D1A-A8F5-60A39BE5D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769" y="6584762"/>
          <a:ext cx="720000" cy="256395"/>
        </a:xfrm>
        <a:prstGeom prst="rect">
          <a:avLst/>
        </a:prstGeom>
      </xdr:spPr>
    </xdr:pic>
    <xdr:clientData/>
  </xdr:twoCellAnchor>
  <xdr:twoCellAnchor editAs="oneCell">
    <xdr:from>
      <xdr:col>9</xdr:col>
      <xdr:colOff>83005</xdr:colOff>
      <xdr:row>39</xdr:row>
      <xdr:rowOff>34699</xdr:rowOff>
    </xdr:from>
    <xdr:to>
      <xdr:col>9</xdr:col>
      <xdr:colOff>803005</xdr:colOff>
      <xdr:row>40</xdr:row>
      <xdr:rowOff>130526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A3EB4477-E6C1-44E2-8B1D-DA65CC49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3862" y="6593342"/>
          <a:ext cx="720000" cy="25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5443</xdr:colOff>
      <xdr:row>39</xdr:row>
      <xdr:rowOff>25854</xdr:rowOff>
    </xdr:from>
    <xdr:to>
      <xdr:col>17</xdr:col>
      <xdr:colOff>725443</xdr:colOff>
      <xdr:row>40</xdr:row>
      <xdr:rowOff>131486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B9A2E761-6064-4B5F-A673-5547FF99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0543" y="6584497"/>
          <a:ext cx="720000" cy="263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AGRI/TalousAGRI%20p&#228;ivitykset%202019/TalousAGRI%20Yl&#228;-Savo%201910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et"/>
      <sheetName val="T1 Taloussuunnitelma"/>
      <sheetName val="T2 Investoinnit, rahoitus"/>
      <sheetName val="T3 Kustannukset"/>
      <sheetName val="Taul1"/>
      <sheetName val="aputaulu"/>
      <sheetName val="Lainalaskurit"/>
      <sheetName val="Taul2"/>
    </sheetNames>
    <sheetDataSet>
      <sheetData sheetId="0">
        <row r="2">
          <cell r="B2">
            <v>44147</v>
          </cell>
        </row>
      </sheetData>
      <sheetData sheetId="1"/>
      <sheetData sheetId="2">
        <row r="3">
          <cell r="B3">
            <v>0</v>
          </cell>
        </row>
      </sheetData>
      <sheetData sheetId="3">
        <row r="8">
          <cell r="D8">
            <v>2019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7"/>
  <sheetViews>
    <sheetView showGridLines="0" tabSelected="1" zoomScaleNormal="100" workbookViewId="0">
      <selection activeCell="B42" sqref="B42"/>
    </sheetView>
  </sheetViews>
  <sheetFormatPr defaultRowHeight="12.45"/>
  <cols>
    <col min="1" max="1" width="31" customWidth="1"/>
    <col min="2" max="2" width="10.53515625" customWidth="1"/>
    <col min="5" max="5" width="9.07421875" customWidth="1"/>
    <col min="6" max="6" width="4.3046875" customWidth="1"/>
    <col min="8" max="8" width="10.07421875" customWidth="1"/>
  </cols>
  <sheetData>
    <row r="1" spans="1:7" ht="20.25" customHeight="1"/>
    <row r="2" spans="1:7">
      <c r="A2" s="262"/>
      <c r="B2" s="264"/>
      <c r="C2" s="79"/>
    </row>
    <row r="3" spans="1:7">
      <c r="A3" s="661"/>
      <c r="B3" s="662"/>
      <c r="C3" s="662"/>
      <c r="D3" s="662"/>
      <c r="E3" s="662"/>
      <c r="F3" s="272"/>
      <c r="G3" s="272"/>
    </row>
    <row r="4" spans="1:7">
      <c r="A4" s="661"/>
      <c r="B4" s="662"/>
      <c r="C4" s="662"/>
      <c r="D4" s="662"/>
      <c r="E4" s="662"/>
    </row>
    <row r="5" spans="1:7" ht="15.45">
      <c r="B5" s="668"/>
      <c r="C5" s="668"/>
      <c r="D5" s="668"/>
    </row>
    <row r="6" spans="1:7" ht="6" customHeight="1">
      <c r="B6" s="668" t="s">
        <v>0</v>
      </c>
      <c r="C6" s="668"/>
      <c r="D6" s="668"/>
    </row>
    <row r="7" spans="1:7" ht="6" customHeight="1"/>
    <row r="8" spans="1:7" ht="6" customHeight="1"/>
    <row r="15" spans="1:7">
      <c r="B15" s="71"/>
      <c r="C15" s="71"/>
    </row>
    <row r="16" spans="1:7" ht="15.45">
      <c r="B16" s="669" t="s">
        <v>0</v>
      </c>
      <c r="C16" s="669"/>
      <c r="D16" s="669"/>
    </row>
    <row r="17" spans="1:9">
      <c r="B17" s="667"/>
      <c r="C17" s="667"/>
      <c r="D17" s="667"/>
    </row>
    <row r="18" spans="1:9" ht="15.45">
      <c r="D18" s="263"/>
    </row>
    <row r="19" spans="1:9">
      <c r="A19" s="96"/>
      <c r="E19" s="19"/>
    </row>
    <row r="20" spans="1:9">
      <c r="E20" s="19"/>
    </row>
    <row r="21" spans="1:9">
      <c r="A21" s="96"/>
      <c r="E21" s="137"/>
      <c r="F21" s="117"/>
      <c r="G21" s="15"/>
      <c r="I21" s="251"/>
    </row>
    <row r="22" spans="1:9">
      <c r="A22" s="2"/>
      <c r="B22" s="665" t="s">
        <v>173</v>
      </c>
      <c r="C22" s="665"/>
      <c r="D22" s="665"/>
      <c r="E22" s="665"/>
    </row>
    <row r="23" spans="1:9" ht="15.45">
      <c r="A23" s="96"/>
      <c r="B23" s="666" t="s">
        <v>172</v>
      </c>
      <c r="C23" s="666"/>
      <c r="D23" s="666"/>
      <c r="E23" s="666"/>
    </row>
    <row r="24" spans="1:9">
      <c r="A24" s="96"/>
    </row>
    <row r="26" spans="1:9">
      <c r="A26" s="96"/>
      <c r="F26" s="71"/>
    </row>
    <row r="27" spans="1:9">
      <c r="A27" s="2"/>
      <c r="B27" s="71"/>
    </row>
    <row r="28" spans="1:9" ht="15.45">
      <c r="A28" s="2"/>
      <c r="B28" s="664"/>
      <c r="C28" s="664"/>
      <c r="D28" s="664"/>
    </row>
    <row r="29" spans="1:9">
      <c r="A29" s="96"/>
      <c r="B29" s="663"/>
      <c r="C29" s="663"/>
      <c r="D29" s="663"/>
    </row>
    <row r="31" spans="1:9">
      <c r="A31" s="96"/>
      <c r="B31" s="663"/>
      <c r="C31" s="663"/>
      <c r="D31" s="663"/>
    </row>
    <row r="32" spans="1:9">
      <c r="A32" s="2"/>
      <c r="B32" s="663"/>
      <c r="C32" s="663"/>
      <c r="D32" s="663"/>
    </row>
    <row r="33" spans="1:10">
      <c r="B33" s="663"/>
      <c r="C33" s="663"/>
      <c r="D33" s="663"/>
    </row>
    <row r="34" spans="1:10">
      <c r="A34" s="96"/>
      <c r="F34" s="1"/>
    </row>
    <row r="35" spans="1:10" ht="15">
      <c r="C35" s="72"/>
    </row>
    <row r="36" spans="1:10">
      <c r="A36" s="96"/>
    </row>
    <row r="37" spans="1:10">
      <c r="A37" s="2"/>
    </row>
    <row r="38" spans="1:10">
      <c r="A38" s="79" t="s">
        <v>310</v>
      </c>
      <c r="B38" s="2"/>
      <c r="C38" s="79" t="s">
        <v>311</v>
      </c>
      <c r="E38" s="654" t="s">
        <v>312</v>
      </c>
      <c r="F38" s="79"/>
      <c r="G38" s="79"/>
      <c r="H38" s="79"/>
      <c r="I38" s="79"/>
      <c r="J38" s="79"/>
    </row>
    <row r="40" spans="1:10">
      <c r="A40" s="2" t="s">
        <v>295</v>
      </c>
      <c r="B40" s="829">
        <v>45689</v>
      </c>
      <c r="C40" s="30"/>
      <c r="D40" s="660" t="s">
        <v>294</v>
      </c>
      <c r="E40" s="660"/>
      <c r="F40" s="660"/>
      <c r="G40" s="660"/>
      <c r="H40" s="660"/>
      <c r="I40" s="660"/>
    </row>
    <row r="41" spans="1:10" ht="12.65" customHeight="1"/>
    <row r="67" spans="6:8">
      <c r="F67" t="s">
        <v>140</v>
      </c>
      <c r="H67" s="9">
        <f ca="1">TODAY()</f>
        <v>45327</v>
      </c>
    </row>
  </sheetData>
  <sheetProtection algorithmName="SHA-512" hashValue="fdiCnUAV8ski5/eSecBZSAesIpfzrQHYWJm5L9eiSnWh2m6ocYuN2Rv2aEZuohPh2fz2k2MheVtxAJzhkoL4FA==" saltValue="H0IEyDYpqoZ23gIdBCAirg==" spinCount="100000" sheet="1" objects="1" scenarios="1" selectLockedCells="1" selectUnlockedCells="1"/>
  <mergeCells count="14">
    <mergeCell ref="D40:I40"/>
    <mergeCell ref="A3:A4"/>
    <mergeCell ref="B3:E4"/>
    <mergeCell ref="B31:D31"/>
    <mergeCell ref="B32:D32"/>
    <mergeCell ref="B33:D33"/>
    <mergeCell ref="B28:D28"/>
    <mergeCell ref="B29:D29"/>
    <mergeCell ref="B22:E22"/>
    <mergeCell ref="B23:E23"/>
    <mergeCell ref="B17:D17"/>
    <mergeCell ref="B5:D5"/>
    <mergeCell ref="B6:D6"/>
    <mergeCell ref="B16:D16"/>
  </mergeCells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2:U91"/>
  <sheetViews>
    <sheetView showGridLines="0" showZeros="0" defaultGridColor="0" colorId="55" zoomScaleNormal="100" workbookViewId="0">
      <selection activeCell="Y46" sqref="Y46"/>
    </sheetView>
  </sheetViews>
  <sheetFormatPr defaultRowHeight="12.45"/>
  <cols>
    <col min="2" max="2" width="2.84375" customWidth="1"/>
    <col min="3" max="3" width="21.23046875" customWidth="1"/>
    <col min="4" max="4" width="7.4609375" customWidth="1"/>
    <col min="5" max="5" width="9" customWidth="1"/>
    <col min="6" max="6" width="6" customWidth="1"/>
    <col min="7" max="7" width="9" customWidth="1"/>
    <col min="8" max="8" width="5.53515625" customWidth="1"/>
    <col min="9" max="9" width="9.69140625" customWidth="1"/>
    <col min="10" max="10" width="6" customWidth="1"/>
    <col min="11" max="11" width="9" customWidth="1"/>
    <col min="12" max="12" width="6" customWidth="1"/>
    <col min="13" max="13" width="9" customWidth="1"/>
    <col min="14" max="14" width="6" customWidth="1"/>
    <col min="15" max="15" width="9" customWidth="1"/>
    <col min="16" max="16" width="6" customWidth="1"/>
    <col min="17" max="17" width="9" customWidth="1"/>
    <col min="18" max="18" width="6" customWidth="1"/>
    <col min="19" max="19" width="9" customWidth="1"/>
    <col min="20" max="20" width="6" customWidth="1"/>
    <col min="21" max="21" width="3.53515625" customWidth="1"/>
  </cols>
  <sheetData>
    <row r="2" spans="1:21">
      <c r="U2" s="206"/>
    </row>
    <row r="3" spans="1:21">
      <c r="U3" s="207"/>
    </row>
    <row r="4" spans="1:21" ht="12" customHeight="1">
      <c r="B4" s="42" t="s">
        <v>186</v>
      </c>
      <c r="C4" s="42"/>
      <c r="D4" s="42"/>
      <c r="E4" s="42" t="s">
        <v>45</v>
      </c>
      <c r="F4" s="42"/>
      <c r="G4" s="42"/>
      <c r="H4" s="42"/>
      <c r="I4" s="42"/>
      <c r="J4" s="42" t="s">
        <v>44</v>
      </c>
      <c r="K4" s="42" t="s">
        <v>0</v>
      </c>
      <c r="L4" s="42"/>
      <c r="M4" s="42" t="s">
        <v>73</v>
      </c>
      <c r="N4" s="42"/>
      <c r="O4" s="42"/>
      <c r="P4" s="42"/>
      <c r="Q4" s="42"/>
      <c r="R4" s="42"/>
      <c r="S4" s="42"/>
      <c r="U4" s="207"/>
    </row>
    <row r="5" spans="1:21" ht="12.75" customHeight="1">
      <c r="A5" s="266"/>
      <c r="B5" s="706">
        <v>0</v>
      </c>
      <c r="C5" s="707"/>
      <c r="D5" s="707"/>
      <c r="E5" s="706">
        <v>0</v>
      </c>
      <c r="F5" s="706"/>
      <c r="G5" s="706"/>
      <c r="H5" s="706"/>
      <c r="I5" s="657"/>
      <c r="J5" s="721">
        <v>0</v>
      </c>
      <c r="K5" s="721"/>
      <c r="L5" s="656"/>
      <c r="M5" s="721">
        <v>0</v>
      </c>
      <c r="N5" s="722"/>
      <c r="O5" s="722"/>
      <c r="P5" s="722"/>
      <c r="Q5" s="722"/>
      <c r="R5" s="722"/>
      <c r="S5" s="722"/>
      <c r="T5" s="722"/>
      <c r="U5" s="208"/>
    </row>
    <row r="6" spans="1:21" ht="12" customHeight="1" thickBot="1">
      <c r="A6" s="79"/>
      <c r="B6" s="2"/>
      <c r="C6" s="79"/>
      <c r="D6" s="79"/>
    </row>
    <row r="7" spans="1:21" ht="12" customHeight="1">
      <c r="B7" s="811" t="s">
        <v>85</v>
      </c>
      <c r="C7" s="812"/>
      <c r="D7" s="812"/>
      <c r="E7" s="672" t="s">
        <v>78</v>
      </c>
      <c r="F7" s="672"/>
      <c r="G7" s="672" t="s">
        <v>4</v>
      </c>
      <c r="H7" s="672"/>
      <c r="I7" s="672" t="s">
        <v>21</v>
      </c>
      <c r="J7" s="672"/>
      <c r="K7" s="672" t="s">
        <v>18</v>
      </c>
      <c r="L7" s="672"/>
      <c r="M7" s="672" t="s">
        <v>25</v>
      </c>
      <c r="N7" s="672"/>
      <c r="O7" s="672" t="s">
        <v>26</v>
      </c>
      <c r="P7" s="672"/>
      <c r="Q7" s="672" t="s">
        <v>27</v>
      </c>
      <c r="R7" s="672"/>
      <c r="S7" s="672" t="s">
        <v>33</v>
      </c>
      <c r="T7" s="672"/>
    </row>
    <row r="8" spans="1:21" ht="12" customHeight="1" thickBot="1">
      <c r="B8" s="813"/>
      <c r="C8" s="813"/>
      <c r="D8" s="813"/>
      <c r="E8" s="719">
        <v>2023</v>
      </c>
      <c r="F8" s="719"/>
      <c r="G8" s="676">
        <f>E8+1</f>
        <v>2024</v>
      </c>
      <c r="H8" s="676"/>
      <c r="I8" s="676">
        <f>G8+1</f>
        <v>2025</v>
      </c>
      <c r="J8" s="676"/>
      <c r="K8" s="676">
        <f>I8+1</f>
        <v>2026</v>
      </c>
      <c r="L8" s="676"/>
      <c r="M8" s="676">
        <f>K8+1</f>
        <v>2027</v>
      </c>
      <c r="N8" s="676"/>
      <c r="O8" s="676">
        <f>M8+1</f>
        <v>2028</v>
      </c>
      <c r="P8" s="676"/>
      <c r="Q8" s="676">
        <f>O8+1</f>
        <v>2029</v>
      </c>
      <c r="R8" s="676"/>
      <c r="S8" s="676">
        <f>Q8+1</f>
        <v>2030</v>
      </c>
      <c r="T8" s="676"/>
    </row>
    <row r="9" spans="1:21" ht="12" customHeight="1">
      <c r="B9" s="277" t="s">
        <v>8</v>
      </c>
      <c r="C9" s="716" t="s">
        <v>210</v>
      </c>
      <c r="D9" s="717"/>
      <c r="E9" s="684">
        <v>0</v>
      </c>
      <c r="F9" s="684"/>
      <c r="G9" s="720">
        <f>G10+G11</f>
        <v>0</v>
      </c>
      <c r="H9" s="720"/>
      <c r="I9" s="720">
        <f>I10+I11</f>
        <v>0</v>
      </c>
      <c r="J9" s="720"/>
      <c r="K9" s="720">
        <f>K10+K11</f>
        <v>0</v>
      </c>
      <c r="L9" s="720"/>
      <c r="M9" s="720">
        <f>M10+M11</f>
        <v>0</v>
      </c>
      <c r="N9" s="720"/>
      <c r="O9" s="720">
        <f>O10+O11</f>
        <v>0</v>
      </c>
      <c r="P9" s="720"/>
      <c r="Q9" s="720">
        <f>Q10+Q11</f>
        <v>0</v>
      </c>
      <c r="R9" s="720"/>
      <c r="S9" s="720">
        <f>S10+S11</f>
        <v>0</v>
      </c>
      <c r="T9" s="720"/>
    </row>
    <row r="10" spans="1:21" s="3" customFormat="1" ht="12" customHeight="1">
      <c r="A10"/>
      <c r="B10" s="280"/>
      <c r="C10" s="278" t="s">
        <v>80</v>
      </c>
      <c r="D10" s="279" t="s">
        <v>79</v>
      </c>
      <c r="E10" s="684"/>
      <c r="F10" s="684"/>
      <c r="G10" s="688">
        <f>'T2 Investoinnit, rahoitus'!F20</f>
        <v>0</v>
      </c>
      <c r="H10" s="689"/>
      <c r="I10" s="688">
        <f>'T2 Investoinnit, rahoitus'!G20</f>
        <v>0</v>
      </c>
      <c r="J10" s="689"/>
      <c r="K10" s="688">
        <f>'T2 Investoinnit, rahoitus'!H20</f>
        <v>0</v>
      </c>
      <c r="L10" s="689"/>
      <c r="M10" s="688">
        <f>'T2 Investoinnit, rahoitus'!I20</f>
        <v>0</v>
      </c>
      <c r="N10" s="689"/>
      <c r="O10" s="688">
        <f>'T2 Investoinnit, rahoitus'!J20</f>
        <v>0</v>
      </c>
      <c r="P10" s="689"/>
      <c r="Q10" s="688">
        <f>'T2 Investoinnit, rahoitus'!K20</f>
        <v>0</v>
      </c>
      <c r="R10" s="689"/>
      <c r="S10" s="688">
        <f>'T2 Investoinnit, rahoitus'!L20</f>
        <v>0</v>
      </c>
      <c r="T10" s="689"/>
    </row>
    <row r="11" spans="1:21" s="3" customFormat="1" ht="12" customHeight="1">
      <c r="A11" s="2"/>
      <c r="B11" s="280"/>
      <c r="C11" s="278" t="s">
        <v>183</v>
      </c>
      <c r="D11" s="279" t="s">
        <v>197</v>
      </c>
      <c r="E11" s="684"/>
      <c r="F11" s="684"/>
      <c r="G11" s="688">
        <f>'T2 Investoinnit, rahoitus'!F10</f>
        <v>0</v>
      </c>
      <c r="H11" s="689"/>
      <c r="I11" s="688">
        <f>'T2 Investoinnit, rahoitus'!G10</f>
        <v>0</v>
      </c>
      <c r="J11" s="689"/>
      <c r="K11" s="688">
        <f>'T2 Investoinnit, rahoitus'!H10</f>
        <v>0</v>
      </c>
      <c r="L11" s="689"/>
      <c r="M11" s="688">
        <f>'T2 Investoinnit, rahoitus'!I10</f>
        <v>0</v>
      </c>
      <c r="N11" s="689"/>
      <c r="O11" s="688">
        <f>'T2 Investoinnit, rahoitus'!J10</f>
        <v>0</v>
      </c>
      <c r="P11" s="689"/>
      <c r="Q11" s="688">
        <f>'T2 Investoinnit, rahoitus'!K10</f>
        <v>0</v>
      </c>
      <c r="R11" s="689"/>
      <c r="S11" s="688">
        <f>'T2 Investoinnit, rahoitus'!L10</f>
        <v>0</v>
      </c>
      <c r="T11" s="689"/>
    </row>
    <row r="12" spans="1:21" ht="12" customHeight="1">
      <c r="A12" s="96"/>
      <c r="B12" s="280" t="s">
        <v>9</v>
      </c>
      <c r="C12" s="278" t="s">
        <v>211</v>
      </c>
      <c r="D12" s="279" t="s">
        <v>197</v>
      </c>
      <c r="E12" s="684"/>
      <c r="F12" s="684"/>
      <c r="G12" s="688">
        <f>'T2 Investoinnit, rahoitus'!F16</f>
        <v>0</v>
      </c>
      <c r="H12" s="689"/>
      <c r="I12" s="688">
        <f>'T2 Investoinnit, rahoitus'!G16</f>
        <v>0</v>
      </c>
      <c r="J12" s="689"/>
      <c r="K12" s="688">
        <f>'T2 Investoinnit, rahoitus'!H16</f>
        <v>0</v>
      </c>
      <c r="L12" s="689"/>
      <c r="M12" s="688">
        <f>'T2 Investoinnit, rahoitus'!I16</f>
        <v>0</v>
      </c>
      <c r="N12" s="689"/>
      <c r="O12" s="688">
        <f>'T2 Investoinnit, rahoitus'!J16</f>
        <v>0</v>
      </c>
      <c r="P12" s="689"/>
      <c r="Q12" s="688">
        <f>'T2 Investoinnit, rahoitus'!K16</f>
        <v>0</v>
      </c>
      <c r="R12" s="689"/>
      <c r="S12" s="688">
        <f>'T2 Investoinnit, rahoitus'!L16</f>
        <v>0</v>
      </c>
      <c r="T12" s="689"/>
    </row>
    <row r="13" spans="1:21" ht="12" customHeight="1">
      <c r="A13" s="96"/>
      <c r="B13" s="280" t="s">
        <v>10</v>
      </c>
      <c r="C13" s="281" t="s">
        <v>212</v>
      </c>
      <c r="D13" s="279" t="s">
        <v>197</v>
      </c>
      <c r="E13" s="684"/>
      <c r="F13" s="684"/>
      <c r="G13" s="690">
        <f>'T2 Investoinnit, rahoitus'!F22</f>
        <v>0</v>
      </c>
      <c r="H13" s="690"/>
      <c r="I13" s="690">
        <f>'T2 Investoinnit, rahoitus'!H22</f>
        <v>0</v>
      </c>
      <c r="J13" s="690"/>
      <c r="K13" s="690">
        <f>'T2 Investoinnit, rahoitus'!J22</f>
        <v>0</v>
      </c>
      <c r="L13" s="690"/>
      <c r="M13" s="690">
        <f>'T2 Investoinnit, rahoitus'!L22</f>
        <v>0</v>
      </c>
      <c r="N13" s="690"/>
      <c r="O13" s="690">
        <f>'T2 Investoinnit, rahoitus'!N22</f>
        <v>0</v>
      </c>
      <c r="P13" s="690"/>
      <c r="Q13" s="690">
        <f>'T2 Investoinnit, rahoitus'!P22</f>
        <v>0</v>
      </c>
      <c r="R13" s="690"/>
      <c r="S13" s="690">
        <f>'T2 Investoinnit, rahoitus'!R22</f>
        <v>0</v>
      </c>
      <c r="T13" s="690"/>
    </row>
    <row r="14" spans="1:21" ht="12" customHeight="1">
      <c r="B14" s="280" t="s">
        <v>11</v>
      </c>
      <c r="C14" s="698" t="s">
        <v>213</v>
      </c>
      <c r="D14" s="699"/>
      <c r="E14" s="677"/>
      <c r="F14" s="677"/>
      <c r="G14" s="675">
        <f>'T2 Investoinnit, rahoitus'!F24</f>
        <v>0</v>
      </c>
      <c r="H14" s="675"/>
      <c r="I14" s="675">
        <f>'T2 Investoinnit, rahoitus'!G24</f>
        <v>0</v>
      </c>
      <c r="J14" s="675"/>
      <c r="K14" s="675">
        <f>'T2 Investoinnit, rahoitus'!H24</f>
        <v>0</v>
      </c>
      <c r="L14" s="675"/>
      <c r="M14" s="675">
        <f>'T2 Investoinnit, rahoitus'!I24</f>
        <v>0</v>
      </c>
      <c r="N14" s="675"/>
      <c r="O14" s="675">
        <f>'T2 Investoinnit, rahoitus'!J24</f>
        <v>0</v>
      </c>
      <c r="P14" s="675"/>
      <c r="Q14" s="675">
        <f>'T2 Investoinnit, rahoitus'!K24</f>
        <v>0</v>
      </c>
      <c r="R14" s="675"/>
      <c r="S14" s="675">
        <f>'T2 Investoinnit, rahoitus'!L24</f>
        <v>0</v>
      </c>
      <c r="T14" s="675"/>
    </row>
    <row r="15" spans="1:21" ht="12" customHeight="1" thickBot="1">
      <c r="A15" s="96"/>
      <c r="B15" s="286" t="s">
        <v>12</v>
      </c>
      <c r="C15" s="700" t="s">
        <v>214</v>
      </c>
      <c r="D15" s="701"/>
      <c r="E15" s="686">
        <f>E9+E12+E13</f>
        <v>0</v>
      </c>
      <c r="F15" s="687"/>
      <c r="G15" s="673">
        <f>G9+G12+G13+G14</f>
        <v>0</v>
      </c>
      <c r="H15" s="674"/>
      <c r="I15" s="673">
        <f>I9+I12+I13+I14</f>
        <v>0</v>
      </c>
      <c r="J15" s="674"/>
      <c r="K15" s="673">
        <f>K9+K12+K13+K14</f>
        <v>0</v>
      </c>
      <c r="L15" s="674"/>
      <c r="M15" s="673">
        <f>M9+M12+M13+M14</f>
        <v>0</v>
      </c>
      <c r="N15" s="674"/>
      <c r="O15" s="673">
        <f>O9+O12+O13+O14</f>
        <v>0</v>
      </c>
      <c r="P15" s="674"/>
      <c r="Q15" s="673">
        <f>Q9+Q12+Q13+Q14</f>
        <v>0</v>
      </c>
      <c r="R15" s="674"/>
      <c r="S15" s="673">
        <f>S9+S12+S13+S14</f>
        <v>0</v>
      </c>
      <c r="T15" s="674"/>
    </row>
    <row r="16" spans="1:21" ht="12" customHeight="1">
      <c r="A16" s="2"/>
      <c r="B16" s="714" t="s">
        <v>84</v>
      </c>
      <c r="C16" s="715"/>
      <c r="D16" s="715"/>
      <c r="E16" s="672" t="s">
        <v>78</v>
      </c>
      <c r="F16" s="672"/>
      <c r="G16" s="672" t="s">
        <v>4</v>
      </c>
      <c r="H16" s="672"/>
      <c r="I16" s="672" t="s">
        <v>21</v>
      </c>
      <c r="J16" s="672"/>
      <c r="K16" s="672" t="s">
        <v>18</v>
      </c>
      <c r="L16" s="672"/>
      <c r="M16" s="672" t="s">
        <v>25</v>
      </c>
      <c r="N16" s="672"/>
      <c r="O16" s="672" t="s">
        <v>26</v>
      </c>
      <c r="P16" s="672"/>
      <c r="Q16" s="672" t="s">
        <v>27</v>
      </c>
      <c r="R16" s="672"/>
      <c r="S16" s="672" t="s">
        <v>33</v>
      </c>
      <c r="T16" s="672"/>
    </row>
    <row r="17" spans="1:20" ht="12" customHeight="1">
      <c r="A17" s="2"/>
      <c r="B17" s="718"/>
      <c r="C17" s="718"/>
      <c r="D17" s="718"/>
      <c r="E17" s="676">
        <f>E8</f>
        <v>2023</v>
      </c>
      <c r="F17" s="676"/>
      <c r="G17" s="676">
        <f>E17+1</f>
        <v>2024</v>
      </c>
      <c r="H17" s="676"/>
      <c r="I17" s="676">
        <f>G17+1</f>
        <v>2025</v>
      </c>
      <c r="J17" s="676"/>
      <c r="K17" s="676">
        <f>I17+1</f>
        <v>2026</v>
      </c>
      <c r="L17" s="676"/>
      <c r="M17" s="676">
        <f>K17+1</f>
        <v>2027</v>
      </c>
      <c r="N17" s="676"/>
      <c r="O17" s="676">
        <f>M17+1</f>
        <v>2028</v>
      </c>
      <c r="P17" s="676"/>
      <c r="Q17" s="676">
        <f>O17+1</f>
        <v>2029</v>
      </c>
      <c r="R17" s="676"/>
      <c r="S17" s="676">
        <f>Q17+1</f>
        <v>2030</v>
      </c>
      <c r="T17" s="676"/>
    </row>
    <row r="18" spans="1:20" ht="12" customHeight="1">
      <c r="A18" s="96"/>
      <c r="B18" s="280" t="s">
        <v>13</v>
      </c>
      <c r="C18" s="282" t="s">
        <v>215</v>
      </c>
      <c r="D18" s="66"/>
      <c r="E18" s="684"/>
      <c r="F18" s="685"/>
      <c r="G18" s="688">
        <f>'T2 Investoinnit, rahoitus'!F28+'T2 Investoinnit, rahoitus'!F34+'T2 Investoinnit, rahoitus'!F40+'T2 Investoinnit, rahoitus'!F46+'T2 Investoinnit, rahoitus'!F52+'T2 Investoinnit, rahoitus'!F59+'T2 Investoinnit, rahoitus'!F66+'T2 Investoinnit, rahoitus'!F73</f>
        <v>0</v>
      </c>
      <c r="H18" s="689"/>
      <c r="I18" s="688">
        <f>'T2 Investoinnit, rahoitus'!G28+'T2 Investoinnit, rahoitus'!G34+'T2 Investoinnit, rahoitus'!G40+'T2 Investoinnit, rahoitus'!G46+'T2 Investoinnit, rahoitus'!G59+'T2 Investoinnit, rahoitus'!G66+'T2 Investoinnit, rahoitus'!G73</f>
        <v>0</v>
      </c>
      <c r="J18" s="689"/>
      <c r="K18" s="688">
        <f>'T2 Investoinnit, rahoitus'!H28+'T2 Investoinnit, rahoitus'!H34+'T2 Investoinnit, rahoitus'!H40+'T2 Investoinnit, rahoitus'!H46+'T2 Investoinnit, rahoitus'!H52+'T2 Investoinnit, rahoitus'!H59+'T2 Investoinnit, rahoitus'!H66+'T2 Investoinnit, rahoitus'!H73</f>
        <v>0</v>
      </c>
      <c r="L18" s="689"/>
      <c r="M18" s="688">
        <f>'T2 Investoinnit, rahoitus'!I28+'T2 Investoinnit, rahoitus'!I34+'T2 Investoinnit, rahoitus'!I40+'T2 Investoinnit, rahoitus'!I46+'T2 Investoinnit, rahoitus'!I52+'T2 Investoinnit, rahoitus'!I59+'T2 Investoinnit, rahoitus'!I66+'T2 Investoinnit, rahoitus'!I73</f>
        <v>0</v>
      </c>
      <c r="N18" s="689"/>
      <c r="O18" s="688">
        <f>'T2 Investoinnit, rahoitus'!J28+'T2 Investoinnit, rahoitus'!J34+'T2 Investoinnit, rahoitus'!J40+'T2 Investoinnit, rahoitus'!J46+'T2 Investoinnit, rahoitus'!J52+'T2 Investoinnit, rahoitus'!J59+'T2 Investoinnit, rahoitus'!J66+'T2 Investoinnit, rahoitus'!J73</f>
        <v>0</v>
      </c>
      <c r="P18" s="689"/>
      <c r="Q18" s="688">
        <f>'T2 Investoinnit, rahoitus'!K28+'T2 Investoinnit, rahoitus'!K34+'T2 Investoinnit, rahoitus'!K40+'T2 Investoinnit, rahoitus'!K46+'T2 Investoinnit, rahoitus'!K52+'T2 Investoinnit, rahoitus'!K59+'T2 Investoinnit, rahoitus'!K66+'T2 Investoinnit, rahoitus'!K73</f>
        <v>0</v>
      </c>
      <c r="R18" s="689"/>
      <c r="S18" s="688">
        <f>'T2 Investoinnit, rahoitus'!L28+'T2 Investoinnit, rahoitus'!L34+'T2 Investoinnit, rahoitus'!L40+'T2 Investoinnit, rahoitus'!L46+'T2 Investoinnit, rahoitus'!L52+'T2 Investoinnit, rahoitus'!L59+'T2 Investoinnit, rahoitus'!L66+'T2 Investoinnit, rahoitus'!L73</f>
        <v>0</v>
      </c>
      <c r="T18" s="689"/>
    </row>
    <row r="19" spans="1:20" ht="12" customHeight="1">
      <c r="B19" s="280" t="s">
        <v>14</v>
      </c>
      <c r="C19" s="282" t="s">
        <v>216</v>
      </c>
      <c r="D19" s="66"/>
      <c r="E19" s="684"/>
      <c r="F19" s="685"/>
      <c r="G19" s="688">
        <f>'T2 Investoinnit, rahoitus'!F81</f>
        <v>0</v>
      </c>
      <c r="H19" s="689"/>
      <c r="I19" s="688">
        <f>'T2 Investoinnit, rahoitus'!G81</f>
        <v>0</v>
      </c>
      <c r="J19" s="689"/>
      <c r="K19" s="688">
        <f>'T2 Investoinnit, rahoitus'!H81</f>
        <v>0</v>
      </c>
      <c r="L19" s="689"/>
      <c r="M19" s="688">
        <f>'T2 Investoinnit, rahoitus'!I81</f>
        <v>0</v>
      </c>
      <c r="N19" s="689"/>
      <c r="O19" s="688">
        <f>'T2 Investoinnit, rahoitus'!J81</f>
        <v>0</v>
      </c>
      <c r="P19" s="689"/>
      <c r="Q19" s="688">
        <f>'T2 Investoinnit, rahoitus'!K81</f>
        <v>0</v>
      </c>
      <c r="R19" s="689"/>
      <c r="S19" s="688">
        <f>'T2 Investoinnit, rahoitus'!L81</f>
        <v>0</v>
      </c>
      <c r="T19" s="689"/>
    </row>
    <row r="20" spans="1:20" ht="12" customHeight="1">
      <c r="A20" s="96"/>
      <c r="B20" s="280" t="s">
        <v>15</v>
      </c>
      <c r="C20" s="282" t="s">
        <v>217</v>
      </c>
      <c r="D20" s="66"/>
      <c r="E20" s="684"/>
      <c r="F20" s="684"/>
      <c r="G20" s="688">
        <f>'T2 Investoinnit, rahoitus'!F82</f>
        <v>0</v>
      </c>
      <c r="H20" s="689"/>
      <c r="I20" s="688">
        <f>'T2 Investoinnit, rahoitus'!G82</f>
        <v>0</v>
      </c>
      <c r="J20" s="689"/>
      <c r="K20" s="688">
        <f>'T2 Investoinnit, rahoitus'!H82</f>
        <v>0</v>
      </c>
      <c r="L20" s="689"/>
      <c r="M20" s="688">
        <f>'T2 Investoinnit, rahoitus'!I82</f>
        <v>0</v>
      </c>
      <c r="N20" s="689"/>
      <c r="O20" s="688">
        <f>'T2 Investoinnit, rahoitus'!J82</f>
        <v>0</v>
      </c>
      <c r="P20" s="689"/>
      <c r="Q20" s="688">
        <f>'T2 Investoinnit, rahoitus'!K82</f>
        <v>0</v>
      </c>
      <c r="R20" s="689"/>
      <c r="S20" s="688">
        <f>'T2 Investoinnit, rahoitus'!L82</f>
        <v>0</v>
      </c>
      <c r="T20" s="689"/>
    </row>
    <row r="21" spans="1:20" ht="12" customHeight="1">
      <c r="A21" s="2"/>
      <c r="B21" s="280" t="s">
        <v>16</v>
      </c>
      <c r="C21" s="282" t="s">
        <v>218</v>
      </c>
      <c r="D21" s="66"/>
      <c r="E21" s="684"/>
      <c r="F21" s="685"/>
      <c r="G21" s="688">
        <f>'T2 Investoinnit, rahoitus'!F83</f>
        <v>0</v>
      </c>
      <c r="H21" s="689"/>
      <c r="I21" s="688">
        <f>'T2 Investoinnit, rahoitus'!G83</f>
        <v>0</v>
      </c>
      <c r="J21" s="689"/>
      <c r="K21" s="688">
        <f>'T2 Investoinnit, rahoitus'!H83</f>
        <v>0</v>
      </c>
      <c r="L21" s="689"/>
      <c r="M21" s="688">
        <f>'T2 Investoinnit, rahoitus'!I83</f>
        <v>0</v>
      </c>
      <c r="N21" s="689"/>
      <c r="O21" s="688">
        <f>'T2 Investoinnit, rahoitus'!J83</f>
        <v>0</v>
      </c>
      <c r="P21" s="689"/>
      <c r="Q21" s="688">
        <f>'T2 Investoinnit, rahoitus'!K83</f>
        <v>0</v>
      </c>
      <c r="R21" s="689"/>
      <c r="S21" s="688">
        <f>'T2 Investoinnit, rahoitus'!L83</f>
        <v>0</v>
      </c>
      <c r="T21" s="689"/>
    </row>
    <row r="22" spans="1:20" ht="12" customHeight="1" thickBot="1">
      <c r="B22" s="286" t="s">
        <v>17</v>
      </c>
      <c r="C22" s="283" t="s">
        <v>214</v>
      </c>
      <c r="D22" s="67"/>
      <c r="E22" s="686"/>
      <c r="F22" s="687"/>
      <c r="G22" s="673">
        <f>SUM(G18:H21)</f>
        <v>0</v>
      </c>
      <c r="H22" s="674"/>
      <c r="I22" s="673">
        <f>SUM(I18:J21)</f>
        <v>0</v>
      </c>
      <c r="J22" s="674"/>
      <c r="K22" s="673">
        <f>SUM(K18:L21)</f>
        <v>0</v>
      </c>
      <c r="L22" s="674"/>
      <c r="M22" s="673">
        <f>SUM(M18:N21)</f>
        <v>0</v>
      </c>
      <c r="N22" s="674"/>
      <c r="O22" s="673">
        <f>SUM(O18:P21)</f>
        <v>0</v>
      </c>
      <c r="P22" s="674"/>
      <c r="Q22" s="673">
        <f>SUM(Q18:R21)</f>
        <v>0</v>
      </c>
      <c r="R22" s="674"/>
      <c r="S22" s="673">
        <f>SUM(S18:T21)</f>
        <v>0</v>
      </c>
      <c r="T22" s="674"/>
    </row>
    <row r="23" spans="1:20" ht="12" customHeight="1" thickBot="1">
      <c r="A23" s="96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12" customHeight="1">
      <c r="B24" s="708" t="s">
        <v>179</v>
      </c>
      <c r="C24" s="709"/>
      <c r="D24" s="710"/>
      <c r="E24" s="682" t="s">
        <v>78</v>
      </c>
      <c r="F24" s="683"/>
      <c r="G24" s="682" t="s">
        <v>4</v>
      </c>
      <c r="H24" s="683"/>
      <c r="I24" s="682" t="s">
        <v>21</v>
      </c>
      <c r="J24" s="683"/>
      <c r="K24" s="682" t="s">
        <v>18</v>
      </c>
      <c r="L24" s="683"/>
      <c r="M24" s="682" t="s">
        <v>25</v>
      </c>
      <c r="N24" s="683"/>
      <c r="O24" s="682" t="s">
        <v>26</v>
      </c>
      <c r="P24" s="683"/>
      <c r="Q24" s="682" t="s">
        <v>27</v>
      </c>
      <c r="R24" s="683"/>
      <c r="S24" s="682" t="s">
        <v>33</v>
      </c>
      <c r="T24" s="683"/>
    </row>
    <row r="25" spans="1:20" ht="12" customHeight="1" thickBot="1">
      <c r="A25" s="96"/>
      <c r="B25" s="711"/>
      <c r="C25" s="712"/>
      <c r="D25" s="713"/>
      <c r="E25" s="385">
        <f>E8</f>
        <v>2023</v>
      </c>
      <c r="F25" s="386" t="s">
        <v>32</v>
      </c>
      <c r="G25" s="387">
        <f>E25+1</f>
        <v>2024</v>
      </c>
      <c r="H25" s="388" t="s">
        <v>32</v>
      </c>
      <c r="I25" s="387">
        <f>G25+1</f>
        <v>2025</v>
      </c>
      <c r="J25" s="388" t="s">
        <v>32</v>
      </c>
      <c r="K25" s="387">
        <f>I25+1</f>
        <v>2026</v>
      </c>
      <c r="L25" s="388" t="s">
        <v>32</v>
      </c>
      <c r="M25" s="387">
        <f>K25+1</f>
        <v>2027</v>
      </c>
      <c r="N25" s="388" t="s">
        <v>32</v>
      </c>
      <c r="O25" s="387">
        <f>M25+1</f>
        <v>2028</v>
      </c>
      <c r="P25" s="388" t="s">
        <v>32</v>
      </c>
      <c r="Q25" s="387">
        <f>O25+1</f>
        <v>2029</v>
      </c>
      <c r="R25" s="388" t="s">
        <v>32</v>
      </c>
      <c r="S25" s="387">
        <f>Q25+1</f>
        <v>2030</v>
      </c>
      <c r="T25" s="388" t="s">
        <v>32</v>
      </c>
    </row>
    <row r="26" spans="1:20" ht="12" customHeight="1">
      <c r="B26" s="69" t="s">
        <v>8</v>
      </c>
      <c r="C26" s="68" t="s">
        <v>219</v>
      </c>
      <c r="D26" s="284"/>
      <c r="E26" s="423">
        <f>'T4 Tuotanto'!D41</f>
        <v>0</v>
      </c>
      <c r="F26" s="325">
        <f ca="1">IF(E$35=0,0,100*E26/E$35)</f>
        <v>0</v>
      </c>
      <c r="G26" s="424">
        <f ca="1">'T4 Tuotanto'!E41</f>
        <v>0</v>
      </c>
      <c r="H26" s="325">
        <f ca="1">IF(G$35=0,0,G26/G$35*100)</f>
        <v>0</v>
      </c>
      <c r="I26" s="424">
        <f ca="1">'T4 Tuotanto'!F41</f>
        <v>0</v>
      </c>
      <c r="J26" s="325">
        <f ca="1">IF(I$35=0,0,I26/I$35*100)</f>
        <v>0</v>
      </c>
      <c r="K26" s="424">
        <f ca="1">'T4 Tuotanto'!G41</f>
        <v>0</v>
      </c>
      <c r="L26" s="325">
        <f ca="1">IF(K$35=0,0,K26/K$35*100)</f>
        <v>0</v>
      </c>
      <c r="M26" s="424">
        <f ca="1">'T4 Tuotanto'!H41</f>
        <v>0</v>
      </c>
      <c r="N26" s="325">
        <f ca="1">IF(M$35=0,0,M26/M$35*100)</f>
        <v>0</v>
      </c>
      <c r="O26" s="424">
        <f ca="1">'T4 Tuotanto'!I41</f>
        <v>0</v>
      </c>
      <c r="P26" s="325">
        <f ca="1">IF(O$35=0,0,O26/O$35*100)</f>
        <v>0</v>
      </c>
      <c r="Q26" s="424">
        <f ca="1">'T4 Tuotanto'!J41</f>
        <v>0</v>
      </c>
      <c r="R26" s="325">
        <f ca="1">IF(Q$35=0,0,Q26/Q$35*100)</f>
        <v>0</v>
      </c>
      <c r="S26" s="424">
        <f ca="1">'T4 Tuotanto'!K41</f>
        <v>0</v>
      </c>
      <c r="T26" s="325">
        <f ca="1">IF(S$35=0,0,S26/S$35*100)</f>
        <v>0</v>
      </c>
    </row>
    <row r="27" spans="1:20" ht="12" customHeight="1">
      <c r="B27" s="70" t="s">
        <v>9</v>
      </c>
      <c r="C27" s="41" t="s">
        <v>220</v>
      </c>
      <c r="D27" s="66"/>
      <c r="E27" s="425">
        <v>0</v>
      </c>
      <c r="F27" s="325">
        <f ca="1">IF(E$35=0,0,100*E27/E$35)</f>
        <v>0</v>
      </c>
      <c r="G27" s="426">
        <f>'T4 Tuotanto'!E11*G28/100</f>
        <v>0</v>
      </c>
      <c r="H27" s="325">
        <f ca="1">IF(G$35=0,0,100*G27/G$35)</f>
        <v>0</v>
      </c>
      <c r="I27" s="426">
        <f>'T4 Tuotanto'!F11*I28/100</f>
        <v>0</v>
      </c>
      <c r="J27" s="325">
        <f ca="1">IF(I$35=0,0,100*I27/I$35)</f>
        <v>0</v>
      </c>
      <c r="K27" s="426">
        <f>'T4 Tuotanto'!G11*K28/100</f>
        <v>0</v>
      </c>
      <c r="L27" s="325">
        <f ca="1">IF(K$35=0,0,100*K27/K$35)</f>
        <v>0</v>
      </c>
      <c r="M27" s="426">
        <f>'T4 Tuotanto'!H11*M28/100</f>
        <v>0</v>
      </c>
      <c r="N27" s="325">
        <f ca="1">IF(M$35=0,0,100*M27/M$35)</f>
        <v>0</v>
      </c>
      <c r="O27" s="426">
        <f>'T4 Tuotanto'!I11*O28/100</f>
        <v>0</v>
      </c>
      <c r="P27" s="325">
        <f ca="1">IF(O$35=0,0,100*O27/O$35)</f>
        <v>0</v>
      </c>
      <c r="Q27" s="426">
        <f>'T4 Tuotanto'!J11*Q28/100</f>
        <v>0</v>
      </c>
      <c r="R27" s="325">
        <f ca="1">IF(Q$35=0,0,100*Q27/Q$35)</f>
        <v>0</v>
      </c>
      <c r="S27" s="426">
        <f>'T4 Tuotanto'!K11*S28/100</f>
        <v>0</v>
      </c>
      <c r="T27" s="325">
        <f ca="1">IF(S$35=0,0,100*S27/S$35)</f>
        <v>0</v>
      </c>
    </row>
    <row r="28" spans="1:20" s="61" customFormat="1" ht="12" customHeight="1">
      <c r="A28" s="80"/>
      <c r="B28" s="70" t="s">
        <v>0</v>
      </c>
      <c r="C28" s="41" t="s">
        <v>77</v>
      </c>
      <c r="D28" s="66"/>
      <c r="E28" s="427">
        <f>IF('T4 Tuotanto'!D11=0,0,100*E27/'T4 Tuotanto'!D11)</f>
        <v>0</v>
      </c>
      <c r="F28" s="325"/>
      <c r="G28" s="428">
        <f>E28</f>
        <v>0</v>
      </c>
      <c r="H28" s="325"/>
      <c r="I28" s="428">
        <f>G28</f>
        <v>0</v>
      </c>
      <c r="J28" s="325"/>
      <c r="K28" s="428">
        <f>I28</f>
        <v>0</v>
      </c>
      <c r="L28" s="325"/>
      <c r="M28" s="428">
        <f>K28</f>
        <v>0</v>
      </c>
      <c r="N28" s="325"/>
      <c r="O28" s="428">
        <f>M28</f>
        <v>0</v>
      </c>
      <c r="P28" s="325"/>
      <c r="Q28" s="428">
        <f>O28</f>
        <v>0</v>
      </c>
      <c r="R28" s="325"/>
      <c r="S28" s="428">
        <f>Q28</f>
        <v>0</v>
      </c>
      <c r="T28" s="325"/>
    </row>
    <row r="29" spans="1:20" ht="12" customHeight="1">
      <c r="A29" s="80"/>
      <c r="B29" s="70" t="s">
        <v>10</v>
      </c>
      <c r="C29" s="41" t="s">
        <v>221</v>
      </c>
      <c r="D29" s="66"/>
      <c r="E29" s="425">
        <v>0</v>
      </c>
      <c r="F29" s="325">
        <f t="shared" ref="F29:F34" ca="1" si="0">IF(E$35=0,0,100*E29/E$35)</f>
        <v>0</v>
      </c>
      <c r="G29" s="425">
        <f>E29</f>
        <v>0</v>
      </c>
      <c r="H29" s="325">
        <f t="shared" ref="H29:H34" ca="1" si="1">IF(G$35=0,0,100*G29/G$35)</f>
        <v>0</v>
      </c>
      <c r="I29" s="425">
        <f>G29</f>
        <v>0</v>
      </c>
      <c r="J29" s="325">
        <f t="shared" ref="J29:J34" ca="1" si="2">IF(I$35=0,0,100*I29/I$35)</f>
        <v>0</v>
      </c>
      <c r="K29" s="425">
        <f>I29</f>
        <v>0</v>
      </c>
      <c r="L29" s="325">
        <f t="shared" ref="L29:L34" ca="1" si="3">IF(K$35=0,0,100*K29/K$35)</f>
        <v>0</v>
      </c>
      <c r="M29" s="425">
        <f>K29</f>
        <v>0</v>
      </c>
      <c r="N29" s="325">
        <f t="shared" ref="N29:N34" ca="1" si="4">IF(M$35=0,0,100*M29/M$35)</f>
        <v>0</v>
      </c>
      <c r="O29" s="425">
        <f>M29</f>
        <v>0</v>
      </c>
      <c r="P29" s="325">
        <f t="shared" ref="P29:P34" ca="1" si="5">IF(O$35=0,0,100*O29/O$35)</f>
        <v>0</v>
      </c>
      <c r="Q29" s="425">
        <f>O29</f>
        <v>0</v>
      </c>
      <c r="R29" s="325">
        <f t="shared" ref="R29:R34" ca="1" si="6">IF(Q$35=0,0,100*Q29/Q$35)</f>
        <v>0</v>
      </c>
      <c r="S29" s="425">
        <f>Q29</f>
        <v>0</v>
      </c>
      <c r="T29" s="325">
        <f t="shared" ref="T29:T34" ca="1" si="7">IF(S$35=0,0,100*S29/S$35)</f>
        <v>0</v>
      </c>
    </row>
    <row r="30" spans="1:20" ht="12" customHeight="1">
      <c r="B30" s="70" t="s">
        <v>11</v>
      </c>
      <c r="C30" s="691" t="s">
        <v>222</v>
      </c>
      <c r="D30" s="692"/>
      <c r="E30" s="423">
        <f ca="1">'T4 Tuotanto'!D74</f>
        <v>0</v>
      </c>
      <c r="F30" s="325">
        <f t="shared" ca="1" si="0"/>
        <v>0</v>
      </c>
      <c r="G30" s="424">
        <f ca="1">'T4 Tuotanto'!E74</f>
        <v>0</v>
      </c>
      <c r="H30" s="325">
        <f t="shared" ca="1" si="1"/>
        <v>0</v>
      </c>
      <c r="I30" s="424">
        <f ca="1">'T4 Tuotanto'!F74</f>
        <v>0</v>
      </c>
      <c r="J30" s="325">
        <f t="shared" ca="1" si="2"/>
        <v>0</v>
      </c>
      <c r="K30" s="424">
        <f ca="1">'T4 Tuotanto'!G74</f>
        <v>0</v>
      </c>
      <c r="L30" s="325">
        <f t="shared" ca="1" si="3"/>
        <v>0</v>
      </c>
      <c r="M30" s="424">
        <f ca="1">'T4 Tuotanto'!H74</f>
        <v>0</v>
      </c>
      <c r="N30" s="325">
        <f t="shared" ca="1" si="4"/>
        <v>0</v>
      </c>
      <c r="O30" s="424">
        <f ca="1">'T4 Tuotanto'!I74</f>
        <v>0</v>
      </c>
      <c r="P30" s="325">
        <f t="shared" ca="1" si="5"/>
        <v>0</v>
      </c>
      <c r="Q30" s="424">
        <f ca="1">'T4 Tuotanto'!J74</f>
        <v>0</v>
      </c>
      <c r="R30" s="325">
        <f t="shared" ca="1" si="6"/>
        <v>0</v>
      </c>
      <c r="S30" s="424">
        <f ca="1">'T4 Tuotanto'!K74</f>
        <v>0</v>
      </c>
      <c r="T30" s="325">
        <f t="shared" ca="1" si="7"/>
        <v>0</v>
      </c>
    </row>
    <row r="31" spans="1:20" ht="12" customHeight="1">
      <c r="B31" s="70" t="s">
        <v>12</v>
      </c>
      <c r="C31" s="41" t="s">
        <v>223</v>
      </c>
      <c r="D31" s="66"/>
      <c r="E31" s="425">
        <v>0</v>
      </c>
      <c r="F31" s="325">
        <f t="shared" ca="1" si="0"/>
        <v>0</v>
      </c>
      <c r="G31" s="425">
        <f>E31</f>
        <v>0</v>
      </c>
      <c r="H31" s="325">
        <f t="shared" ca="1" si="1"/>
        <v>0</v>
      </c>
      <c r="I31" s="425">
        <f>G31</f>
        <v>0</v>
      </c>
      <c r="J31" s="325">
        <f t="shared" ca="1" si="2"/>
        <v>0</v>
      </c>
      <c r="K31" s="425">
        <f>I31</f>
        <v>0</v>
      </c>
      <c r="L31" s="325">
        <f t="shared" ca="1" si="3"/>
        <v>0</v>
      </c>
      <c r="M31" s="425">
        <f>K31</f>
        <v>0</v>
      </c>
      <c r="N31" s="325">
        <f t="shared" ca="1" si="4"/>
        <v>0</v>
      </c>
      <c r="O31" s="425">
        <f>M31</f>
        <v>0</v>
      </c>
      <c r="P31" s="325">
        <f t="shared" ca="1" si="5"/>
        <v>0</v>
      </c>
      <c r="Q31" s="425">
        <f>O31</f>
        <v>0</v>
      </c>
      <c r="R31" s="325">
        <f t="shared" ca="1" si="6"/>
        <v>0</v>
      </c>
      <c r="S31" s="425">
        <f>Q31</f>
        <v>0</v>
      </c>
      <c r="T31" s="325">
        <f t="shared" ca="1" si="7"/>
        <v>0</v>
      </c>
    </row>
    <row r="32" spans="1:20" ht="12" customHeight="1">
      <c r="B32" s="70" t="s">
        <v>13</v>
      </c>
      <c r="C32" s="691" t="s">
        <v>224</v>
      </c>
      <c r="D32" s="692"/>
      <c r="E32" s="425">
        <v>0</v>
      </c>
      <c r="F32" s="325">
        <f t="shared" ca="1" si="0"/>
        <v>0</v>
      </c>
      <c r="G32" s="425">
        <f t="shared" ref="G32:S34" si="8">E32</f>
        <v>0</v>
      </c>
      <c r="H32" s="325">
        <f t="shared" ca="1" si="1"/>
        <v>0</v>
      </c>
      <c r="I32" s="425">
        <f t="shared" si="8"/>
        <v>0</v>
      </c>
      <c r="J32" s="325">
        <f t="shared" ca="1" si="2"/>
        <v>0</v>
      </c>
      <c r="K32" s="425">
        <f t="shared" si="8"/>
        <v>0</v>
      </c>
      <c r="L32" s="325">
        <f t="shared" ca="1" si="3"/>
        <v>0</v>
      </c>
      <c r="M32" s="425">
        <f t="shared" si="8"/>
        <v>0</v>
      </c>
      <c r="N32" s="325">
        <f t="shared" ca="1" si="4"/>
        <v>0</v>
      </c>
      <c r="O32" s="425">
        <f t="shared" si="8"/>
        <v>0</v>
      </c>
      <c r="P32" s="325">
        <f t="shared" ca="1" si="5"/>
        <v>0</v>
      </c>
      <c r="Q32" s="425">
        <f t="shared" si="8"/>
        <v>0</v>
      </c>
      <c r="R32" s="325">
        <f t="shared" ca="1" si="6"/>
        <v>0</v>
      </c>
      <c r="S32" s="425">
        <f t="shared" si="8"/>
        <v>0</v>
      </c>
      <c r="T32" s="325">
        <f t="shared" ca="1" si="7"/>
        <v>0</v>
      </c>
    </row>
    <row r="33" spans="2:20" ht="12" customHeight="1">
      <c r="B33" s="70" t="s">
        <v>14</v>
      </c>
      <c r="C33" s="691" t="s">
        <v>225</v>
      </c>
      <c r="D33" s="692"/>
      <c r="E33" s="425">
        <v>0</v>
      </c>
      <c r="F33" s="325">
        <f t="shared" ca="1" si="0"/>
        <v>0</v>
      </c>
      <c r="G33" s="425">
        <f t="shared" si="8"/>
        <v>0</v>
      </c>
      <c r="H33" s="325">
        <f t="shared" ca="1" si="1"/>
        <v>0</v>
      </c>
      <c r="I33" s="425">
        <f t="shared" si="8"/>
        <v>0</v>
      </c>
      <c r="J33" s="325">
        <f t="shared" ca="1" si="2"/>
        <v>0</v>
      </c>
      <c r="K33" s="425">
        <f t="shared" si="8"/>
        <v>0</v>
      </c>
      <c r="L33" s="325">
        <f t="shared" ca="1" si="3"/>
        <v>0</v>
      </c>
      <c r="M33" s="425">
        <f t="shared" si="8"/>
        <v>0</v>
      </c>
      <c r="N33" s="325">
        <f t="shared" ca="1" si="4"/>
        <v>0</v>
      </c>
      <c r="O33" s="425">
        <f t="shared" si="8"/>
        <v>0</v>
      </c>
      <c r="P33" s="325">
        <f t="shared" ca="1" si="5"/>
        <v>0</v>
      </c>
      <c r="Q33" s="425">
        <f t="shared" si="8"/>
        <v>0</v>
      </c>
      <c r="R33" s="325">
        <f t="shared" ca="1" si="6"/>
        <v>0</v>
      </c>
      <c r="S33" s="425">
        <f t="shared" si="8"/>
        <v>0</v>
      </c>
      <c r="T33" s="325">
        <f t="shared" ca="1" si="7"/>
        <v>0</v>
      </c>
    </row>
    <row r="34" spans="2:20" ht="12" customHeight="1">
      <c r="B34" s="70" t="s">
        <v>15</v>
      </c>
      <c r="C34" s="691" t="s">
        <v>226</v>
      </c>
      <c r="D34" s="692"/>
      <c r="E34" s="425">
        <v>0</v>
      </c>
      <c r="F34" s="325">
        <f t="shared" ca="1" si="0"/>
        <v>0</v>
      </c>
      <c r="G34" s="425">
        <f t="shared" si="8"/>
        <v>0</v>
      </c>
      <c r="H34" s="325">
        <f t="shared" ca="1" si="1"/>
        <v>0</v>
      </c>
      <c r="I34" s="425">
        <f t="shared" si="8"/>
        <v>0</v>
      </c>
      <c r="J34" s="325">
        <f t="shared" ca="1" si="2"/>
        <v>0</v>
      </c>
      <c r="K34" s="425">
        <f t="shared" si="8"/>
        <v>0</v>
      </c>
      <c r="L34" s="325">
        <f t="shared" ca="1" si="3"/>
        <v>0</v>
      </c>
      <c r="M34" s="425">
        <f t="shared" si="8"/>
        <v>0</v>
      </c>
      <c r="N34" s="325">
        <f t="shared" ca="1" si="4"/>
        <v>0</v>
      </c>
      <c r="O34" s="425">
        <f t="shared" si="8"/>
        <v>0</v>
      </c>
      <c r="P34" s="325">
        <f t="shared" ca="1" si="5"/>
        <v>0</v>
      </c>
      <c r="Q34" s="425">
        <f t="shared" si="8"/>
        <v>0</v>
      </c>
      <c r="R34" s="325">
        <f t="shared" ca="1" si="6"/>
        <v>0</v>
      </c>
      <c r="S34" s="425">
        <f t="shared" si="8"/>
        <v>0</v>
      </c>
      <c r="T34" s="325">
        <f t="shared" ca="1" si="7"/>
        <v>0</v>
      </c>
    </row>
    <row r="35" spans="2:20" ht="12" customHeight="1">
      <c r="B35" s="70" t="s">
        <v>16</v>
      </c>
      <c r="C35" s="55" t="s">
        <v>227</v>
      </c>
      <c r="D35" s="66"/>
      <c r="E35" s="429">
        <f ca="1">IF(Ohjeet!$H67&gt;Ohjeet!$B$40,0,SUM(E26:E34)-E28)</f>
        <v>0</v>
      </c>
      <c r="F35" s="419">
        <v>100</v>
      </c>
      <c r="G35" s="429">
        <f ca="1">IF(Ohjeet!$H67&gt;Ohjeet!$B$40,0,SUM(G26:G34)-G28)</f>
        <v>0</v>
      </c>
      <c r="H35" s="419">
        <v>100</v>
      </c>
      <c r="I35" s="429">
        <f ca="1">IF(Ohjeet!$H67&gt;Ohjeet!$B$40,0,SUM(I26:I34)-I28)</f>
        <v>0</v>
      </c>
      <c r="J35" s="419">
        <v>100</v>
      </c>
      <c r="K35" s="429">
        <f ca="1">IF(Ohjeet!$H67&gt;Ohjeet!$B$40,0,SUM(K26:K34)-K28)</f>
        <v>0</v>
      </c>
      <c r="L35" s="419">
        <v>100</v>
      </c>
      <c r="M35" s="429">
        <f ca="1">IF(Ohjeet!$H67&gt;Ohjeet!$B$40,0,SUM(M26:M34)-M28)</f>
        <v>0</v>
      </c>
      <c r="N35" s="419">
        <v>100</v>
      </c>
      <c r="O35" s="429">
        <f ca="1">IF(Ohjeet!$H67&gt;Ohjeet!$B$40,0,SUM(O26:O34)-O28)</f>
        <v>0</v>
      </c>
      <c r="P35" s="419">
        <v>100</v>
      </c>
      <c r="Q35" s="429">
        <f ca="1">IF(Ohjeet!$H67&gt;Ohjeet!$B$40,0,SUM(Q26:Q34)-Q28)</f>
        <v>0</v>
      </c>
      <c r="R35" s="419">
        <v>100</v>
      </c>
      <c r="S35" s="429">
        <f ca="1">IF(Ohjeet!$H67&gt;Ohjeet!$B$40,0,SUM(S26:S34)-S28)</f>
        <v>0</v>
      </c>
      <c r="T35" s="326">
        <v>100</v>
      </c>
    </row>
    <row r="36" spans="2:20" ht="12" customHeight="1">
      <c r="B36" s="70" t="s">
        <v>17</v>
      </c>
      <c r="C36" s="41" t="s">
        <v>228</v>
      </c>
      <c r="D36" s="66"/>
      <c r="E36" s="423">
        <f ca="1">'T3 Kustannukset'!D87</f>
        <v>0</v>
      </c>
      <c r="F36" s="325">
        <f t="shared" ref="F36:F41" ca="1" si="9">IF(E$35=0,0,100*E36/E$35)</f>
        <v>0</v>
      </c>
      <c r="G36" s="424">
        <f ca="1">'T3 Kustannukset'!F87</f>
        <v>0</v>
      </c>
      <c r="H36" s="325">
        <f t="shared" ref="H36:H41" ca="1" si="10">IF(G$35=0,0,100*G36/G$35)</f>
        <v>0</v>
      </c>
      <c r="I36" s="424">
        <f ca="1">'T3 Kustannukset'!H87</f>
        <v>0</v>
      </c>
      <c r="J36" s="325">
        <f t="shared" ref="J36:J41" ca="1" si="11">IF(I$35=0,0,100*I36/I$35)</f>
        <v>0</v>
      </c>
      <c r="K36" s="424">
        <f ca="1">'T3 Kustannukset'!J87</f>
        <v>0</v>
      </c>
      <c r="L36" s="325">
        <f t="shared" ref="L36:L41" ca="1" si="12">IF(K$35=0,0,100*K36/K$35)</f>
        <v>0</v>
      </c>
      <c r="M36" s="424">
        <f ca="1">'T3 Kustannukset'!L87</f>
        <v>0</v>
      </c>
      <c r="N36" s="325">
        <f t="shared" ref="N36:N41" ca="1" si="13">IF(M$35=0,0,100*M36/M$35)</f>
        <v>0</v>
      </c>
      <c r="O36" s="424">
        <f ca="1">'T3 Kustannukset'!N87</f>
        <v>0</v>
      </c>
      <c r="P36" s="325">
        <f t="shared" ref="P36:P41" ca="1" si="14">IF(O$35=0,0,100*O36/O$35)</f>
        <v>0</v>
      </c>
      <c r="Q36" s="424">
        <f ca="1">'T3 Kustannukset'!P87</f>
        <v>0</v>
      </c>
      <c r="R36" s="325">
        <f t="shared" ref="R36:R41" ca="1" si="15">IF(Q$35=0,0,100*Q36/Q$35)</f>
        <v>0</v>
      </c>
      <c r="S36" s="424">
        <f ca="1">'T3 Kustannukset'!R87</f>
        <v>0</v>
      </c>
      <c r="T36" s="325">
        <f t="shared" ref="T36:T41" ca="1" si="16">IF(S$35=0,0,100*S36/S$35)</f>
        <v>0</v>
      </c>
    </row>
    <row r="37" spans="2:20" ht="12" customHeight="1">
      <c r="B37" s="70" t="s">
        <v>86</v>
      </c>
      <c r="C37" s="41" t="s">
        <v>229</v>
      </c>
      <c r="D37" s="66"/>
      <c r="E37" s="425">
        <v>0</v>
      </c>
      <c r="F37" s="325">
        <f t="shared" ca="1" si="9"/>
        <v>0</v>
      </c>
      <c r="G37" s="424">
        <f>'T2 Investoinnit, rahoitus'!F146</f>
        <v>0</v>
      </c>
      <c r="H37" s="325">
        <f t="shared" ca="1" si="10"/>
        <v>0</v>
      </c>
      <c r="I37" s="424">
        <f>'T2 Investoinnit, rahoitus'!G146</f>
        <v>0</v>
      </c>
      <c r="J37" s="325">
        <f t="shared" ca="1" si="11"/>
        <v>0</v>
      </c>
      <c r="K37" s="424">
        <f>'T2 Investoinnit, rahoitus'!H146</f>
        <v>0</v>
      </c>
      <c r="L37" s="325">
        <f t="shared" ca="1" si="12"/>
        <v>0</v>
      </c>
      <c r="M37" s="424">
        <f>'T2 Investoinnit, rahoitus'!I146</f>
        <v>0</v>
      </c>
      <c r="N37" s="325">
        <f t="shared" ca="1" si="13"/>
        <v>0</v>
      </c>
      <c r="O37" s="424">
        <f>'T2 Investoinnit, rahoitus'!J146</f>
        <v>0</v>
      </c>
      <c r="P37" s="325">
        <f t="shared" ca="1" si="14"/>
        <v>0</v>
      </c>
      <c r="Q37" s="424">
        <f>'T2 Investoinnit, rahoitus'!K146</f>
        <v>0</v>
      </c>
      <c r="R37" s="325">
        <f t="shared" ca="1" si="15"/>
        <v>0</v>
      </c>
      <c r="S37" s="424">
        <f>'T2 Investoinnit, rahoitus'!L146</f>
        <v>0</v>
      </c>
      <c r="T37" s="325">
        <f t="shared" ca="1" si="16"/>
        <v>0</v>
      </c>
    </row>
    <row r="38" spans="2:20" ht="12" customHeight="1">
      <c r="B38" s="70" t="s">
        <v>87</v>
      </c>
      <c r="C38" s="680" t="s">
        <v>230</v>
      </c>
      <c r="D38" s="681"/>
      <c r="E38" s="425">
        <v>0</v>
      </c>
      <c r="F38" s="325">
        <f t="shared" ca="1" si="9"/>
        <v>0</v>
      </c>
      <c r="G38" s="425">
        <f>E38</f>
        <v>0</v>
      </c>
      <c r="H38" s="325">
        <f t="shared" ca="1" si="10"/>
        <v>0</v>
      </c>
      <c r="I38" s="425">
        <f>G38</f>
        <v>0</v>
      </c>
      <c r="J38" s="325">
        <f t="shared" ca="1" si="11"/>
        <v>0</v>
      </c>
      <c r="K38" s="425">
        <f>I38</f>
        <v>0</v>
      </c>
      <c r="L38" s="325">
        <f t="shared" ca="1" si="12"/>
        <v>0</v>
      </c>
      <c r="M38" s="425">
        <f>K38</f>
        <v>0</v>
      </c>
      <c r="N38" s="325">
        <f t="shared" ca="1" si="13"/>
        <v>0</v>
      </c>
      <c r="O38" s="425">
        <f>M38</f>
        <v>0</v>
      </c>
      <c r="P38" s="325">
        <f t="shared" ca="1" si="14"/>
        <v>0</v>
      </c>
      <c r="Q38" s="425">
        <f>O38</f>
        <v>0</v>
      </c>
      <c r="R38" s="325">
        <f t="shared" ca="1" si="15"/>
        <v>0</v>
      </c>
      <c r="S38" s="425">
        <f>Q38</f>
        <v>0</v>
      </c>
      <c r="T38" s="325">
        <f t="shared" ca="1" si="16"/>
        <v>0</v>
      </c>
    </row>
    <row r="39" spans="2:20" ht="12" customHeight="1">
      <c r="B39" s="70" t="s">
        <v>114</v>
      </c>
      <c r="C39" s="678" t="s">
        <v>231</v>
      </c>
      <c r="D39" s="679"/>
      <c r="E39" s="429">
        <f ca="1">E35-E36-E37-E38</f>
        <v>0</v>
      </c>
      <c r="F39" s="326">
        <f t="shared" ca="1" si="9"/>
        <v>0</v>
      </c>
      <c r="G39" s="429">
        <f ca="1">G35-G36-G37-G38</f>
        <v>0</v>
      </c>
      <c r="H39" s="326">
        <f t="shared" ca="1" si="10"/>
        <v>0</v>
      </c>
      <c r="I39" s="429">
        <f ca="1">I35-I36-I37-I38</f>
        <v>0</v>
      </c>
      <c r="J39" s="326">
        <f t="shared" ca="1" si="11"/>
        <v>0</v>
      </c>
      <c r="K39" s="429">
        <f ca="1">K35-K36-K37-K38</f>
        <v>0</v>
      </c>
      <c r="L39" s="326">
        <f t="shared" ca="1" si="12"/>
        <v>0</v>
      </c>
      <c r="M39" s="429">
        <f ca="1">M35-M36-M37-M38</f>
        <v>0</v>
      </c>
      <c r="N39" s="326">
        <f t="shared" ca="1" si="13"/>
        <v>0</v>
      </c>
      <c r="O39" s="429">
        <f ca="1">O35-O36-O37-O38</f>
        <v>0</v>
      </c>
      <c r="P39" s="326">
        <f t="shared" ca="1" si="14"/>
        <v>0</v>
      </c>
      <c r="Q39" s="429">
        <f ca="1">Q35-Q36-Q37-Q38</f>
        <v>0</v>
      </c>
      <c r="R39" s="326">
        <f t="shared" ca="1" si="15"/>
        <v>0</v>
      </c>
      <c r="S39" s="429">
        <f ca="1">S35-S36-S37-S38</f>
        <v>0</v>
      </c>
      <c r="T39" s="326">
        <f t="shared" ca="1" si="16"/>
        <v>0</v>
      </c>
    </row>
    <row r="40" spans="2:20" ht="12" customHeight="1">
      <c r="B40" s="70" t="s">
        <v>92</v>
      </c>
      <c r="C40" s="41" t="s">
        <v>232</v>
      </c>
      <c r="D40" s="66"/>
      <c r="E40" s="425">
        <v>0</v>
      </c>
      <c r="F40" s="325">
        <f t="shared" ca="1" si="9"/>
        <v>0</v>
      </c>
      <c r="G40" s="424">
        <f>'T2 Investoinnit, rahoitus'!F13+'T2 Investoinnit, rahoitus'!F19</f>
        <v>0</v>
      </c>
      <c r="H40" s="325">
        <f t="shared" ca="1" si="10"/>
        <v>0</v>
      </c>
      <c r="I40" s="424">
        <f>'T2 Investoinnit, rahoitus'!G13+'T2 Investoinnit, rahoitus'!G19</f>
        <v>0</v>
      </c>
      <c r="J40" s="325">
        <f t="shared" ca="1" si="11"/>
        <v>0</v>
      </c>
      <c r="K40" s="424">
        <f>'T2 Investoinnit, rahoitus'!H13+'T2 Investoinnit, rahoitus'!H19</f>
        <v>0</v>
      </c>
      <c r="L40" s="325">
        <f t="shared" ca="1" si="12"/>
        <v>0</v>
      </c>
      <c r="M40" s="424">
        <f>'T2 Investoinnit, rahoitus'!I13+'T2 Investoinnit, rahoitus'!I19</f>
        <v>0</v>
      </c>
      <c r="N40" s="325">
        <f t="shared" ca="1" si="13"/>
        <v>0</v>
      </c>
      <c r="O40" s="424">
        <f>'T2 Investoinnit, rahoitus'!J13+'T2 Investoinnit, rahoitus'!J19</f>
        <v>0</v>
      </c>
      <c r="P40" s="325">
        <f t="shared" ca="1" si="14"/>
        <v>0</v>
      </c>
      <c r="Q40" s="424">
        <f>'T2 Investoinnit, rahoitus'!K13+'T2 Investoinnit, rahoitus'!K19</f>
        <v>0</v>
      </c>
      <c r="R40" s="325">
        <f t="shared" ca="1" si="15"/>
        <v>0</v>
      </c>
      <c r="S40" s="424">
        <f>'T2 Investoinnit, rahoitus'!L13+'T2 Investoinnit, rahoitus'!L19</f>
        <v>0</v>
      </c>
      <c r="T40" s="325">
        <f t="shared" ca="1" si="16"/>
        <v>0</v>
      </c>
    </row>
    <row r="41" spans="2:20" ht="12" customHeight="1" thickBot="1">
      <c r="B41" s="60" t="s">
        <v>93</v>
      </c>
      <c r="C41" s="273" t="s">
        <v>233</v>
      </c>
      <c r="D41" s="274"/>
      <c r="E41" s="430">
        <f ca="1">IF(E35-E36-E37-E40&lt;0,0,E35-E36-E37-E38-E40)</f>
        <v>0</v>
      </c>
      <c r="F41" s="327">
        <f t="shared" ca="1" si="9"/>
        <v>0</v>
      </c>
      <c r="G41" s="430">
        <f ca="1">IF(G35-G36-G37-G40&lt;0,0,G35-G36-G37-G38-G40)</f>
        <v>0</v>
      </c>
      <c r="H41" s="327">
        <f t="shared" ca="1" si="10"/>
        <v>0</v>
      </c>
      <c r="I41" s="430">
        <f ca="1">IF(I35-I36-I37-I40&lt;0,0,I35-I36-I37-I38-I40)</f>
        <v>0</v>
      </c>
      <c r="J41" s="327">
        <f t="shared" ca="1" si="11"/>
        <v>0</v>
      </c>
      <c r="K41" s="430">
        <f ca="1">IF(K35-K36-K37-K40&lt;0,0,K35-K36-K37-K38-K40)</f>
        <v>0</v>
      </c>
      <c r="L41" s="327">
        <f t="shared" ca="1" si="12"/>
        <v>0</v>
      </c>
      <c r="M41" s="430">
        <f ca="1">IF(M35-M36-M37-M40&lt;0,0,M35-M36-M37-M38-M40)</f>
        <v>0</v>
      </c>
      <c r="N41" s="327">
        <f t="shared" ca="1" si="13"/>
        <v>0</v>
      </c>
      <c r="O41" s="430">
        <f ca="1">IF(O35-O36-O37-O40&lt;0,0,O35-O36-O37-O38-O40)</f>
        <v>0</v>
      </c>
      <c r="P41" s="327">
        <f t="shared" ca="1" si="14"/>
        <v>0</v>
      </c>
      <c r="Q41" s="430">
        <f ca="1">IF(Q35-Q36-Q37-Q40&lt;0,0,Q35-Q36-Q37-Q38-Q40)</f>
        <v>0</v>
      </c>
      <c r="R41" s="327">
        <f t="shared" ca="1" si="15"/>
        <v>0</v>
      </c>
      <c r="S41" s="430">
        <f ca="1">IF(S35-S36-S37-S40&lt;0,0,S35-S36-S37-S38-S40)</f>
        <v>0</v>
      </c>
      <c r="T41" s="327">
        <f t="shared" ca="1" si="16"/>
        <v>0</v>
      </c>
    </row>
    <row r="42" spans="2:20" ht="12" customHeight="1" thickBot="1">
      <c r="B42" s="3"/>
      <c r="C42" s="3"/>
      <c r="D42" s="3"/>
      <c r="E42" s="597"/>
      <c r="F42" s="597"/>
      <c r="G42" s="597"/>
      <c r="H42" s="597"/>
      <c r="I42" s="597"/>
      <c r="J42" s="597"/>
      <c r="K42" s="597"/>
      <c r="L42" s="597"/>
      <c r="M42" s="597"/>
      <c r="N42" s="597"/>
      <c r="O42" s="597"/>
      <c r="P42" s="597"/>
      <c r="Q42" s="597"/>
      <c r="R42" s="597"/>
      <c r="S42" s="597"/>
      <c r="T42" s="597"/>
    </row>
    <row r="43" spans="2:20" ht="12" customHeight="1" thickBot="1">
      <c r="B43" s="693" t="s">
        <v>234</v>
      </c>
      <c r="C43" s="694"/>
      <c r="D43" s="695"/>
      <c r="E43" s="705"/>
      <c r="F43" s="705"/>
      <c r="G43" s="671">
        <f>'T2 Investoinnit, rahoitus'!F145</f>
        <v>0</v>
      </c>
      <c r="H43" s="671"/>
      <c r="I43" s="671">
        <f>'T2 Investoinnit, rahoitus'!G145</f>
        <v>0</v>
      </c>
      <c r="J43" s="671"/>
      <c r="K43" s="671">
        <f>'T2 Investoinnit, rahoitus'!H145</f>
        <v>0</v>
      </c>
      <c r="L43" s="671"/>
      <c r="M43" s="671">
        <f>'T2 Investoinnit, rahoitus'!I145</f>
        <v>0</v>
      </c>
      <c r="N43" s="671"/>
      <c r="O43" s="671">
        <f>'T2 Investoinnit, rahoitus'!J145</f>
        <v>0</v>
      </c>
      <c r="P43" s="671"/>
      <c r="Q43" s="671">
        <f>'T2 Investoinnit, rahoitus'!K145</f>
        <v>0</v>
      </c>
      <c r="R43" s="671"/>
      <c r="S43" s="671">
        <f>'T2 Investoinnit, rahoitus'!L145</f>
        <v>0</v>
      </c>
      <c r="T43" s="671"/>
    </row>
    <row r="45" spans="2:20">
      <c r="B45" s="696"/>
      <c r="C45" s="696"/>
      <c r="D45" s="696"/>
      <c r="E45" s="696"/>
      <c r="F45" s="696"/>
      <c r="G45" s="696"/>
      <c r="H45" s="696"/>
      <c r="I45" s="696"/>
      <c r="J45" s="696"/>
      <c r="O45" s="658"/>
      <c r="P45" s="658"/>
      <c r="Q45" s="658"/>
      <c r="R45" s="658"/>
      <c r="S45" s="658"/>
      <c r="T45" s="658" t="s">
        <v>311</v>
      </c>
    </row>
    <row r="46" spans="2:20">
      <c r="C46" s="42"/>
      <c r="T46" s="561" t="str">
        <f>Ohjeet!E38</f>
        <v>Siilinjärvi/Sydän-Savon maaseutupalvelut</v>
      </c>
    </row>
    <row r="47" spans="2:20">
      <c r="C47" s="42"/>
    </row>
    <row r="48" spans="2:20">
      <c r="C48" s="42"/>
    </row>
    <row r="49" spans="2:20">
      <c r="C49" s="42"/>
    </row>
    <row r="50" spans="2:20">
      <c r="B50" s="42" t="str">
        <f>B4</f>
        <v>Yrityksen nimi</v>
      </c>
      <c r="C50" s="42"/>
      <c r="D50" s="42"/>
      <c r="E50" s="42" t="s">
        <v>45</v>
      </c>
      <c r="F50" s="42"/>
      <c r="G50" s="42"/>
      <c r="H50" s="42"/>
      <c r="I50" s="42"/>
      <c r="J50" s="42" t="s">
        <v>44</v>
      </c>
      <c r="K50" s="42" t="s">
        <v>0</v>
      </c>
      <c r="L50" s="42"/>
      <c r="M50" s="42" t="s">
        <v>73</v>
      </c>
      <c r="N50" s="42"/>
      <c r="O50" s="42"/>
      <c r="P50" s="42"/>
      <c r="Q50" s="42"/>
      <c r="R50" s="42"/>
      <c r="S50" s="42"/>
    </row>
    <row r="51" spans="2:20">
      <c r="B51" s="702">
        <f>B5</f>
        <v>0</v>
      </c>
      <c r="C51" s="702"/>
      <c r="D51" s="702"/>
      <c r="E51" s="702">
        <f>E5</f>
        <v>0</v>
      </c>
      <c r="F51" s="702"/>
      <c r="G51" s="702"/>
      <c r="H51" s="702"/>
      <c r="I51" s="702"/>
      <c r="J51" s="703">
        <f>J5</f>
        <v>0</v>
      </c>
      <c r="K51" s="704"/>
      <c r="L51" s="704"/>
      <c r="M51" s="697">
        <f>M5</f>
        <v>0</v>
      </c>
      <c r="N51" s="697"/>
      <c r="O51" s="697"/>
      <c r="P51" s="697"/>
      <c r="Q51" s="697"/>
      <c r="R51" s="697"/>
      <c r="S51" s="697"/>
      <c r="T51" s="697"/>
    </row>
    <row r="52" spans="2:20">
      <c r="B52" s="99"/>
      <c r="C52" s="99"/>
      <c r="D52" s="99"/>
      <c r="E52" s="38"/>
      <c r="F52" s="38"/>
      <c r="G52" s="38"/>
      <c r="H52" s="38"/>
      <c r="I52" s="38"/>
      <c r="J52" s="98"/>
      <c r="K52" s="30"/>
      <c r="L52" s="30"/>
      <c r="M52" s="100"/>
      <c r="N52" s="100"/>
      <c r="O52" s="100"/>
      <c r="P52" s="100"/>
      <c r="Q52" s="100"/>
      <c r="R52" s="100"/>
      <c r="S52" s="100"/>
      <c r="T52" s="100"/>
    </row>
    <row r="53" spans="2:20">
      <c r="B53" s="99"/>
      <c r="C53" s="99"/>
      <c r="D53" s="99"/>
      <c r="E53" s="38"/>
      <c r="F53" s="38"/>
      <c r="G53" s="38"/>
      <c r="H53" s="38"/>
      <c r="I53" s="38"/>
      <c r="J53" s="98"/>
      <c r="K53" s="30"/>
      <c r="L53" s="30"/>
      <c r="M53" s="100"/>
      <c r="N53" s="100"/>
      <c r="O53" s="100"/>
      <c r="P53" s="100"/>
      <c r="Q53" s="100"/>
      <c r="R53" s="100"/>
      <c r="S53" s="100"/>
      <c r="T53" s="100"/>
    </row>
    <row r="54" spans="2:20">
      <c r="B54" s="99"/>
      <c r="C54" s="99"/>
      <c r="D54" s="99"/>
      <c r="E54" s="38"/>
      <c r="F54" s="38"/>
      <c r="G54" s="38"/>
      <c r="H54" s="38"/>
      <c r="I54" s="38"/>
      <c r="J54" s="98"/>
      <c r="K54" s="30"/>
      <c r="L54" s="30"/>
      <c r="M54" s="100"/>
      <c r="N54" s="100"/>
      <c r="O54" s="100"/>
      <c r="P54" s="100"/>
      <c r="Q54" s="100"/>
      <c r="R54" s="100"/>
      <c r="S54" s="100"/>
      <c r="T54" s="100"/>
    </row>
    <row r="55" spans="2:20" ht="17.600000000000001">
      <c r="B55" s="99"/>
      <c r="C55" s="99"/>
      <c r="D55" s="101" t="s">
        <v>195</v>
      </c>
      <c r="F55" s="38"/>
      <c r="G55" s="38"/>
      <c r="H55" s="38"/>
      <c r="I55" s="38"/>
      <c r="J55" s="98"/>
      <c r="K55" s="30"/>
      <c r="L55" s="30"/>
      <c r="M55" s="100"/>
      <c r="N55" s="100"/>
      <c r="O55" s="100"/>
      <c r="P55" s="100"/>
      <c r="Q55" s="100"/>
      <c r="R55" s="100"/>
      <c r="S55" s="100"/>
      <c r="T55" s="100"/>
    </row>
    <row r="56" spans="2:20">
      <c r="B56" s="99"/>
      <c r="C56" s="99"/>
      <c r="D56" s="99"/>
      <c r="E56" s="38"/>
      <c r="F56" s="38"/>
      <c r="G56" s="38"/>
      <c r="H56" s="38"/>
      <c r="I56" s="38"/>
      <c r="J56" s="98"/>
      <c r="K56" s="30"/>
      <c r="L56" s="30"/>
      <c r="M56" s="100"/>
      <c r="N56" s="100"/>
      <c r="O56" s="100"/>
      <c r="P56" s="100"/>
      <c r="Q56" s="100"/>
      <c r="R56" s="100"/>
      <c r="S56" s="100"/>
      <c r="T56" s="100"/>
    </row>
    <row r="57" spans="2:20">
      <c r="B57" s="99"/>
      <c r="C57" s="99"/>
      <c r="P57" s="100"/>
      <c r="Q57" s="100"/>
      <c r="R57" s="100"/>
      <c r="S57" s="100"/>
      <c r="T57" s="100"/>
    </row>
    <row r="58" spans="2:20" ht="17.600000000000001">
      <c r="B58" s="99"/>
      <c r="C58" s="99"/>
      <c r="D58" s="101"/>
      <c r="F58" s="38"/>
      <c r="G58" s="38"/>
      <c r="H58" s="38"/>
      <c r="I58" s="38"/>
      <c r="J58" s="98"/>
      <c r="K58" s="30"/>
      <c r="L58" s="30"/>
      <c r="M58" s="100"/>
      <c r="N58" s="100"/>
      <c r="O58" s="100"/>
      <c r="P58" s="100"/>
      <c r="Q58" s="100"/>
      <c r="R58" s="100"/>
      <c r="S58" s="100"/>
      <c r="T58" s="100"/>
    </row>
    <row r="84" spans="2:20">
      <c r="B84" s="696" t="s">
        <v>0</v>
      </c>
      <c r="C84" s="696"/>
      <c r="D84" s="696"/>
      <c r="E84" s="696"/>
      <c r="F84" s="696"/>
      <c r="G84" s="696"/>
      <c r="H84" s="696"/>
      <c r="I84" s="696"/>
      <c r="S84" s="285" t="s">
        <v>0</v>
      </c>
      <c r="T84" s="117" t="s">
        <v>0</v>
      </c>
    </row>
    <row r="85" spans="2:20" ht="12" customHeight="1">
      <c r="T85" s="564">
        <f>O45</f>
        <v>0</v>
      </c>
    </row>
    <row r="86" spans="2:20">
      <c r="T86" s="561" t="str">
        <f>T46</f>
        <v>Siilinjärvi/Sydän-Savon maaseutupalvelut</v>
      </c>
    </row>
    <row r="89" spans="2:20">
      <c r="C89" s="265"/>
      <c r="D89" s="2"/>
      <c r="E89" s="2"/>
      <c r="F89" s="2"/>
    </row>
    <row r="90" spans="2:20">
      <c r="C90" s="670"/>
      <c r="D90" s="670"/>
      <c r="E90" s="670"/>
      <c r="F90" s="670"/>
      <c r="G90" s="670"/>
      <c r="H90" s="670"/>
      <c r="I90" s="670"/>
      <c r="J90" s="670"/>
      <c r="K90" s="670"/>
    </row>
    <row r="91" spans="2:20">
      <c r="C91" s="670"/>
      <c r="D91" s="670"/>
      <c r="E91" s="670"/>
      <c r="F91" s="670"/>
      <c r="G91" s="670"/>
      <c r="H91" s="670"/>
      <c r="I91" s="670"/>
      <c r="J91" s="670"/>
      <c r="K91" s="670"/>
    </row>
  </sheetData>
  <sheetProtection algorithmName="SHA-512" hashValue="LHDWxBl8k7PcmSO0rhJu9dPPuC4DQroZEb3BEAqF4bIXujbpUQj2zgljeWrVbV2953lT44XntUsopQ7fLvWYJA==" saltValue="f+S5TmXzmajYn4s9ZafiDg==" spinCount="100000" sheet="1" objects="1" scenarios="1"/>
  <mergeCells count="169">
    <mergeCell ref="J5:K5"/>
    <mergeCell ref="E5:H5"/>
    <mergeCell ref="O43:P43"/>
    <mergeCell ref="Q43:R43"/>
    <mergeCell ref="Q11:R11"/>
    <mergeCell ref="Q12:R12"/>
    <mergeCell ref="M14:N14"/>
    <mergeCell ref="O14:P14"/>
    <mergeCell ref="Q14:R14"/>
    <mergeCell ref="O18:P18"/>
    <mergeCell ref="M11:N11"/>
    <mergeCell ref="M18:N18"/>
    <mergeCell ref="Q18:R18"/>
    <mergeCell ref="M15:N15"/>
    <mergeCell ref="O15:P15"/>
    <mergeCell ref="M22:N22"/>
    <mergeCell ref="O22:P22"/>
    <mergeCell ref="Q22:R22"/>
    <mergeCell ref="M21:N21"/>
    <mergeCell ref="O21:P21"/>
    <mergeCell ref="Q21:R21"/>
    <mergeCell ref="M16:N16"/>
    <mergeCell ref="O16:P16"/>
    <mergeCell ref="Q15:R15"/>
    <mergeCell ref="M17:N17"/>
    <mergeCell ref="O17:P17"/>
    <mergeCell ref="S43:T43"/>
    <mergeCell ref="M5:T5"/>
    <mergeCell ref="O24:P24"/>
    <mergeCell ref="M24:N24"/>
    <mergeCell ref="S7:T7"/>
    <mergeCell ref="S8:T8"/>
    <mergeCell ref="S24:T24"/>
    <mergeCell ref="O7:P7"/>
    <mergeCell ref="O8:P8"/>
    <mergeCell ref="Q24:R24"/>
    <mergeCell ref="K7:L7"/>
    <mergeCell ref="I24:J24"/>
    <mergeCell ref="K24:L24"/>
    <mergeCell ref="Q7:R7"/>
    <mergeCell ref="Q8:R8"/>
    <mergeCell ref="I10:J10"/>
    <mergeCell ref="I9:J9"/>
    <mergeCell ref="O11:P11"/>
    <mergeCell ref="O9:P9"/>
    <mergeCell ref="O10:P10"/>
    <mergeCell ref="Q10:R10"/>
    <mergeCell ref="K11:L11"/>
    <mergeCell ref="M43:N43"/>
    <mergeCell ref="S10:T10"/>
    <mergeCell ref="K8:L8"/>
    <mergeCell ref="M7:N7"/>
    <mergeCell ref="M8:N8"/>
    <mergeCell ref="K10:L10"/>
    <mergeCell ref="M10:N10"/>
    <mergeCell ref="E7:F7"/>
    <mergeCell ref="E8:F8"/>
    <mergeCell ref="E9:F9"/>
    <mergeCell ref="E10:F10"/>
    <mergeCell ref="G9:H9"/>
    <mergeCell ref="K9:L9"/>
    <mergeCell ref="M9:N9"/>
    <mergeCell ref="I8:J8"/>
    <mergeCell ref="S9:T9"/>
    <mergeCell ref="Q9:R9"/>
    <mergeCell ref="B5:D5"/>
    <mergeCell ref="B24:D25"/>
    <mergeCell ref="E24:F24"/>
    <mergeCell ref="E11:F11"/>
    <mergeCell ref="G10:H10"/>
    <mergeCell ref="G21:H21"/>
    <mergeCell ref="E19:F19"/>
    <mergeCell ref="B7:D8"/>
    <mergeCell ref="G11:H11"/>
    <mergeCell ref="I11:J11"/>
    <mergeCell ref="I7:J7"/>
    <mergeCell ref="I18:J18"/>
    <mergeCell ref="E18:F18"/>
    <mergeCell ref="I15:J15"/>
    <mergeCell ref="I22:J22"/>
    <mergeCell ref="C9:D9"/>
    <mergeCell ref="B16:D17"/>
    <mergeCell ref="E16:F16"/>
    <mergeCell ref="G16:H16"/>
    <mergeCell ref="I16:J16"/>
    <mergeCell ref="G7:H7"/>
    <mergeCell ref="G8:H8"/>
    <mergeCell ref="G12:H12"/>
    <mergeCell ref="S15:T15"/>
    <mergeCell ref="S11:T11"/>
    <mergeCell ref="O13:P13"/>
    <mergeCell ref="Q13:R13"/>
    <mergeCell ref="S13:T13"/>
    <mergeCell ref="M12:N12"/>
    <mergeCell ref="O12:P12"/>
    <mergeCell ref="M13:N13"/>
    <mergeCell ref="S12:T12"/>
    <mergeCell ref="S14:T14"/>
    <mergeCell ref="M20:N20"/>
    <mergeCell ref="O20:P20"/>
    <mergeCell ref="Q17:R17"/>
    <mergeCell ref="S18:T18"/>
    <mergeCell ref="M19:N19"/>
    <mergeCell ref="O19:P19"/>
    <mergeCell ref="K19:L19"/>
    <mergeCell ref="Q19:R19"/>
    <mergeCell ref="S19:T19"/>
    <mergeCell ref="M51:T51"/>
    <mergeCell ref="C14:D14"/>
    <mergeCell ref="C15:D15"/>
    <mergeCell ref="Q16:R16"/>
    <mergeCell ref="S16:T16"/>
    <mergeCell ref="E17:F17"/>
    <mergeCell ref="G17:H17"/>
    <mergeCell ref="I17:J17"/>
    <mergeCell ref="C32:D32"/>
    <mergeCell ref="C34:D34"/>
    <mergeCell ref="C33:D33"/>
    <mergeCell ref="B51:D51"/>
    <mergeCell ref="E51:I51"/>
    <mergeCell ref="J51:L51"/>
    <mergeCell ref="E43:F43"/>
    <mergeCell ref="S17:T17"/>
    <mergeCell ref="S22:T22"/>
    <mergeCell ref="E20:F20"/>
    <mergeCell ref="Q20:R20"/>
    <mergeCell ref="S20:T20"/>
    <mergeCell ref="G22:H22"/>
    <mergeCell ref="G19:H19"/>
    <mergeCell ref="I19:J19"/>
    <mergeCell ref="S21:T21"/>
    <mergeCell ref="G43:H43"/>
    <mergeCell ref="I12:J12"/>
    <mergeCell ref="K12:L12"/>
    <mergeCell ref="G13:H13"/>
    <mergeCell ref="I13:J13"/>
    <mergeCell ref="K13:L13"/>
    <mergeCell ref="C90:K90"/>
    <mergeCell ref="G18:H18"/>
    <mergeCell ref="K14:L14"/>
    <mergeCell ref="E12:F12"/>
    <mergeCell ref="C30:D30"/>
    <mergeCell ref="B43:D43"/>
    <mergeCell ref="E13:F13"/>
    <mergeCell ref="B84:I84"/>
    <mergeCell ref="B45:J45"/>
    <mergeCell ref="C91:K91"/>
    <mergeCell ref="I43:J43"/>
    <mergeCell ref="K43:L43"/>
    <mergeCell ref="K16:L16"/>
    <mergeCell ref="G15:H15"/>
    <mergeCell ref="G14:H14"/>
    <mergeCell ref="I14:J14"/>
    <mergeCell ref="K17:L17"/>
    <mergeCell ref="K22:L22"/>
    <mergeCell ref="E14:F14"/>
    <mergeCell ref="C39:D39"/>
    <mergeCell ref="C38:D38"/>
    <mergeCell ref="G24:H24"/>
    <mergeCell ref="E21:F21"/>
    <mergeCell ref="E22:F22"/>
    <mergeCell ref="E15:F15"/>
    <mergeCell ref="K18:L18"/>
    <mergeCell ref="K15:L15"/>
    <mergeCell ref="G20:H20"/>
    <mergeCell ref="I20:J20"/>
    <mergeCell ref="K20:L20"/>
    <mergeCell ref="I21:J21"/>
    <mergeCell ref="K21:L21"/>
  </mergeCells>
  <printOptions horizontalCentered="1" verticalCentered="1"/>
  <pageMargins left="0.25" right="0.25" top="0.75" bottom="0.75" header="0.3" footer="0.3"/>
  <pageSetup paperSize="9" scale="9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2">
    <tabColor theme="3"/>
  </sheetPr>
  <dimension ref="A1:Z442"/>
  <sheetViews>
    <sheetView showGridLines="0" showZeros="0" defaultGridColor="0" colorId="55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2.45"/>
  <cols>
    <col min="1" max="1" width="8.84375" customWidth="1"/>
    <col min="2" max="2" width="3" style="30" customWidth="1"/>
    <col min="3" max="3" width="20.3046875" customWidth="1"/>
    <col min="4" max="4" width="12.07421875" customWidth="1"/>
    <col min="5" max="12" width="8.84375" customWidth="1"/>
    <col min="13" max="13" width="2.69140625" customWidth="1"/>
    <col min="28" max="28" width="10.4609375" bestFit="1" customWidth="1"/>
    <col min="29" max="29" width="12.53515625" customWidth="1"/>
    <col min="30" max="31" width="9.69140625" bestFit="1" customWidth="1"/>
  </cols>
  <sheetData>
    <row r="1" spans="2:26" ht="17.25" customHeight="1">
      <c r="R1" s="206"/>
    </row>
    <row r="2" spans="2:26" s="42" customFormat="1">
      <c r="B2" s="42" t="s">
        <v>186</v>
      </c>
      <c r="E2" s="42" t="s">
        <v>45</v>
      </c>
      <c r="H2" s="42" t="s">
        <v>44</v>
      </c>
      <c r="R2" s="207"/>
    </row>
    <row r="3" spans="2:26">
      <c r="B3" s="702">
        <f>'T1 Taloussuunnitelma'!B5:D5</f>
        <v>0</v>
      </c>
      <c r="C3" s="702"/>
      <c r="D3" s="702"/>
      <c r="E3" s="702">
        <f>'T1 Taloussuunnitelma'!E5:I5</f>
        <v>0</v>
      </c>
      <c r="F3" s="702"/>
      <c r="G3" s="702"/>
      <c r="H3" s="697">
        <f>'T1 Taloussuunnitelma'!J5</f>
        <v>0</v>
      </c>
      <c r="I3" s="697"/>
      <c r="K3" s="43"/>
      <c r="L3" s="43"/>
      <c r="R3" s="207"/>
    </row>
    <row r="4" spans="2:26" ht="6" customHeight="1" thickBot="1">
      <c r="R4" s="740"/>
      <c r="S4" s="740"/>
      <c r="T4" s="740"/>
      <c r="U4" s="740"/>
      <c r="V4" s="740"/>
      <c r="W4" s="740"/>
      <c r="X4" s="740"/>
      <c r="Y4" s="740"/>
    </row>
    <row r="5" spans="2:26" ht="11.25" customHeight="1">
      <c r="B5" s="734" t="s">
        <v>48</v>
      </c>
      <c r="C5" s="735"/>
      <c r="D5" s="736"/>
      <c r="E5" s="389" t="s">
        <v>42</v>
      </c>
      <c r="F5" s="389" t="s">
        <v>4</v>
      </c>
      <c r="G5" s="389" t="s">
        <v>21</v>
      </c>
      <c r="H5" s="389" t="s">
        <v>18</v>
      </c>
      <c r="I5" s="389" t="s">
        <v>25</v>
      </c>
      <c r="J5" s="389" t="s">
        <v>26</v>
      </c>
      <c r="K5" s="389" t="s">
        <v>27</v>
      </c>
      <c r="L5" s="390" t="s">
        <v>33</v>
      </c>
      <c r="R5" s="740"/>
      <c r="S5" s="740"/>
      <c r="T5" s="740"/>
      <c r="U5" s="740"/>
      <c r="V5" s="740"/>
      <c r="W5" s="740"/>
      <c r="X5" s="740"/>
      <c r="Y5" s="740"/>
    </row>
    <row r="6" spans="2:26" ht="12.65" customHeight="1" thickBot="1">
      <c r="B6" s="737"/>
      <c r="C6" s="738"/>
      <c r="D6" s="739"/>
      <c r="E6" s="391">
        <f>'T1 Taloussuunnitelma'!E8:F8</f>
        <v>2023</v>
      </c>
      <c r="F6" s="391">
        <f t="shared" ref="F6:L6" si="0">E6+1</f>
        <v>2024</v>
      </c>
      <c r="G6" s="391">
        <f t="shared" si="0"/>
        <v>2025</v>
      </c>
      <c r="H6" s="391">
        <f t="shared" si="0"/>
        <v>2026</v>
      </c>
      <c r="I6" s="391">
        <f t="shared" si="0"/>
        <v>2027</v>
      </c>
      <c r="J6" s="391">
        <f t="shared" si="0"/>
        <v>2028</v>
      </c>
      <c r="K6" s="391">
        <f t="shared" si="0"/>
        <v>2029</v>
      </c>
      <c r="L6" s="392">
        <f t="shared" si="0"/>
        <v>2030</v>
      </c>
      <c r="N6" s="2" t="s">
        <v>47</v>
      </c>
    </row>
    <row r="7" spans="2:26" ht="15.9" customHeight="1" thickBot="1">
      <c r="B7" s="393" t="s">
        <v>184</v>
      </c>
      <c r="C7" s="394"/>
      <c r="D7" s="394"/>
      <c r="E7" s="395"/>
      <c r="F7" s="395"/>
      <c r="G7" s="395"/>
      <c r="H7" s="395"/>
      <c r="I7" s="395"/>
      <c r="J7" s="395"/>
      <c r="K7" s="395"/>
      <c r="L7" s="396"/>
      <c r="N7" s="566" t="s">
        <v>193</v>
      </c>
      <c r="O7" s="567"/>
      <c r="P7" s="567"/>
      <c r="Q7" s="568"/>
      <c r="R7" s="568"/>
      <c r="S7" s="568"/>
      <c r="T7" s="568"/>
      <c r="U7" s="568"/>
      <c r="V7" s="568"/>
      <c r="W7" s="568"/>
      <c r="X7" s="568"/>
      <c r="Y7" s="569"/>
      <c r="Z7" s="565"/>
    </row>
    <row r="8" spans="2:26" s="1" customFormat="1" ht="12" customHeight="1">
      <c r="B8" s="346" t="s">
        <v>8</v>
      </c>
      <c r="C8" s="799" t="s">
        <v>235</v>
      </c>
      <c r="D8" s="77"/>
      <c r="E8" s="598">
        <v>0</v>
      </c>
      <c r="F8" s="599">
        <f>IF((F9+(1-F11)*F10/(1+F$23)-F13)&lt;0,0,F9+(1-F11)*F10/(1+F$23)-F13)</f>
        <v>0</v>
      </c>
      <c r="G8" s="599">
        <f t="shared" ref="G8:L8" si="1">IF((G9+(1-G11)*G10/(1+G$23)-G13)&lt;0,0,G9+(1-G11)*G10/(1+G$23)-G13)</f>
        <v>0</v>
      </c>
      <c r="H8" s="599">
        <f t="shared" si="1"/>
        <v>0</v>
      </c>
      <c r="I8" s="599">
        <f t="shared" si="1"/>
        <v>0</v>
      </c>
      <c r="J8" s="599">
        <f t="shared" si="1"/>
        <v>0</v>
      </c>
      <c r="K8" s="599">
        <f t="shared" si="1"/>
        <v>0</v>
      </c>
      <c r="L8" s="600">
        <f t="shared" si="1"/>
        <v>0</v>
      </c>
      <c r="N8" s="655"/>
      <c r="O8" s="593"/>
      <c r="P8" s="593"/>
      <c r="Q8" s="593"/>
      <c r="R8" s="593"/>
      <c r="S8" s="593"/>
      <c r="T8" s="593"/>
      <c r="U8" s="593"/>
      <c r="V8" s="593"/>
      <c r="W8" s="593"/>
      <c r="X8" s="593"/>
      <c r="Y8" s="594"/>
    </row>
    <row r="9" spans="2:26" s="80" customFormat="1" ht="12" customHeight="1">
      <c r="B9" s="351"/>
      <c r="C9" s="82" t="s">
        <v>34</v>
      </c>
      <c r="D9" s="83"/>
      <c r="E9" s="601"/>
      <c r="F9" s="544">
        <f t="shared" ref="F9:L9" si="2">E8</f>
        <v>0</v>
      </c>
      <c r="G9" s="544">
        <f t="shared" si="2"/>
        <v>0</v>
      </c>
      <c r="H9" s="544">
        <f t="shared" si="2"/>
        <v>0</v>
      </c>
      <c r="I9" s="544">
        <f t="shared" si="2"/>
        <v>0</v>
      </c>
      <c r="J9" s="544">
        <f t="shared" si="2"/>
        <v>0</v>
      </c>
      <c r="K9" s="544">
        <f t="shared" si="2"/>
        <v>0</v>
      </c>
      <c r="L9" s="602">
        <f t="shared" si="2"/>
        <v>0</v>
      </c>
      <c r="N9" s="586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575"/>
    </row>
    <row r="10" spans="2:26" s="80" customFormat="1" ht="12" customHeight="1">
      <c r="B10" s="351"/>
      <c r="C10" s="82" t="s">
        <v>141</v>
      </c>
      <c r="D10" s="83"/>
      <c r="E10" s="601"/>
      <c r="F10" s="543">
        <v>0</v>
      </c>
      <c r="G10" s="543">
        <v>0</v>
      </c>
      <c r="H10" s="543">
        <v>0</v>
      </c>
      <c r="I10" s="543">
        <v>0</v>
      </c>
      <c r="J10" s="543">
        <v>0</v>
      </c>
      <c r="K10" s="543">
        <v>0</v>
      </c>
      <c r="L10" s="603">
        <v>0</v>
      </c>
      <c r="N10" s="586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575"/>
    </row>
    <row r="11" spans="2:26" s="80" customFormat="1" ht="12" customHeight="1">
      <c r="B11" s="351"/>
      <c r="C11" s="82" t="s">
        <v>102</v>
      </c>
      <c r="D11" s="83"/>
      <c r="E11" s="601"/>
      <c r="F11" s="372">
        <v>0</v>
      </c>
      <c r="G11" s="372">
        <v>0</v>
      </c>
      <c r="H11" s="372">
        <v>0</v>
      </c>
      <c r="I11" s="372">
        <v>0</v>
      </c>
      <c r="J11" s="372">
        <v>0</v>
      </c>
      <c r="K11" s="372">
        <v>0</v>
      </c>
      <c r="L11" s="373">
        <v>0</v>
      </c>
      <c r="N11" s="586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575"/>
    </row>
    <row r="12" spans="2:26" s="80" customFormat="1" ht="12" customHeight="1">
      <c r="B12" s="351"/>
      <c r="C12" s="82" t="s">
        <v>35</v>
      </c>
      <c r="D12" s="83"/>
      <c r="E12" s="342"/>
      <c r="F12" s="372">
        <v>0</v>
      </c>
      <c r="G12" s="372">
        <f t="shared" ref="G12:L12" si="3">F12</f>
        <v>0</v>
      </c>
      <c r="H12" s="372">
        <f t="shared" si="3"/>
        <v>0</v>
      </c>
      <c r="I12" s="372">
        <f t="shared" si="3"/>
        <v>0</v>
      </c>
      <c r="J12" s="372">
        <f t="shared" si="3"/>
        <v>0</v>
      </c>
      <c r="K12" s="372">
        <f t="shared" si="3"/>
        <v>0</v>
      </c>
      <c r="L12" s="373">
        <f t="shared" si="3"/>
        <v>0</v>
      </c>
      <c r="N12" s="586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575"/>
    </row>
    <row r="13" spans="2:26" s="80" customFormat="1" ht="12" customHeight="1" thickBot="1">
      <c r="B13" s="352"/>
      <c r="C13" s="84" t="s">
        <v>36</v>
      </c>
      <c r="D13" s="85"/>
      <c r="E13" s="604"/>
      <c r="F13" s="605">
        <f t="shared" ref="F13:L13" si="4">((F9+F10/(1+F23)*(1-F11))*F12)</f>
        <v>0</v>
      </c>
      <c r="G13" s="605">
        <f t="shared" si="4"/>
        <v>0</v>
      </c>
      <c r="H13" s="605">
        <f t="shared" si="4"/>
        <v>0</v>
      </c>
      <c r="I13" s="605">
        <f t="shared" si="4"/>
        <v>0</v>
      </c>
      <c r="J13" s="605">
        <f t="shared" si="4"/>
        <v>0</v>
      </c>
      <c r="K13" s="605">
        <f t="shared" si="4"/>
        <v>0</v>
      </c>
      <c r="L13" s="606">
        <f t="shared" si="4"/>
        <v>0</v>
      </c>
      <c r="N13" s="586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575"/>
    </row>
    <row r="14" spans="2:26" ht="12" customHeight="1">
      <c r="B14" s="346" t="s">
        <v>9</v>
      </c>
      <c r="C14" s="800" t="s">
        <v>236</v>
      </c>
      <c r="D14" s="801"/>
      <c r="E14" s="598">
        <v>0</v>
      </c>
      <c r="F14" s="599">
        <f>IF((F15+(1-F17)*F16/(1+F$23)-F19)&lt;0,0,F15+(1-F17)*F16/(1+F$23)-F19)</f>
        <v>0</v>
      </c>
      <c r="G14" s="599">
        <f t="shared" ref="G14:L14" si="5">IF((G15+(1-G17)*G16/(1+G$23)-G19)&lt;0,0,G15+(1-G17)*G16/(1+G$23)-G19)</f>
        <v>0</v>
      </c>
      <c r="H14" s="599">
        <f t="shared" si="5"/>
        <v>0</v>
      </c>
      <c r="I14" s="599">
        <f t="shared" si="5"/>
        <v>0</v>
      </c>
      <c r="J14" s="599">
        <f t="shared" si="5"/>
        <v>0</v>
      </c>
      <c r="K14" s="599">
        <f t="shared" si="5"/>
        <v>0</v>
      </c>
      <c r="L14" s="600">
        <f t="shared" si="5"/>
        <v>0</v>
      </c>
      <c r="N14" s="586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575"/>
    </row>
    <row r="15" spans="2:26" s="80" customFormat="1" ht="12" customHeight="1">
      <c r="B15" s="353"/>
      <c r="C15" s="82" t="s">
        <v>34</v>
      </c>
      <c r="D15" s="83"/>
      <c r="E15" s="344"/>
      <c r="F15" s="554">
        <f t="shared" ref="F15:L15" si="6">E14</f>
        <v>0</v>
      </c>
      <c r="G15" s="554">
        <f t="shared" si="6"/>
        <v>0</v>
      </c>
      <c r="H15" s="554">
        <f t="shared" si="6"/>
        <v>0</v>
      </c>
      <c r="I15" s="554">
        <f t="shared" si="6"/>
        <v>0</v>
      </c>
      <c r="J15" s="554">
        <f t="shared" si="6"/>
        <v>0</v>
      </c>
      <c r="K15" s="554">
        <f t="shared" si="6"/>
        <v>0</v>
      </c>
      <c r="L15" s="607">
        <f t="shared" si="6"/>
        <v>0</v>
      </c>
      <c r="N15" s="586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575"/>
    </row>
    <row r="16" spans="2:26" s="80" customFormat="1" ht="12" customHeight="1">
      <c r="B16" s="353"/>
      <c r="C16" s="82" t="s">
        <v>142</v>
      </c>
      <c r="D16" s="83"/>
      <c r="E16" s="344"/>
      <c r="F16" s="543">
        <v>0</v>
      </c>
      <c r="G16" s="543">
        <v>0</v>
      </c>
      <c r="H16" s="543">
        <v>0</v>
      </c>
      <c r="I16" s="543">
        <v>0</v>
      </c>
      <c r="J16" s="543">
        <v>0</v>
      </c>
      <c r="K16" s="543">
        <v>0</v>
      </c>
      <c r="L16" s="603">
        <v>0</v>
      </c>
      <c r="N16" s="586"/>
      <c r="O16" s="420"/>
      <c r="P16" s="420"/>
      <c r="Q16" s="420"/>
      <c r="R16" s="420"/>
      <c r="S16" s="420"/>
      <c r="T16" s="420"/>
      <c r="U16" s="420"/>
      <c r="V16" s="420"/>
      <c r="W16" s="420"/>
      <c r="X16" s="420"/>
      <c r="Y16" s="575"/>
    </row>
    <row r="17" spans="1:25" s="80" customFormat="1" ht="12" customHeight="1">
      <c r="B17" s="353"/>
      <c r="C17" s="82" t="s">
        <v>102</v>
      </c>
      <c r="D17" s="83"/>
      <c r="E17" s="601"/>
      <c r="F17" s="372">
        <v>0</v>
      </c>
      <c r="G17" s="372">
        <v>0</v>
      </c>
      <c r="H17" s="372">
        <v>0</v>
      </c>
      <c r="I17" s="372">
        <v>0</v>
      </c>
      <c r="J17" s="372">
        <v>0</v>
      </c>
      <c r="K17" s="372">
        <v>0</v>
      </c>
      <c r="L17" s="373">
        <v>0</v>
      </c>
      <c r="N17" s="586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575"/>
    </row>
    <row r="18" spans="1:25" s="80" customFormat="1" ht="12" customHeight="1">
      <c r="B18" s="353"/>
      <c r="C18" s="82" t="s">
        <v>35</v>
      </c>
      <c r="D18" s="83"/>
      <c r="E18" s="608"/>
      <c r="F18" s="372">
        <v>0</v>
      </c>
      <c r="G18" s="372">
        <f t="shared" ref="G18:L18" si="7">F18</f>
        <v>0</v>
      </c>
      <c r="H18" s="372">
        <f t="shared" si="7"/>
        <v>0</v>
      </c>
      <c r="I18" s="372">
        <f t="shared" si="7"/>
        <v>0</v>
      </c>
      <c r="J18" s="372">
        <f t="shared" si="7"/>
        <v>0</v>
      </c>
      <c r="K18" s="372">
        <f t="shared" si="7"/>
        <v>0</v>
      </c>
      <c r="L18" s="373">
        <f t="shared" si="7"/>
        <v>0</v>
      </c>
      <c r="N18" s="586"/>
      <c r="O18" s="420"/>
      <c r="P18" s="420"/>
      <c r="Q18" s="420"/>
      <c r="R18" s="420"/>
      <c r="S18" s="420"/>
      <c r="T18" s="420"/>
      <c r="U18" s="420"/>
      <c r="V18" s="420"/>
      <c r="W18" s="420"/>
      <c r="X18" s="420"/>
      <c r="Y18" s="575"/>
    </row>
    <row r="19" spans="1:25" s="80" customFormat="1" ht="12" customHeight="1" thickBot="1">
      <c r="B19" s="354"/>
      <c r="C19" s="84" t="s">
        <v>36</v>
      </c>
      <c r="D19" s="85"/>
      <c r="E19" s="609"/>
      <c r="F19" s="605">
        <f t="shared" ref="F19:L19" si="8">((F15+F16/(1+F23)*(1-F17))*F18)</f>
        <v>0</v>
      </c>
      <c r="G19" s="605">
        <f t="shared" si="8"/>
        <v>0</v>
      </c>
      <c r="H19" s="605">
        <f t="shared" si="8"/>
        <v>0</v>
      </c>
      <c r="I19" s="605">
        <f t="shared" si="8"/>
        <v>0</v>
      </c>
      <c r="J19" s="605">
        <f t="shared" si="8"/>
        <v>0</v>
      </c>
      <c r="K19" s="605">
        <f t="shared" si="8"/>
        <v>0</v>
      </c>
      <c r="L19" s="606">
        <f t="shared" si="8"/>
        <v>0</v>
      </c>
      <c r="N19" s="586"/>
      <c r="O19" s="420"/>
      <c r="P19" s="420"/>
      <c r="Q19" s="420" t="s">
        <v>0</v>
      </c>
      <c r="R19" s="420"/>
      <c r="S19" s="420"/>
      <c r="T19" s="420"/>
      <c r="U19" s="420"/>
      <c r="V19" s="420"/>
      <c r="W19" s="420"/>
      <c r="X19" s="420"/>
      <c r="Y19" s="575"/>
    </row>
    <row r="20" spans="1:25" ht="12" customHeight="1">
      <c r="B20" s="355" t="s">
        <v>10</v>
      </c>
      <c r="C20" s="802" t="s">
        <v>305</v>
      </c>
      <c r="D20" s="261"/>
      <c r="E20" s="343"/>
      <c r="F20" s="598">
        <v>0</v>
      </c>
      <c r="G20" s="598">
        <v>0</v>
      </c>
      <c r="H20" s="598">
        <v>0</v>
      </c>
      <c r="I20" s="598">
        <v>0</v>
      </c>
      <c r="J20" s="598">
        <v>0</v>
      </c>
      <c r="K20" s="598">
        <v>0</v>
      </c>
      <c r="L20" s="610">
        <v>0</v>
      </c>
      <c r="N20" s="586">
        <v>0</v>
      </c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575"/>
    </row>
    <row r="21" spans="1:25" s="80" customFormat="1" ht="12" customHeight="1" thickBot="1">
      <c r="B21" s="353"/>
      <c r="C21" s="82" t="s">
        <v>102</v>
      </c>
      <c r="D21" s="83"/>
      <c r="E21" s="601"/>
      <c r="F21" s="372">
        <v>0</v>
      </c>
      <c r="G21" s="372">
        <v>0</v>
      </c>
      <c r="H21" s="372">
        <v>0</v>
      </c>
      <c r="I21" s="372">
        <v>0</v>
      </c>
      <c r="J21" s="372">
        <v>0</v>
      </c>
      <c r="K21" s="372">
        <v>0</v>
      </c>
      <c r="L21" s="373">
        <v>0</v>
      </c>
      <c r="N21" s="586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575"/>
    </row>
    <row r="22" spans="1:25" ht="12" customHeight="1" thickBot="1">
      <c r="B22" s="356" t="s">
        <v>11</v>
      </c>
      <c r="C22" s="803" t="s">
        <v>237</v>
      </c>
      <c r="D22" s="804"/>
      <c r="E22" s="611"/>
      <c r="F22" s="612">
        <v>0</v>
      </c>
      <c r="G22" s="612"/>
      <c r="H22" s="612">
        <v>0</v>
      </c>
      <c r="I22" s="612">
        <v>0</v>
      </c>
      <c r="J22" s="612"/>
      <c r="K22" s="612">
        <v>0</v>
      </c>
      <c r="L22" s="613"/>
      <c r="N22" s="586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575"/>
    </row>
    <row r="23" spans="1:25" ht="12" customHeight="1" thickBot="1">
      <c r="B23" s="62"/>
      <c r="C23" s="741" t="s">
        <v>139</v>
      </c>
      <c r="D23" s="742"/>
      <c r="E23" s="614"/>
      <c r="F23" s="370">
        <v>0.24</v>
      </c>
      <c r="G23" s="370">
        <f t="shared" ref="G23:L23" si="9">F23</f>
        <v>0.24</v>
      </c>
      <c r="H23" s="370">
        <f t="shared" si="9"/>
        <v>0.24</v>
      </c>
      <c r="I23" s="370">
        <f t="shared" si="9"/>
        <v>0.24</v>
      </c>
      <c r="J23" s="370">
        <f t="shared" si="9"/>
        <v>0.24</v>
      </c>
      <c r="K23" s="370">
        <f t="shared" si="9"/>
        <v>0.24</v>
      </c>
      <c r="L23" s="371">
        <f t="shared" si="9"/>
        <v>0.24</v>
      </c>
      <c r="N23" s="586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575"/>
    </row>
    <row r="24" spans="1:25" ht="12" customHeight="1" thickBot="1">
      <c r="B24" s="383" t="s">
        <v>12</v>
      </c>
      <c r="C24" s="52" t="s">
        <v>213</v>
      </c>
      <c r="D24" s="63"/>
      <c r="E24" s="611"/>
      <c r="F24" s="612">
        <v>0</v>
      </c>
      <c r="G24" s="612"/>
      <c r="H24" s="612"/>
      <c r="I24" s="612"/>
      <c r="J24" s="612"/>
      <c r="K24" s="612"/>
      <c r="L24" s="613">
        <v>0</v>
      </c>
      <c r="N24" s="586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575"/>
    </row>
    <row r="25" spans="1:25" ht="12" customHeight="1" thickBot="1">
      <c r="B25" s="731" t="s">
        <v>64</v>
      </c>
      <c r="C25" s="732"/>
      <c r="D25" s="733"/>
      <c r="E25" s="615">
        <v>0</v>
      </c>
      <c r="F25" s="616">
        <f t="shared" ref="F25:L25" si="10">F10+F16+F20+F22+F24</f>
        <v>0</v>
      </c>
      <c r="G25" s="616">
        <f t="shared" si="10"/>
        <v>0</v>
      </c>
      <c r="H25" s="616">
        <f t="shared" si="10"/>
        <v>0</v>
      </c>
      <c r="I25" s="616">
        <f t="shared" si="10"/>
        <v>0</v>
      </c>
      <c r="J25" s="616">
        <f t="shared" si="10"/>
        <v>0</v>
      </c>
      <c r="K25" s="616">
        <f t="shared" si="10"/>
        <v>0</v>
      </c>
      <c r="L25" s="617">
        <f t="shared" si="10"/>
        <v>0</v>
      </c>
      <c r="N25" s="586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575"/>
    </row>
    <row r="26" spans="1:25" ht="6" customHeight="1" thickBot="1">
      <c r="B26" s="52"/>
      <c r="C26" s="78"/>
      <c r="D26" s="78"/>
      <c r="E26" s="95"/>
      <c r="F26" s="112"/>
      <c r="G26" s="112"/>
      <c r="H26" s="112"/>
      <c r="I26" s="112"/>
      <c r="J26" s="112"/>
      <c r="K26" s="112"/>
      <c r="L26" s="112"/>
      <c r="N26" s="570"/>
      <c r="O26" s="571"/>
      <c r="P26" s="571"/>
      <c r="Q26" s="571"/>
      <c r="R26" s="571"/>
      <c r="S26" s="571"/>
      <c r="T26" s="571"/>
      <c r="U26" s="571"/>
      <c r="V26" s="571"/>
      <c r="W26" s="571"/>
      <c r="X26" s="571"/>
      <c r="Y26" s="572"/>
    </row>
    <row r="27" spans="1:25" ht="15.9" customHeight="1" thickBot="1">
      <c r="B27" s="393" t="s">
        <v>151</v>
      </c>
      <c r="C27" s="397"/>
      <c r="D27" s="397"/>
      <c r="E27" s="398"/>
      <c r="F27" s="399"/>
      <c r="G27" s="399"/>
      <c r="H27" s="399"/>
      <c r="I27" s="399"/>
      <c r="J27" s="399"/>
      <c r="K27" s="399"/>
      <c r="L27" s="400"/>
      <c r="N27" s="566" t="s">
        <v>76</v>
      </c>
      <c r="O27" s="567"/>
      <c r="P27" s="567"/>
      <c r="Q27" s="568"/>
      <c r="R27" s="573"/>
      <c r="S27" s="573"/>
      <c r="T27" s="573"/>
      <c r="U27" s="573"/>
      <c r="V27" s="573"/>
      <c r="W27" s="573"/>
      <c r="X27" s="573"/>
      <c r="Y27" s="574"/>
    </row>
    <row r="28" spans="1:25" ht="12" customHeight="1">
      <c r="B28" s="346" t="s">
        <v>8</v>
      </c>
      <c r="C28" s="805" t="s">
        <v>238</v>
      </c>
      <c r="D28" s="806"/>
      <c r="E28" s="618" t="s">
        <v>43</v>
      </c>
      <c r="F28" s="598">
        <v>0</v>
      </c>
      <c r="G28" s="598">
        <v>0</v>
      </c>
      <c r="H28" s="598">
        <v>0</v>
      </c>
      <c r="I28" s="598">
        <v>0</v>
      </c>
      <c r="J28" s="598">
        <v>0</v>
      </c>
      <c r="K28" s="598">
        <v>0</v>
      </c>
      <c r="L28" s="610">
        <v>0</v>
      </c>
      <c r="N28" s="655"/>
      <c r="O28" s="593"/>
      <c r="P28" s="593"/>
      <c r="Q28" s="593"/>
      <c r="R28" s="593"/>
      <c r="S28" s="593"/>
      <c r="T28" s="593"/>
      <c r="U28" s="593"/>
      <c r="V28" s="593"/>
      <c r="W28" s="593"/>
      <c r="X28" s="593"/>
      <c r="Y28" s="594"/>
    </row>
    <row r="29" spans="1:25" s="80" customFormat="1" ht="12" customHeight="1">
      <c r="A29" s="2"/>
      <c r="B29" s="349"/>
      <c r="C29" s="86" t="s">
        <v>198</v>
      </c>
      <c r="D29" s="87"/>
      <c r="E29" s="345"/>
      <c r="F29" s="538">
        <f>F28</f>
        <v>0</v>
      </c>
      <c r="G29" s="538">
        <f t="shared" ref="G29:L29" si="11">IF(F33&lt;0,0,F33)</f>
        <v>0</v>
      </c>
      <c r="H29" s="538">
        <f t="shared" si="11"/>
        <v>0</v>
      </c>
      <c r="I29" s="538">
        <f t="shared" si="11"/>
        <v>0</v>
      </c>
      <c r="J29" s="538">
        <f t="shared" si="11"/>
        <v>0</v>
      </c>
      <c r="K29" s="538">
        <f t="shared" si="11"/>
        <v>0</v>
      </c>
      <c r="L29" s="621">
        <f t="shared" si="11"/>
        <v>0</v>
      </c>
      <c r="N29" s="586"/>
      <c r="O29" s="420"/>
      <c r="P29" s="420"/>
      <c r="Q29" s="420"/>
      <c r="R29" s="420">
        <v>0</v>
      </c>
      <c r="S29" s="420"/>
      <c r="T29" s="420"/>
      <c r="U29" s="420"/>
      <c r="V29" s="420"/>
      <c r="W29" s="420"/>
      <c r="X29" s="420"/>
      <c r="Y29" s="575"/>
    </row>
    <row r="30" spans="1:25" s="80" customFormat="1" ht="12" customHeight="1">
      <c r="A30" s="96"/>
      <c r="B30" s="347"/>
      <c r="C30" s="88" t="s">
        <v>38</v>
      </c>
      <c r="D30" s="89"/>
      <c r="E30" s="344"/>
      <c r="F30" s="543">
        <v>0</v>
      </c>
      <c r="G30" s="543">
        <f t="shared" ref="G30:L30" si="12">F30</f>
        <v>0</v>
      </c>
      <c r="H30" s="543">
        <f t="shared" si="12"/>
        <v>0</v>
      </c>
      <c r="I30" s="543">
        <f t="shared" si="12"/>
        <v>0</v>
      </c>
      <c r="J30" s="543">
        <f t="shared" si="12"/>
        <v>0</v>
      </c>
      <c r="K30" s="543">
        <f t="shared" si="12"/>
        <v>0</v>
      </c>
      <c r="L30" s="603">
        <f t="shared" si="12"/>
        <v>0</v>
      </c>
      <c r="N30" s="586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575"/>
    </row>
    <row r="31" spans="1:25" s="80" customFormat="1" ht="12" customHeight="1">
      <c r="A31" s="96"/>
      <c r="B31" s="347"/>
      <c r="C31" s="88" t="s">
        <v>39</v>
      </c>
      <c r="D31" s="89"/>
      <c r="E31" s="345"/>
      <c r="F31" s="372">
        <v>0</v>
      </c>
      <c r="G31" s="372">
        <f t="shared" ref="G31:L31" si="13">F31</f>
        <v>0</v>
      </c>
      <c r="H31" s="372">
        <f t="shared" si="13"/>
        <v>0</v>
      </c>
      <c r="I31" s="372">
        <f t="shared" si="13"/>
        <v>0</v>
      </c>
      <c r="J31" s="372">
        <f t="shared" si="13"/>
        <v>0</v>
      </c>
      <c r="K31" s="372">
        <f t="shared" si="13"/>
        <v>0</v>
      </c>
      <c r="L31" s="373">
        <f t="shared" si="13"/>
        <v>0</v>
      </c>
      <c r="N31" s="586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575"/>
    </row>
    <row r="32" spans="1:25" s="80" customFormat="1" ht="12" customHeight="1">
      <c r="A32"/>
      <c r="B32" s="347"/>
      <c r="C32" s="88" t="s">
        <v>41</v>
      </c>
      <c r="D32" s="89"/>
      <c r="E32" s="344"/>
      <c r="F32" s="544">
        <f>(F28-F30/2)*F31</f>
        <v>0</v>
      </c>
      <c r="G32" s="544">
        <f t="shared" ref="G32:L32" si="14">IF(G28+G29-G30&lt;0,0,(G29+G28-G30/2)*G31)</f>
        <v>0</v>
      </c>
      <c r="H32" s="544">
        <f t="shared" si="14"/>
        <v>0</v>
      </c>
      <c r="I32" s="544">
        <f t="shared" si="14"/>
        <v>0</v>
      </c>
      <c r="J32" s="544">
        <f t="shared" si="14"/>
        <v>0</v>
      </c>
      <c r="K32" s="544">
        <f t="shared" si="14"/>
        <v>0</v>
      </c>
      <c r="L32" s="602">
        <f t="shared" si="14"/>
        <v>0</v>
      </c>
      <c r="N32" s="586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575"/>
    </row>
    <row r="33" spans="1:25" s="80" customFormat="1" ht="12" customHeight="1" thickBot="1">
      <c r="A33" s="96"/>
      <c r="B33" s="348"/>
      <c r="C33" s="91" t="s">
        <v>40</v>
      </c>
      <c r="D33" s="92"/>
      <c r="E33" s="609"/>
      <c r="F33" s="622">
        <f>IF(F29-F30&lt;0,0,F28-F30)</f>
        <v>0</v>
      </c>
      <c r="G33" s="622">
        <f t="shared" ref="G33:L33" si="15">IF(G29+G28-G30&lt;0,0,G29+G28-G30)</f>
        <v>0</v>
      </c>
      <c r="H33" s="622">
        <f t="shared" si="15"/>
        <v>0</v>
      </c>
      <c r="I33" s="622">
        <f t="shared" si="15"/>
        <v>0</v>
      </c>
      <c r="J33" s="622">
        <f t="shared" si="15"/>
        <v>0</v>
      </c>
      <c r="K33" s="622">
        <f t="shared" si="15"/>
        <v>0</v>
      </c>
      <c r="L33" s="623">
        <f t="shared" si="15"/>
        <v>0</v>
      </c>
      <c r="N33" s="586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575"/>
    </row>
    <row r="34" spans="1:25" ht="12" customHeight="1">
      <c r="B34" s="346" t="s">
        <v>9</v>
      </c>
      <c r="C34" s="805" t="s">
        <v>239</v>
      </c>
      <c r="D34" s="806"/>
      <c r="E34" s="618" t="s">
        <v>43</v>
      </c>
      <c r="F34" s="598">
        <v>0</v>
      </c>
      <c r="G34" s="598">
        <v>0</v>
      </c>
      <c r="H34" s="598">
        <v>0</v>
      </c>
      <c r="I34" s="598">
        <v>0</v>
      </c>
      <c r="J34" s="598">
        <v>0</v>
      </c>
      <c r="K34" s="598">
        <v>0</v>
      </c>
      <c r="L34" s="610">
        <v>0</v>
      </c>
      <c r="N34" s="586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575"/>
    </row>
    <row r="35" spans="1:25" s="80" customFormat="1" ht="12" customHeight="1">
      <c r="A35" s="96"/>
      <c r="B35" s="349"/>
      <c r="C35" s="86" t="s">
        <v>198</v>
      </c>
      <c r="D35" s="87"/>
      <c r="E35" s="345"/>
      <c r="F35" s="538">
        <f>F34</f>
        <v>0</v>
      </c>
      <c r="G35" s="538">
        <f t="shared" ref="G35:L35" si="16">IF(F39&lt;0,0,F39)</f>
        <v>0</v>
      </c>
      <c r="H35" s="538">
        <f t="shared" si="16"/>
        <v>0</v>
      </c>
      <c r="I35" s="538">
        <f t="shared" si="16"/>
        <v>0</v>
      </c>
      <c r="J35" s="538">
        <f t="shared" si="16"/>
        <v>0</v>
      </c>
      <c r="K35" s="538">
        <f t="shared" si="16"/>
        <v>0</v>
      </c>
      <c r="L35" s="621">
        <f t="shared" si="16"/>
        <v>0</v>
      </c>
      <c r="N35" s="586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575"/>
    </row>
    <row r="36" spans="1:25" s="80" customFormat="1" ht="12" customHeight="1">
      <c r="B36" s="347"/>
      <c r="C36" s="88" t="s">
        <v>38</v>
      </c>
      <c r="D36" s="89"/>
      <c r="E36" s="344"/>
      <c r="F36" s="543">
        <v>0</v>
      </c>
      <c r="G36" s="543">
        <f t="shared" ref="G36:L36" si="17">F36</f>
        <v>0</v>
      </c>
      <c r="H36" s="543">
        <f t="shared" si="17"/>
        <v>0</v>
      </c>
      <c r="I36" s="543">
        <f t="shared" si="17"/>
        <v>0</v>
      </c>
      <c r="J36" s="543">
        <f t="shared" si="17"/>
        <v>0</v>
      </c>
      <c r="K36" s="543">
        <f t="shared" si="17"/>
        <v>0</v>
      </c>
      <c r="L36" s="603">
        <f t="shared" si="17"/>
        <v>0</v>
      </c>
      <c r="N36" s="586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575"/>
    </row>
    <row r="37" spans="1:25" s="80" customFormat="1" ht="12" customHeight="1">
      <c r="B37" s="347"/>
      <c r="C37" s="88" t="s">
        <v>39</v>
      </c>
      <c r="D37" s="89"/>
      <c r="E37" s="345"/>
      <c r="F37" s="372">
        <v>0</v>
      </c>
      <c r="G37" s="372">
        <f t="shared" ref="G37:L37" si="18">F37</f>
        <v>0</v>
      </c>
      <c r="H37" s="372">
        <f t="shared" si="18"/>
        <v>0</v>
      </c>
      <c r="I37" s="372">
        <f t="shared" si="18"/>
        <v>0</v>
      </c>
      <c r="J37" s="372">
        <f t="shared" si="18"/>
        <v>0</v>
      </c>
      <c r="K37" s="372">
        <f t="shared" si="18"/>
        <v>0</v>
      </c>
      <c r="L37" s="373">
        <f t="shared" si="18"/>
        <v>0</v>
      </c>
      <c r="N37" s="586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575"/>
    </row>
    <row r="38" spans="1:25" s="80" customFormat="1" ht="12" customHeight="1">
      <c r="A38"/>
      <c r="B38" s="347"/>
      <c r="C38" s="88" t="s">
        <v>41</v>
      </c>
      <c r="D38" s="89"/>
      <c r="E38" s="344"/>
      <c r="F38" s="544">
        <f>(F34-F36/2)*F37</f>
        <v>0</v>
      </c>
      <c r="G38" s="544">
        <f t="shared" ref="G38:L38" si="19">IF(G34+G35-G36&lt;0,0,(G35+G34-G36/2)*G37)</f>
        <v>0</v>
      </c>
      <c r="H38" s="544">
        <f t="shared" si="19"/>
        <v>0</v>
      </c>
      <c r="I38" s="544">
        <f t="shared" si="19"/>
        <v>0</v>
      </c>
      <c r="J38" s="544">
        <f t="shared" si="19"/>
        <v>0</v>
      </c>
      <c r="K38" s="544">
        <f t="shared" si="19"/>
        <v>0</v>
      </c>
      <c r="L38" s="602">
        <f t="shared" si="19"/>
        <v>0</v>
      </c>
      <c r="N38" s="586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575"/>
    </row>
    <row r="39" spans="1:25" s="80" customFormat="1" ht="12" customHeight="1" thickBot="1">
      <c r="B39" s="348"/>
      <c r="C39" s="91" t="s">
        <v>40</v>
      </c>
      <c r="D39" s="92"/>
      <c r="E39" s="609"/>
      <c r="F39" s="622">
        <f>IF(F35-F36&lt;0,0,F34-F36)</f>
        <v>0</v>
      </c>
      <c r="G39" s="622">
        <f t="shared" ref="G39:L39" si="20">IF(G35+G34-G36&lt;0,0,G35+G34-G36)</f>
        <v>0</v>
      </c>
      <c r="H39" s="622">
        <f t="shared" si="20"/>
        <v>0</v>
      </c>
      <c r="I39" s="622">
        <f t="shared" si="20"/>
        <v>0</v>
      </c>
      <c r="J39" s="622">
        <f t="shared" si="20"/>
        <v>0</v>
      </c>
      <c r="K39" s="622">
        <f t="shared" si="20"/>
        <v>0</v>
      </c>
      <c r="L39" s="623">
        <f t="shared" si="20"/>
        <v>0</v>
      </c>
      <c r="N39" s="586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575"/>
    </row>
    <row r="40" spans="1:25" ht="12" customHeight="1">
      <c r="A40" s="80"/>
      <c r="B40" s="346" t="s">
        <v>10</v>
      </c>
      <c r="C40" s="805" t="s">
        <v>240</v>
      </c>
      <c r="D40" s="806"/>
      <c r="E40" s="618" t="s">
        <v>43</v>
      </c>
      <c r="F40" s="598"/>
      <c r="G40" s="598">
        <v>0</v>
      </c>
      <c r="H40" s="598">
        <v>0</v>
      </c>
      <c r="I40" s="598">
        <v>0</v>
      </c>
      <c r="J40" s="598">
        <v>0</v>
      </c>
      <c r="K40" s="598">
        <v>0</v>
      </c>
      <c r="L40" s="610">
        <v>0</v>
      </c>
      <c r="N40" s="586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575"/>
    </row>
    <row r="41" spans="1:25" s="80" customFormat="1" ht="12" customHeight="1">
      <c r="B41" s="349"/>
      <c r="C41" s="86" t="s">
        <v>198</v>
      </c>
      <c r="D41" s="87"/>
      <c r="E41" s="345"/>
      <c r="F41" s="538">
        <f>F40</f>
        <v>0</v>
      </c>
      <c r="G41" s="538">
        <f t="shared" ref="G41:L41" si="21">IF(F45&lt;0,0,F45)</f>
        <v>0</v>
      </c>
      <c r="H41" s="538">
        <f t="shared" si="21"/>
        <v>0</v>
      </c>
      <c r="I41" s="538">
        <f t="shared" si="21"/>
        <v>0</v>
      </c>
      <c r="J41" s="538">
        <f t="shared" si="21"/>
        <v>0</v>
      </c>
      <c r="K41" s="538">
        <f t="shared" si="21"/>
        <v>0</v>
      </c>
      <c r="L41" s="621">
        <f t="shared" si="21"/>
        <v>0</v>
      </c>
      <c r="N41" s="586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575"/>
    </row>
    <row r="42" spans="1:25" s="80" customFormat="1" ht="12" customHeight="1">
      <c r="B42" s="347"/>
      <c r="C42" s="88" t="s">
        <v>38</v>
      </c>
      <c r="D42" s="89"/>
      <c r="E42" s="344"/>
      <c r="F42" s="543">
        <v>0</v>
      </c>
      <c r="G42" s="543">
        <f t="shared" ref="G42:L42" si="22">F42</f>
        <v>0</v>
      </c>
      <c r="H42" s="543">
        <f t="shared" si="22"/>
        <v>0</v>
      </c>
      <c r="I42" s="543">
        <f t="shared" si="22"/>
        <v>0</v>
      </c>
      <c r="J42" s="543">
        <f t="shared" si="22"/>
        <v>0</v>
      </c>
      <c r="K42" s="543">
        <f t="shared" si="22"/>
        <v>0</v>
      </c>
      <c r="L42" s="603">
        <f t="shared" si="22"/>
        <v>0</v>
      </c>
      <c r="N42" s="586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575"/>
    </row>
    <row r="43" spans="1:25" s="80" customFormat="1" ht="12" customHeight="1">
      <c r="B43" s="347"/>
      <c r="C43" s="88" t="s">
        <v>39</v>
      </c>
      <c r="D43" s="89"/>
      <c r="E43" s="345"/>
      <c r="F43" s="372">
        <v>0</v>
      </c>
      <c r="G43" s="372">
        <f t="shared" ref="G43:L43" si="23">F43</f>
        <v>0</v>
      </c>
      <c r="H43" s="372">
        <f t="shared" si="23"/>
        <v>0</v>
      </c>
      <c r="I43" s="372">
        <f t="shared" si="23"/>
        <v>0</v>
      </c>
      <c r="J43" s="372">
        <f t="shared" si="23"/>
        <v>0</v>
      </c>
      <c r="K43" s="372">
        <f t="shared" si="23"/>
        <v>0</v>
      </c>
      <c r="L43" s="373">
        <f t="shared" si="23"/>
        <v>0</v>
      </c>
      <c r="N43" s="586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575"/>
    </row>
    <row r="44" spans="1:25" s="80" customFormat="1" ht="12" customHeight="1">
      <c r="A44"/>
      <c r="B44" s="347"/>
      <c r="C44" s="88" t="s">
        <v>41</v>
      </c>
      <c r="D44" s="89"/>
      <c r="E44" s="344"/>
      <c r="F44" s="554">
        <f>(F40-F42/2)*F43</f>
        <v>0</v>
      </c>
      <c r="G44" s="554">
        <f t="shared" ref="G44:L44" si="24">IF(G40+G41-G42&lt;0,0,(G41+G40-G42/2)*G43)</f>
        <v>0</v>
      </c>
      <c r="H44" s="554">
        <f t="shared" si="24"/>
        <v>0</v>
      </c>
      <c r="I44" s="554">
        <f t="shared" si="24"/>
        <v>0</v>
      </c>
      <c r="J44" s="554">
        <f t="shared" si="24"/>
        <v>0</v>
      </c>
      <c r="K44" s="554">
        <f t="shared" si="24"/>
        <v>0</v>
      </c>
      <c r="L44" s="607">
        <f t="shared" si="24"/>
        <v>0</v>
      </c>
      <c r="N44" s="586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575"/>
    </row>
    <row r="45" spans="1:25" s="80" customFormat="1" ht="12" customHeight="1" thickBot="1">
      <c r="B45" s="348"/>
      <c r="C45" s="91" t="s">
        <v>40</v>
      </c>
      <c r="D45" s="92"/>
      <c r="E45" s="609"/>
      <c r="F45" s="622">
        <f>IF(F41-F42&lt;0,0,F40-F42)</f>
        <v>0</v>
      </c>
      <c r="G45" s="622">
        <f t="shared" ref="G45:L45" si="25">IF(G41+G40-G42&lt;0,0,G41+G40-G42)</f>
        <v>0</v>
      </c>
      <c r="H45" s="622">
        <f t="shared" si="25"/>
        <v>0</v>
      </c>
      <c r="I45" s="622">
        <f t="shared" si="25"/>
        <v>0</v>
      </c>
      <c r="J45" s="622">
        <f t="shared" si="25"/>
        <v>0</v>
      </c>
      <c r="K45" s="622">
        <f t="shared" si="25"/>
        <v>0</v>
      </c>
      <c r="L45" s="623">
        <f t="shared" si="25"/>
        <v>0</v>
      </c>
      <c r="N45" s="586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575"/>
    </row>
    <row r="46" spans="1:25" ht="12" customHeight="1">
      <c r="B46" s="346" t="s">
        <v>11</v>
      </c>
      <c r="C46" s="805" t="s">
        <v>241</v>
      </c>
      <c r="D46" s="806"/>
      <c r="E46" s="618" t="s">
        <v>43</v>
      </c>
      <c r="F46" s="598">
        <v>0</v>
      </c>
      <c r="G46" s="598">
        <v>0</v>
      </c>
      <c r="H46" s="598">
        <v>0</v>
      </c>
      <c r="I46" s="598">
        <v>0</v>
      </c>
      <c r="J46" s="598">
        <v>0</v>
      </c>
      <c r="K46" s="598">
        <v>0</v>
      </c>
      <c r="L46" s="610">
        <v>0</v>
      </c>
      <c r="N46" s="586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575"/>
    </row>
    <row r="47" spans="1:25" s="80" customFormat="1" ht="12" customHeight="1">
      <c r="A47"/>
      <c r="B47" s="349"/>
      <c r="C47" s="86" t="s">
        <v>198</v>
      </c>
      <c r="D47" s="87"/>
      <c r="E47" s="345"/>
      <c r="F47" s="538">
        <f>F46</f>
        <v>0</v>
      </c>
      <c r="G47" s="538">
        <f t="shared" ref="G47:L47" si="26">IF(F51&lt;0,0,F51)</f>
        <v>0</v>
      </c>
      <c r="H47" s="538">
        <f t="shared" si="26"/>
        <v>0</v>
      </c>
      <c r="I47" s="538">
        <f t="shared" si="26"/>
        <v>0</v>
      </c>
      <c r="J47" s="538">
        <f t="shared" si="26"/>
        <v>0</v>
      </c>
      <c r="K47" s="538">
        <f t="shared" si="26"/>
        <v>0</v>
      </c>
      <c r="L47" s="621">
        <f t="shared" si="26"/>
        <v>0</v>
      </c>
      <c r="N47" s="586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575"/>
    </row>
    <row r="48" spans="1:25" s="80" customFormat="1" ht="12" customHeight="1">
      <c r="A48"/>
      <c r="B48" s="347"/>
      <c r="C48" s="88" t="s">
        <v>38</v>
      </c>
      <c r="D48" s="89"/>
      <c r="E48" s="344"/>
      <c r="F48" s="543">
        <v>0</v>
      </c>
      <c r="G48" s="543">
        <f t="shared" ref="G48:L49" si="27">F48</f>
        <v>0</v>
      </c>
      <c r="H48" s="543">
        <f t="shared" si="27"/>
        <v>0</v>
      </c>
      <c r="I48" s="543">
        <f t="shared" si="27"/>
        <v>0</v>
      </c>
      <c r="J48" s="543">
        <f t="shared" si="27"/>
        <v>0</v>
      </c>
      <c r="K48" s="543">
        <f t="shared" si="27"/>
        <v>0</v>
      </c>
      <c r="L48" s="603">
        <f t="shared" si="27"/>
        <v>0</v>
      </c>
      <c r="N48" s="586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575"/>
    </row>
    <row r="49" spans="1:25" s="80" customFormat="1" ht="12" customHeight="1">
      <c r="A49" s="96"/>
      <c r="B49" s="347"/>
      <c r="C49" s="88" t="s">
        <v>39</v>
      </c>
      <c r="D49" s="89"/>
      <c r="E49" s="345"/>
      <c r="F49" s="372">
        <v>0</v>
      </c>
      <c r="G49" s="372">
        <f t="shared" si="27"/>
        <v>0</v>
      </c>
      <c r="H49" s="372">
        <f t="shared" si="27"/>
        <v>0</v>
      </c>
      <c r="I49" s="372">
        <f t="shared" si="27"/>
        <v>0</v>
      </c>
      <c r="J49" s="372">
        <f t="shared" si="27"/>
        <v>0</v>
      </c>
      <c r="K49" s="372">
        <f t="shared" si="27"/>
        <v>0</v>
      </c>
      <c r="L49" s="373">
        <f t="shared" si="27"/>
        <v>0</v>
      </c>
      <c r="N49" s="586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575"/>
    </row>
    <row r="50" spans="1:25" s="80" customFormat="1" ht="12" customHeight="1">
      <c r="A50" s="2"/>
      <c r="B50" s="347"/>
      <c r="C50" s="88" t="s">
        <v>41</v>
      </c>
      <c r="D50" s="89"/>
      <c r="E50" s="344"/>
      <c r="F50" s="554">
        <f>(F46-F48/2)*F49</f>
        <v>0</v>
      </c>
      <c r="G50" s="554">
        <f t="shared" ref="G50:L50" si="28">IF(G46+G47-G48&lt;0,0,(G47+G46-G48/2)*G49)</f>
        <v>0</v>
      </c>
      <c r="H50" s="554">
        <f t="shared" si="28"/>
        <v>0</v>
      </c>
      <c r="I50" s="554">
        <f t="shared" si="28"/>
        <v>0</v>
      </c>
      <c r="J50" s="554">
        <f t="shared" si="28"/>
        <v>0</v>
      </c>
      <c r="K50" s="554">
        <f t="shared" si="28"/>
        <v>0</v>
      </c>
      <c r="L50" s="607">
        <f t="shared" si="28"/>
        <v>0</v>
      </c>
      <c r="N50" s="586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575"/>
    </row>
    <row r="51" spans="1:25" s="80" customFormat="1" ht="12" customHeight="1" thickBot="1">
      <c r="A51" s="96"/>
      <c r="B51" s="348"/>
      <c r="C51" s="91" t="s">
        <v>40</v>
      </c>
      <c r="D51" s="92"/>
      <c r="E51" s="609"/>
      <c r="F51" s="622">
        <f>IF(F47-F48&lt;0,0,F46-F48)</f>
        <v>0</v>
      </c>
      <c r="G51" s="622">
        <f t="shared" ref="G51:L51" si="29">IF(G47+G46-G48&lt;0,0,G47+G46-G48)</f>
        <v>0</v>
      </c>
      <c r="H51" s="622">
        <f t="shared" si="29"/>
        <v>0</v>
      </c>
      <c r="I51" s="622">
        <f t="shared" si="29"/>
        <v>0</v>
      </c>
      <c r="J51" s="622">
        <f t="shared" si="29"/>
        <v>0</v>
      </c>
      <c r="K51" s="622">
        <f t="shared" si="29"/>
        <v>0</v>
      </c>
      <c r="L51" s="623">
        <f t="shared" si="29"/>
        <v>0</v>
      </c>
      <c r="N51" s="586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575"/>
    </row>
    <row r="52" spans="1:25" ht="12" customHeight="1">
      <c r="A52" s="96"/>
      <c r="B52" s="346" t="s">
        <v>12</v>
      </c>
      <c r="C52" s="805" t="s">
        <v>110</v>
      </c>
      <c r="D52" s="806"/>
      <c r="E52" s="618" t="s">
        <v>43</v>
      </c>
      <c r="F52" s="598">
        <v>0</v>
      </c>
      <c r="G52" s="598">
        <v>0</v>
      </c>
      <c r="H52" s="598">
        <v>0</v>
      </c>
      <c r="I52" s="598">
        <v>0</v>
      </c>
      <c r="J52" s="598">
        <v>0</v>
      </c>
      <c r="K52" s="598">
        <v>0</v>
      </c>
      <c r="L52" s="610">
        <v>0</v>
      </c>
      <c r="N52" s="586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575"/>
    </row>
    <row r="53" spans="1:25" s="80" customFormat="1" ht="12" customHeight="1">
      <c r="A53"/>
      <c r="B53" s="347"/>
      <c r="C53" s="726" t="s">
        <v>94</v>
      </c>
      <c r="D53" s="727"/>
      <c r="E53" s="345"/>
      <c r="F53" s="624">
        <v>0</v>
      </c>
      <c r="G53" s="624">
        <f t="shared" ref="G53:L54" si="30">F53</f>
        <v>0</v>
      </c>
      <c r="H53" s="624">
        <f t="shared" si="30"/>
        <v>0</v>
      </c>
      <c r="I53" s="624">
        <f t="shared" si="30"/>
        <v>0</v>
      </c>
      <c r="J53" s="624">
        <f t="shared" si="30"/>
        <v>0</v>
      </c>
      <c r="K53" s="624">
        <f t="shared" si="30"/>
        <v>0</v>
      </c>
      <c r="L53" s="625">
        <f t="shared" si="30"/>
        <v>0</v>
      </c>
      <c r="N53" s="586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575"/>
    </row>
    <row r="54" spans="1:25" s="80" customFormat="1" ht="12" customHeight="1">
      <c r="A54" s="96"/>
      <c r="B54" s="347"/>
      <c r="C54" s="88" t="s">
        <v>39</v>
      </c>
      <c r="D54" s="89"/>
      <c r="E54" s="345"/>
      <c r="F54" s="372">
        <v>0</v>
      </c>
      <c r="G54" s="372">
        <f>F54</f>
        <v>0</v>
      </c>
      <c r="H54" s="372">
        <f>G54</f>
        <v>0</v>
      </c>
      <c r="I54" s="372">
        <f>H54</f>
        <v>0</v>
      </c>
      <c r="J54" s="372">
        <f t="shared" si="30"/>
        <v>0</v>
      </c>
      <c r="K54" s="372">
        <f t="shared" si="30"/>
        <v>0</v>
      </c>
      <c r="L54" s="373">
        <f t="shared" si="30"/>
        <v>0</v>
      </c>
      <c r="N54" s="586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575"/>
    </row>
    <row r="55" spans="1:25" s="80" customFormat="1" ht="12" customHeight="1">
      <c r="A55" s="2"/>
      <c r="B55" s="347"/>
      <c r="C55" s="88" t="s">
        <v>96</v>
      </c>
      <c r="D55" s="89"/>
      <c r="E55" s="345"/>
      <c r="F55" s="544">
        <f>aputaulu!F8</f>
        <v>0</v>
      </c>
      <c r="G55" s="544">
        <f>aputaulu!G8</f>
        <v>0</v>
      </c>
      <c r="H55" s="544">
        <f>aputaulu!H8</f>
        <v>0</v>
      </c>
      <c r="I55" s="544">
        <f>aputaulu!I8</f>
        <v>0</v>
      </c>
      <c r="J55" s="544">
        <f>aputaulu!J8</f>
        <v>0</v>
      </c>
      <c r="K55" s="544">
        <f>aputaulu!K8</f>
        <v>0</v>
      </c>
      <c r="L55" s="602">
        <f>aputaulu!L8</f>
        <v>0</v>
      </c>
      <c r="N55" s="586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575"/>
    </row>
    <row r="56" spans="1:25" s="80" customFormat="1" ht="12" customHeight="1">
      <c r="A56" s="2"/>
      <c r="B56" s="347"/>
      <c r="C56" s="88" t="s">
        <v>95</v>
      </c>
      <c r="D56" s="89"/>
      <c r="E56" s="344"/>
      <c r="F56" s="544">
        <f>aputaulu!F12</f>
        <v>0</v>
      </c>
      <c r="G56" s="544">
        <f>aputaulu!G12</f>
        <v>0</v>
      </c>
      <c r="H56" s="544">
        <f>aputaulu!H12</f>
        <v>0</v>
      </c>
      <c r="I56" s="544">
        <f>aputaulu!I12</f>
        <v>0</v>
      </c>
      <c r="J56" s="544">
        <f>aputaulu!J12</f>
        <v>0</v>
      </c>
      <c r="K56" s="544">
        <f>aputaulu!K12</f>
        <v>0</v>
      </c>
      <c r="L56" s="602">
        <f>aputaulu!L12</f>
        <v>0</v>
      </c>
      <c r="N56" s="586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575"/>
    </row>
    <row r="57" spans="1:25" s="80" customFormat="1" ht="12" customHeight="1">
      <c r="A57" s="96"/>
      <c r="B57" s="350"/>
      <c r="C57" s="113" t="s">
        <v>38</v>
      </c>
      <c r="D57" s="114"/>
      <c r="E57" s="619"/>
      <c r="F57" s="626">
        <f>aputaulu!F13</f>
        <v>0</v>
      </c>
      <c r="G57" s="626">
        <f>aputaulu!G13</f>
        <v>0</v>
      </c>
      <c r="H57" s="626">
        <f>aputaulu!H13</f>
        <v>0</v>
      </c>
      <c r="I57" s="626">
        <f>aputaulu!I13</f>
        <v>0</v>
      </c>
      <c r="J57" s="626">
        <f>aputaulu!J13</f>
        <v>0</v>
      </c>
      <c r="K57" s="626">
        <f>aputaulu!K13</f>
        <v>0</v>
      </c>
      <c r="L57" s="627">
        <f>aputaulu!L13</f>
        <v>0</v>
      </c>
      <c r="N57" s="586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575"/>
    </row>
    <row r="58" spans="1:25" s="80" customFormat="1" ht="12" customHeight="1" thickBot="1">
      <c r="A58"/>
      <c r="B58" s="348"/>
      <c r="C58" s="91" t="s">
        <v>40</v>
      </c>
      <c r="D58" s="92"/>
      <c r="E58" s="609"/>
      <c r="F58" s="622">
        <f>aputaulu!F14</f>
        <v>0</v>
      </c>
      <c r="G58" s="622">
        <f>aputaulu!G14</f>
        <v>0</v>
      </c>
      <c r="H58" s="622">
        <f>aputaulu!H14</f>
        <v>0</v>
      </c>
      <c r="I58" s="622">
        <f>aputaulu!I14</f>
        <v>0</v>
      </c>
      <c r="J58" s="622">
        <f>aputaulu!J14</f>
        <v>0</v>
      </c>
      <c r="K58" s="622">
        <f>aputaulu!K14</f>
        <v>0</v>
      </c>
      <c r="L58" s="623">
        <f>aputaulu!L14</f>
        <v>0</v>
      </c>
      <c r="N58" s="586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575"/>
    </row>
    <row r="59" spans="1:25" ht="12" customHeight="1">
      <c r="A59" s="96"/>
      <c r="B59" s="346" t="s">
        <v>13</v>
      </c>
      <c r="C59" s="805" t="s">
        <v>113</v>
      </c>
      <c r="D59" s="806"/>
      <c r="E59" s="618" t="s">
        <v>43</v>
      </c>
      <c r="F59" s="598">
        <v>0</v>
      </c>
      <c r="G59" s="598">
        <v>0</v>
      </c>
      <c r="H59" s="598">
        <v>0</v>
      </c>
      <c r="I59" s="598">
        <v>0</v>
      </c>
      <c r="J59" s="598">
        <v>0</v>
      </c>
      <c r="K59" s="598">
        <v>0</v>
      </c>
      <c r="L59" s="610">
        <v>0</v>
      </c>
      <c r="N59" s="586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575"/>
    </row>
    <row r="60" spans="1:25" s="80" customFormat="1" ht="12" customHeight="1">
      <c r="A60" s="2"/>
      <c r="B60" s="808"/>
      <c r="C60" s="726" t="s">
        <v>94</v>
      </c>
      <c r="D60" s="727"/>
      <c r="E60" s="345"/>
      <c r="F60" s="624">
        <v>0</v>
      </c>
      <c r="G60" s="624">
        <f t="shared" ref="G60:L61" si="31">F60</f>
        <v>0</v>
      </c>
      <c r="H60" s="624">
        <f t="shared" si="31"/>
        <v>0</v>
      </c>
      <c r="I60" s="624">
        <f t="shared" si="31"/>
        <v>0</v>
      </c>
      <c r="J60" s="624">
        <f t="shared" si="31"/>
        <v>0</v>
      </c>
      <c r="K60" s="624">
        <f t="shared" si="31"/>
        <v>0</v>
      </c>
      <c r="L60" s="625">
        <f t="shared" si="31"/>
        <v>0</v>
      </c>
      <c r="N60" s="586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575"/>
    </row>
    <row r="61" spans="1:25" s="80" customFormat="1" ht="12" customHeight="1">
      <c r="A61"/>
      <c r="B61" s="809"/>
      <c r="C61" s="88" t="s">
        <v>39</v>
      </c>
      <c r="D61" s="89"/>
      <c r="E61" s="344"/>
      <c r="F61" s="372">
        <v>0</v>
      </c>
      <c r="G61" s="372">
        <f>F61</f>
        <v>0</v>
      </c>
      <c r="H61" s="372">
        <f>G61</f>
        <v>0</v>
      </c>
      <c r="I61" s="372">
        <f t="shared" si="31"/>
        <v>0</v>
      </c>
      <c r="J61" s="372">
        <f t="shared" si="31"/>
        <v>0</v>
      </c>
      <c r="K61" s="372">
        <f t="shared" si="31"/>
        <v>0</v>
      </c>
      <c r="L61" s="373">
        <f t="shared" si="31"/>
        <v>0</v>
      </c>
      <c r="N61" s="586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575"/>
    </row>
    <row r="62" spans="1:25" s="80" customFormat="1" ht="12" customHeight="1">
      <c r="A62" s="96"/>
      <c r="B62" s="809"/>
      <c r="C62" s="88" t="s">
        <v>96</v>
      </c>
      <c r="D62" s="89"/>
      <c r="E62" s="345"/>
      <c r="F62" s="544">
        <f>aputaulu!F19</f>
        <v>0</v>
      </c>
      <c r="G62" s="544">
        <f>aputaulu!G19</f>
        <v>0</v>
      </c>
      <c r="H62" s="544">
        <f>aputaulu!H19</f>
        <v>0</v>
      </c>
      <c r="I62" s="544">
        <f>aputaulu!I19</f>
        <v>0</v>
      </c>
      <c r="J62" s="544">
        <f>aputaulu!J19</f>
        <v>0</v>
      </c>
      <c r="K62" s="544">
        <f>aputaulu!K19</f>
        <v>0</v>
      </c>
      <c r="L62" s="602">
        <f>aputaulu!L19</f>
        <v>0</v>
      </c>
      <c r="N62" s="586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575"/>
    </row>
    <row r="63" spans="1:25" s="80" customFormat="1" ht="12" customHeight="1">
      <c r="A63"/>
      <c r="B63" s="809"/>
      <c r="C63" s="88" t="s">
        <v>95</v>
      </c>
      <c r="D63" s="89"/>
      <c r="E63" s="344"/>
      <c r="F63" s="544">
        <f>aputaulu!F23</f>
        <v>0</v>
      </c>
      <c r="G63" s="544">
        <f>aputaulu!G23</f>
        <v>0</v>
      </c>
      <c r="H63" s="544">
        <f>aputaulu!H23</f>
        <v>0</v>
      </c>
      <c r="I63" s="544">
        <f>aputaulu!I23</f>
        <v>0</v>
      </c>
      <c r="J63" s="544">
        <f>aputaulu!J23</f>
        <v>0</v>
      </c>
      <c r="K63" s="544">
        <f>aputaulu!K23</f>
        <v>0</v>
      </c>
      <c r="L63" s="602">
        <f>aputaulu!L23</f>
        <v>0</v>
      </c>
      <c r="N63" s="586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575"/>
    </row>
    <row r="64" spans="1:25" s="80" customFormat="1" ht="12" customHeight="1">
      <c r="A64" s="96"/>
      <c r="B64" s="809"/>
      <c r="C64" s="113" t="s">
        <v>38</v>
      </c>
      <c r="D64" s="114"/>
      <c r="E64" s="619"/>
      <c r="F64" s="626">
        <f>aputaulu!F24</f>
        <v>0</v>
      </c>
      <c r="G64" s="626">
        <f>aputaulu!G24</f>
        <v>0</v>
      </c>
      <c r="H64" s="626">
        <f>aputaulu!H24</f>
        <v>0</v>
      </c>
      <c r="I64" s="626">
        <f>aputaulu!I24</f>
        <v>0</v>
      </c>
      <c r="J64" s="626">
        <f>aputaulu!J24</f>
        <v>0</v>
      </c>
      <c r="K64" s="626">
        <f>aputaulu!K24</f>
        <v>0</v>
      </c>
      <c r="L64" s="627">
        <f>aputaulu!L24</f>
        <v>0</v>
      </c>
      <c r="N64" s="586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575"/>
    </row>
    <row r="65" spans="1:25" s="80" customFormat="1" ht="12" customHeight="1" thickBot="1">
      <c r="A65"/>
      <c r="B65" s="810"/>
      <c r="C65" s="91" t="s">
        <v>40</v>
      </c>
      <c r="D65" s="92"/>
      <c r="E65" s="609"/>
      <c r="F65" s="622">
        <f>aputaulu!F25</f>
        <v>0</v>
      </c>
      <c r="G65" s="622">
        <f>aputaulu!G25</f>
        <v>0</v>
      </c>
      <c r="H65" s="622">
        <f>aputaulu!H25</f>
        <v>0</v>
      </c>
      <c r="I65" s="622">
        <f>aputaulu!I25</f>
        <v>0</v>
      </c>
      <c r="J65" s="622">
        <f>aputaulu!J25</f>
        <v>0</v>
      </c>
      <c r="K65" s="622">
        <f>aputaulu!K25</f>
        <v>0</v>
      </c>
      <c r="L65" s="623">
        <f>aputaulu!L25</f>
        <v>0</v>
      </c>
      <c r="N65" s="586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575"/>
    </row>
    <row r="66" spans="1:25" ht="12" customHeight="1">
      <c r="B66" s="346" t="s">
        <v>14</v>
      </c>
      <c r="C66" s="805" t="s">
        <v>112</v>
      </c>
      <c r="D66" s="806"/>
      <c r="E66" s="618" t="s">
        <v>43</v>
      </c>
      <c r="F66" s="598">
        <v>0</v>
      </c>
      <c r="G66" s="598">
        <v>0</v>
      </c>
      <c r="H66" s="598">
        <v>0</v>
      </c>
      <c r="I66" s="598">
        <v>0</v>
      </c>
      <c r="J66" s="598">
        <v>0</v>
      </c>
      <c r="K66" s="598">
        <v>0</v>
      </c>
      <c r="L66" s="610">
        <v>0</v>
      </c>
      <c r="N66" s="586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575"/>
    </row>
    <row r="67" spans="1:25" s="80" customFormat="1" ht="12" customHeight="1">
      <c r="B67" s="808"/>
      <c r="C67" s="726" t="s">
        <v>94</v>
      </c>
      <c r="D67" s="727"/>
      <c r="E67" s="345"/>
      <c r="F67" s="624">
        <v>0</v>
      </c>
      <c r="G67" s="624">
        <f t="shared" ref="G67:L68" si="32">F67</f>
        <v>0</v>
      </c>
      <c r="H67" s="624">
        <f t="shared" si="32"/>
        <v>0</v>
      </c>
      <c r="I67" s="624">
        <f t="shared" si="32"/>
        <v>0</v>
      </c>
      <c r="J67" s="624">
        <f t="shared" si="32"/>
        <v>0</v>
      </c>
      <c r="K67" s="624">
        <f t="shared" si="32"/>
        <v>0</v>
      </c>
      <c r="L67" s="625">
        <f t="shared" si="32"/>
        <v>0</v>
      </c>
      <c r="N67" s="586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575"/>
    </row>
    <row r="68" spans="1:25" s="80" customFormat="1" ht="12" customHeight="1">
      <c r="B68" s="809"/>
      <c r="C68" s="88" t="s">
        <v>39</v>
      </c>
      <c r="D68" s="89"/>
      <c r="E68" s="344"/>
      <c r="F68" s="372">
        <v>0</v>
      </c>
      <c r="G68" s="372">
        <f>F68</f>
        <v>0</v>
      </c>
      <c r="H68" s="372">
        <f t="shared" si="32"/>
        <v>0</v>
      </c>
      <c r="I68" s="372">
        <f t="shared" si="32"/>
        <v>0</v>
      </c>
      <c r="J68" s="372">
        <f t="shared" si="32"/>
        <v>0</v>
      </c>
      <c r="K68" s="372">
        <f t="shared" si="32"/>
        <v>0</v>
      </c>
      <c r="L68" s="373">
        <f t="shared" si="32"/>
        <v>0</v>
      </c>
      <c r="N68" s="586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575"/>
    </row>
    <row r="69" spans="1:25" s="80" customFormat="1" ht="12" customHeight="1">
      <c r="B69" s="809"/>
      <c r="C69" s="88" t="s">
        <v>96</v>
      </c>
      <c r="D69" s="89"/>
      <c r="E69" s="345"/>
      <c r="F69" s="544">
        <f>aputaulu!F30</f>
        <v>0</v>
      </c>
      <c r="G69" s="544">
        <f>aputaulu!G30</f>
        <v>0</v>
      </c>
      <c r="H69" s="544">
        <f>aputaulu!H30</f>
        <v>0</v>
      </c>
      <c r="I69" s="544">
        <f>aputaulu!I30</f>
        <v>0</v>
      </c>
      <c r="J69" s="544">
        <f>aputaulu!J30</f>
        <v>0</v>
      </c>
      <c r="K69" s="544">
        <f>aputaulu!K30</f>
        <v>0</v>
      </c>
      <c r="L69" s="602">
        <f>aputaulu!L30</f>
        <v>0</v>
      </c>
      <c r="N69" s="586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575"/>
    </row>
    <row r="70" spans="1:25" s="80" customFormat="1" ht="12" customHeight="1">
      <c r="B70" s="809"/>
      <c r="C70" s="88" t="s">
        <v>95</v>
      </c>
      <c r="D70" s="89"/>
      <c r="E70" s="344"/>
      <c r="F70" s="544">
        <f>aputaulu!F34</f>
        <v>0</v>
      </c>
      <c r="G70" s="544">
        <f>aputaulu!G34</f>
        <v>0</v>
      </c>
      <c r="H70" s="544">
        <f>aputaulu!H34</f>
        <v>0</v>
      </c>
      <c r="I70" s="544">
        <f>aputaulu!I34</f>
        <v>0</v>
      </c>
      <c r="J70" s="544">
        <f>aputaulu!J34</f>
        <v>0</v>
      </c>
      <c r="K70" s="544">
        <f>aputaulu!K34</f>
        <v>0</v>
      </c>
      <c r="L70" s="602">
        <f>aputaulu!L34</f>
        <v>0</v>
      </c>
      <c r="N70" s="586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575"/>
    </row>
    <row r="71" spans="1:25" s="80" customFormat="1" ht="12" customHeight="1">
      <c r="B71" s="809"/>
      <c r="C71" s="113" t="s">
        <v>38</v>
      </c>
      <c r="D71" s="114"/>
      <c r="E71" s="619"/>
      <c r="F71" s="626">
        <f>aputaulu!F35</f>
        <v>0</v>
      </c>
      <c r="G71" s="626">
        <f>aputaulu!G35</f>
        <v>0</v>
      </c>
      <c r="H71" s="626">
        <f>aputaulu!H35</f>
        <v>0</v>
      </c>
      <c r="I71" s="626">
        <f>aputaulu!I35</f>
        <v>0</v>
      </c>
      <c r="J71" s="626">
        <f>aputaulu!J35</f>
        <v>0</v>
      </c>
      <c r="K71" s="626">
        <f>aputaulu!K35</f>
        <v>0</v>
      </c>
      <c r="L71" s="627">
        <f>aputaulu!L35</f>
        <v>0</v>
      </c>
      <c r="N71" s="586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575"/>
    </row>
    <row r="72" spans="1:25" s="80" customFormat="1" ht="12" customHeight="1" thickBot="1">
      <c r="B72" s="810"/>
      <c r="C72" s="91" t="s">
        <v>40</v>
      </c>
      <c r="D72" s="92"/>
      <c r="E72" s="609"/>
      <c r="F72" s="622">
        <f>aputaulu!F36</f>
        <v>0</v>
      </c>
      <c r="G72" s="622">
        <f>aputaulu!G36</f>
        <v>0</v>
      </c>
      <c r="H72" s="622">
        <f>aputaulu!H36</f>
        <v>0</v>
      </c>
      <c r="I72" s="622">
        <f>aputaulu!I36</f>
        <v>0</v>
      </c>
      <c r="J72" s="622">
        <f>aputaulu!J36</f>
        <v>0</v>
      </c>
      <c r="K72" s="622">
        <f>aputaulu!K36</f>
        <v>0</v>
      </c>
      <c r="L72" s="623">
        <f>aputaulu!L36</f>
        <v>0</v>
      </c>
      <c r="N72" s="588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90"/>
    </row>
    <row r="73" spans="1:25" ht="12" customHeight="1">
      <c r="B73" s="346" t="s">
        <v>15</v>
      </c>
      <c r="C73" s="805" t="s">
        <v>111</v>
      </c>
      <c r="D73" s="806"/>
      <c r="E73" s="618" t="s">
        <v>43</v>
      </c>
      <c r="F73" s="598">
        <v>0</v>
      </c>
      <c r="G73" s="598">
        <v>0</v>
      </c>
      <c r="H73" s="598">
        <v>0</v>
      </c>
      <c r="I73" s="598">
        <v>0</v>
      </c>
      <c r="J73" s="598">
        <v>0</v>
      </c>
      <c r="K73" s="598">
        <v>0</v>
      </c>
      <c r="L73" s="610">
        <v>0</v>
      </c>
      <c r="N73" s="655"/>
      <c r="O73" s="593"/>
      <c r="P73" s="593"/>
      <c r="Q73" s="593"/>
      <c r="R73" s="593"/>
      <c r="S73" s="593"/>
      <c r="T73" s="593"/>
      <c r="U73" s="593"/>
      <c r="V73" s="593"/>
      <c r="W73" s="593"/>
      <c r="X73" s="593"/>
      <c r="Y73" s="594"/>
    </row>
    <row r="74" spans="1:25" s="80" customFormat="1" ht="12" customHeight="1">
      <c r="B74" s="349"/>
      <c r="C74" s="726" t="s">
        <v>94</v>
      </c>
      <c r="D74" s="727"/>
      <c r="E74" s="345"/>
      <c r="F74" s="624">
        <v>0</v>
      </c>
      <c r="G74" s="624">
        <f t="shared" ref="G74:L74" si="33">F74</f>
        <v>0</v>
      </c>
      <c r="H74" s="624">
        <f t="shared" si="33"/>
        <v>0</v>
      </c>
      <c r="I74" s="624">
        <f t="shared" si="33"/>
        <v>0</v>
      </c>
      <c r="J74" s="624">
        <f t="shared" si="33"/>
        <v>0</v>
      </c>
      <c r="K74" s="624">
        <f t="shared" si="33"/>
        <v>0</v>
      </c>
      <c r="L74" s="625">
        <f t="shared" si="33"/>
        <v>0</v>
      </c>
      <c r="N74" s="586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575"/>
    </row>
    <row r="75" spans="1:25" s="80" customFormat="1" ht="12" customHeight="1">
      <c r="B75" s="347"/>
      <c r="C75" s="88" t="s">
        <v>39</v>
      </c>
      <c r="D75" s="89"/>
      <c r="E75" s="344"/>
      <c r="F75" s="372">
        <v>0</v>
      </c>
      <c r="G75" s="372">
        <f t="shared" ref="G75:L75" si="34">F75</f>
        <v>0</v>
      </c>
      <c r="H75" s="372">
        <f t="shared" si="34"/>
        <v>0</v>
      </c>
      <c r="I75" s="372">
        <f t="shared" si="34"/>
        <v>0</v>
      </c>
      <c r="J75" s="372">
        <f t="shared" si="34"/>
        <v>0</v>
      </c>
      <c r="K75" s="372">
        <f t="shared" si="34"/>
        <v>0</v>
      </c>
      <c r="L75" s="373">
        <f t="shared" si="34"/>
        <v>0</v>
      </c>
      <c r="N75" s="586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575"/>
    </row>
    <row r="76" spans="1:25" s="80" customFormat="1" ht="12" customHeight="1">
      <c r="B76" s="347"/>
      <c r="C76" s="88" t="s">
        <v>96</v>
      </c>
      <c r="D76" s="89"/>
      <c r="E76" s="345"/>
      <c r="F76" s="544">
        <f>aputaulu!F41</f>
        <v>0</v>
      </c>
      <c r="G76" s="544">
        <f>aputaulu!G41</f>
        <v>0</v>
      </c>
      <c r="H76" s="544">
        <f>aputaulu!H41</f>
        <v>0</v>
      </c>
      <c r="I76" s="544">
        <f>aputaulu!I41</f>
        <v>0</v>
      </c>
      <c r="J76" s="544">
        <f>aputaulu!J41</f>
        <v>0</v>
      </c>
      <c r="K76" s="544">
        <f>aputaulu!K41</f>
        <v>0</v>
      </c>
      <c r="L76" s="602">
        <f>aputaulu!L41</f>
        <v>0</v>
      </c>
      <c r="N76" s="586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575"/>
    </row>
    <row r="77" spans="1:25" s="80" customFormat="1" ht="12" customHeight="1">
      <c r="B77" s="347"/>
      <c r="C77" s="88" t="s">
        <v>95</v>
      </c>
      <c r="D77" s="89"/>
      <c r="E77" s="344"/>
      <c r="F77" s="544">
        <f>aputaulu!F45</f>
        <v>0</v>
      </c>
      <c r="G77" s="544">
        <f>aputaulu!G45</f>
        <v>0</v>
      </c>
      <c r="H77" s="544">
        <f>aputaulu!H45</f>
        <v>0</v>
      </c>
      <c r="I77" s="544">
        <f>aputaulu!I45</f>
        <v>0</v>
      </c>
      <c r="J77" s="544">
        <f>aputaulu!J45</f>
        <v>0</v>
      </c>
      <c r="K77" s="544">
        <f>aputaulu!K45</f>
        <v>0</v>
      </c>
      <c r="L77" s="602">
        <f>aputaulu!L45</f>
        <v>0</v>
      </c>
      <c r="N77" s="586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575"/>
    </row>
    <row r="78" spans="1:25" s="80" customFormat="1" ht="12" customHeight="1">
      <c r="B78" s="350"/>
      <c r="C78" s="113" t="s">
        <v>38</v>
      </c>
      <c r="D78" s="114"/>
      <c r="E78" s="619"/>
      <c r="F78" s="626">
        <f>aputaulu!F46</f>
        <v>0</v>
      </c>
      <c r="G78" s="626">
        <f>aputaulu!G46</f>
        <v>0</v>
      </c>
      <c r="H78" s="626">
        <f>aputaulu!H46</f>
        <v>0</v>
      </c>
      <c r="I78" s="626">
        <f>aputaulu!I46</f>
        <v>0</v>
      </c>
      <c r="J78" s="626">
        <f>aputaulu!J46</f>
        <v>0</v>
      </c>
      <c r="K78" s="626">
        <f>aputaulu!K46</f>
        <v>0</v>
      </c>
      <c r="L78" s="627">
        <f>aputaulu!L46</f>
        <v>0</v>
      </c>
      <c r="N78" s="586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575"/>
    </row>
    <row r="79" spans="1:25" s="80" customFormat="1" ht="12" customHeight="1" thickBot="1">
      <c r="B79" s="90"/>
      <c r="C79" s="91" t="s">
        <v>40</v>
      </c>
      <c r="D79" s="92"/>
      <c r="E79" s="609"/>
      <c r="F79" s="622">
        <f>aputaulu!F47</f>
        <v>0</v>
      </c>
      <c r="G79" s="622">
        <f>aputaulu!G47</f>
        <v>0</v>
      </c>
      <c r="H79" s="622">
        <f>aputaulu!H47</f>
        <v>0</v>
      </c>
      <c r="I79" s="622">
        <f>aputaulu!I47</f>
        <v>0</v>
      </c>
      <c r="J79" s="622">
        <f>aputaulu!J47</f>
        <v>0</v>
      </c>
      <c r="K79" s="622">
        <f>aputaulu!K47</f>
        <v>0</v>
      </c>
      <c r="L79" s="623">
        <f>aputaulu!L47</f>
        <v>0</v>
      </c>
      <c r="N79" s="586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575"/>
    </row>
    <row r="80" spans="1:25" ht="12" customHeight="1" thickBot="1">
      <c r="B80" s="53" t="s">
        <v>242</v>
      </c>
      <c r="C80" s="75"/>
      <c r="D80" s="76"/>
      <c r="E80" s="628"/>
      <c r="F80" s="628">
        <f>IF(F33+F39+F45+F51+F58+F65+F72+F79&lt;0,0,F33+F39+F45+F51+F58+F65+F72+F79)</f>
        <v>0</v>
      </c>
      <c r="G80" s="628">
        <f>IF(G33+G39+G45+G51+G58+G65+G72+G79&lt;0,0,G33+G39+G45+G51+G58+G65+G72+G79)</f>
        <v>0</v>
      </c>
      <c r="H80" s="628">
        <f t="shared" ref="H80:K80" si="35">IF(H33+H39+H45+H51+H58+H65+H72+H79&lt;0,0,H33+H39+H45+H51+H58+H65+H72+H79)</f>
        <v>0</v>
      </c>
      <c r="I80" s="628">
        <f t="shared" si="35"/>
        <v>0</v>
      </c>
      <c r="J80" s="628">
        <f t="shared" si="35"/>
        <v>0</v>
      </c>
      <c r="K80" s="628">
        <f t="shared" si="35"/>
        <v>0</v>
      </c>
      <c r="L80" s="629">
        <f>IF(L33+L39+L45+L51+L58+L65+L72+L79&lt;0,0,L33+L39+L45+L51+L58+L65+L72+L79)</f>
        <v>0</v>
      </c>
      <c r="N80" s="586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575"/>
    </row>
    <row r="81" spans="1:25" ht="12" customHeight="1" thickBot="1">
      <c r="B81" s="807" t="s">
        <v>16</v>
      </c>
      <c r="C81" s="57" t="s">
        <v>243</v>
      </c>
      <c r="D81" s="56"/>
      <c r="E81" s="611"/>
      <c r="F81" s="630">
        <f>F11*F10/1.24+F17*F16/1.24+F20*F21</f>
        <v>0</v>
      </c>
      <c r="G81" s="630">
        <f t="shared" ref="G81:L81" si="36">G11*G10/1.24+G17*G16/1.24+G20*G21</f>
        <v>0</v>
      </c>
      <c r="H81" s="630">
        <f t="shared" si="36"/>
        <v>0</v>
      </c>
      <c r="I81" s="630">
        <f t="shared" si="36"/>
        <v>0</v>
      </c>
      <c r="J81" s="630">
        <f t="shared" si="36"/>
        <v>0</v>
      </c>
      <c r="K81" s="630">
        <f>K11*K10/1.24+K17*K16/1.24+K20*K21</f>
        <v>0</v>
      </c>
      <c r="L81" s="631">
        <f t="shared" si="36"/>
        <v>0</v>
      </c>
      <c r="N81" s="586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575"/>
    </row>
    <row r="82" spans="1:25" ht="12" customHeight="1" thickBot="1">
      <c r="B82" s="807" t="s">
        <v>17</v>
      </c>
      <c r="C82" s="58" t="s">
        <v>244</v>
      </c>
      <c r="D82" s="59"/>
      <c r="E82" s="611"/>
      <c r="F82" s="630">
        <f>(F10+F16+F22)-(1/(1+F23))*(F10+F16+F22)</f>
        <v>0</v>
      </c>
      <c r="G82" s="630">
        <f t="shared" ref="G82:L82" si="37">(G10+G16+G22)-(1/(1+G23))*(G10+G16+G22)</f>
        <v>0</v>
      </c>
      <c r="H82" s="630">
        <f t="shared" si="37"/>
        <v>0</v>
      </c>
      <c r="I82" s="630">
        <f t="shared" si="37"/>
        <v>0</v>
      </c>
      <c r="J82" s="630">
        <f t="shared" si="37"/>
        <v>0</v>
      </c>
      <c r="K82" s="630">
        <f t="shared" si="37"/>
        <v>0</v>
      </c>
      <c r="L82" s="631">
        <f t="shared" si="37"/>
        <v>0</v>
      </c>
      <c r="N82" s="586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575"/>
    </row>
    <row r="83" spans="1:25" ht="12" customHeight="1" thickBot="1">
      <c r="B83" s="807" t="s">
        <v>86</v>
      </c>
      <c r="C83" s="728" t="s">
        <v>245</v>
      </c>
      <c r="D83" s="729"/>
      <c r="E83" s="611"/>
      <c r="F83" s="630">
        <f>F84-F28-F34-F40-F46-F52-F59-F66-F73-F81-F82</f>
        <v>0</v>
      </c>
      <c r="G83" s="630">
        <f t="shared" ref="G83:L83" si="38">G84-G28-G34-G40-G46-G52-G59-G66-G73-G81-G82</f>
        <v>0</v>
      </c>
      <c r="H83" s="630">
        <f t="shared" si="38"/>
        <v>0</v>
      </c>
      <c r="I83" s="630">
        <f t="shared" si="38"/>
        <v>0</v>
      </c>
      <c r="J83" s="630">
        <f t="shared" si="38"/>
        <v>0</v>
      </c>
      <c r="K83" s="630">
        <f t="shared" si="38"/>
        <v>0</v>
      </c>
      <c r="L83" s="631">
        <f t="shared" si="38"/>
        <v>0</v>
      </c>
      <c r="N83" s="586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575"/>
    </row>
    <row r="84" spans="1:25" s="96" customFormat="1" ht="12" customHeight="1" thickBot="1">
      <c r="B84" s="743" t="s">
        <v>75</v>
      </c>
      <c r="C84" s="744"/>
      <c r="D84" s="733"/>
      <c r="E84" s="632">
        <v>0</v>
      </c>
      <c r="F84" s="616">
        <f>F25</f>
        <v>0</v>
      </c>
      <c r="G84" s="616">
        <f t="shared" ref="G84:L84" si="39">G25</f>
        <v>0</v>
      </c>
      <c r="H84" s="616">
        <f t="shared" si="39"/>
        <v>0</v>
      </c>
      <c r="I84" s="616">
        <f t="shared" si="39"/>
        <v>0</v>
      </c>
      <c r="J84" s="616">
        <f t="shared" si="39"/>
        <v>0</v>
      </c>
      <c r="K84" s="616">
        <f t="shared" si="39"/>
        <v>0</v>
      </c>
      <c r="L84" s="633">
        <f t="shared" si="39"/>
        <v>0</v>
      </c>
      <c r="N84" s="586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575"/>
    </row>
    <row r="85" spans="1:25" ht="6" customHeight="1" thickBot="1">
      <c r="B85" s="74"/>
      <c r="C85" s="74"/>
      <c r="D85" s="74"/>
      <c r="E85" s="634"/>
      <c r="F85" s="634"/>
      <c r="G85" s="634"/>
      <c r="H85" s="634"/>
      <c r="I85" s="634"/>
      <c r="J85" s="634"/>
      <c r="K85" s="634"/>
      <c r="L85" s="634"/>
      <c r="N85" s="570"/>
      <c r="O85" s="571"/>
      <c r="P85" s="571"/>
      <c r="Q85" s="571"/>
      <c r="R85" s="571"/>
      <c r="S85" s="571"/>
      <c r="T85" s="571"/>
      <c r="U85" s="571"/>
      <c r="V85" s="571"/>
      <c r="W85" s="571"/>
      <c r="X85" s="571"/>
      <c r="Y85" s="572"/>
    </row>
    <row r="86" spans="1:25" ht="15.75" customHeight="1" thickBot="1">
      <c r="B86" s="401" t="s">
        <v>260</v>
      </c>
      <c r="C86" s="394"/>
      <c r="D86" s="394"/>
      <c r="E86" s="620"/>
      <c r="F86" s="635"/>
      <c r="G86" s="635"/>
      <c r="H86" s="635"/>
      <c r="I86" s="635"/>
      <c r="J86" s="635"/>
      <c r="K86" s="635"/>
      <c r="L86" s="636"/>
      <c r="N86" s="170" t="s">
        <v>185</v>
      </c>
      <c r="O86" s="576"/>
      <c r="P86" s="576"/>
      <c r="Q86" s="577"/>
      <c r="R86" s="578"/>
      <c r="S86" s="578"/>
      <c r="T86" s="578"/>
      <c r="U86" s="578"/>
      <c r="V86" s="578"/>
      <c r="W86" s="578"/>
      <c r="X86" s="578"/>
      <c r="Y86" s="579"/>
    </row>
    <row r="87" spans="1:25" ht="12" customHeight="1">
      <c r="A87" s="2"/>
      <c r="B87" s="346" t="s">
        <v>8</v>
      </c>
      <c r="C87" s="64" t="s">
        <v>246</v>
      </c>
      <c r="D87" s="374" t="s">
        <v>65</v>
      </c>
      <c r="E87" s="598">
        <v>0</v>
      </c>
      <c r="F87" s="637">
        <f t="shared" ref="F87:L87" si="40">IF(F88-F89&lt;0,0,F88-F89)</f>
        <v>0</v>
      </c>
      <c r="G87" s="637">
        <f t="shared" si="40"/>
        <v>0</v>
      </c>
      <c r="H87" s="637">
        <f t="shared" si="40"/>
        <v>0</v>
      </c>
      <c r="I87" s="637">
        <f t="shared" si="40"/>
        <v>0</v>
      </c>
      <c r="J87" s="637">
        <f t="shared" si="40"/>
        <v>0</v>
      </c>
      <c r="K87" s="637">
        <f t="shared" si="40"/>
        <v>0</v>
      </c>
      <c r="L87" s="638">
        <f t="shared" si="40"/>
        <v>0</v>
      </c>
      <c r="N87" s="586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575"/>
    </row>
    <row r="88" spans="1:25" s="80" customFormat="1" ht="12" customHeight="1">
      <c r="A88" s="96"/>
      <c r="B88" s="347"/>
      <c r="C88" s="88" t="s">
        <v>37</v>
      </c>
      <c r="D88" s="89"/>
      <c r="E88" s="344"/>
      <c r="F88" s="544">
        <f>E87</f>
        <v>0</v>
      </c>
      <c r="G88" s="544">
        <f t="shared" ref="G88:L88" si="41">IF(F87=0,0,F87)</f>
        <v>0</v>
      </c>
      <c r="H88" s="544">
        <f t="shared" si="41"/>
        <v>0</v>
      </c>
      <c r="I88" s="544">
        <f t="shared" si="41"/>
        <v>0</v>
      </c>
      <c r="J88" s="544">
        <f t="shared" si="41"/>
        <v>0</v>
      </c>
      <c r="K88" s="544">
        <f t="shared" si="41"/>
        <v>0</v>
      </c>
      <c r="L88" s="602">
        <f t="shared" si="41"/>
        <v>0</v>
      </c>
      <c r="N88" s="586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575"/>
    </row>
    <row r="89" spans="1:25" s="80" customFormat="1" ht="12" customHeight="1">
      <c r="A89" s="96"/>
      <c r="B89" s="347"/>
      <c r="C89" s="88" t="s">
        <v>38</v>
      </c>
      <c r="D89" s="89"/>
      <c r="E89" s="601">
        <v>0</v>
      </c>
      <c r="F89" s="543">
        <v>0</v>
      </c>
      <c r="G89" s="543">
        <f t="shared" ref="G89:L89" si="42">F89</f>
        <v>0</v>
      </c>
      <c r="H89" s="543">
        <f t="shared" si="42"/>
        <v>0</v>
      </c>
      <c r="I89" s="543">
        <f t="shared" si="42"/>
        <v>0</v>
      </c>
      <c r="J89" s="543">
        <f t="shared" si="42"/>
        <v>0</v>
      </c>
      <c r="K89" s="543">
        <f t="shared" si="42"/>
        <v>0</v>
      </c>
      <c r="L89" s="603">
        <f t="shared" si="42"/>
        <v>0</v>
      </c>
      <c r="N89" s="586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575"/>
    </row>
    <row r="90" spans="1:25" s="80" customFormat="1" ht="12" customHeight="1">
      <c r="A90"/>
      <c r="B90" s="347"/>
      <c r="C90" s="88" t="s">
        <v>39</v>
      </c>
      <c r="D90" s="89"/>
      <c r="E90" s="345"/>
      <c r="F90" s="372">
        <v>0</v>
      </c>
      <c r="G90" s="372">
        <f t="shared" ref="G90:L90" si="43">F90</f>
        <v>0</v>
      </c>
      <c r="H90" s="372">
        <f t="shared" si="43"/>
        <v>0</v>
      </c>
      <c r="I90" s="372">
        <f t="shared" si="43"/>
        <v>0</v>
      </c>
      <c r="J90" s="372">
        <f t="shared" si="43"/>
        <v>0</v>
      </c>
      <c r="K90" s="372">
        <f t="shared" si="43"/>
        <v>0</v>
      </c>
      <c r="L90" s="373">
        <f t="shared" si="43"/>
        <v>0</v>
      </c>
      <c r="N90" s="586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575"/>
    </row>
    <row r="91" spans="1:25" s="80" customFormat="1" ht="12" customHeight="1" thickBot="1">
      <c r="A91" s="96"/>
      <c r="B91" s="348"/>
      <c r="C91" s="91" t="s">
        <v>41</v>
      </c>
      <c r="D91" s="92"/>
      <c r="E91" s="609"/>
      <c r="F91" s="605">
        <f>IF(F88=0,0,(F88-F89/2)*F90)</f>
        <v>0</v>
      </c>
      <c r="G91" s="605">
        <f t="shared" ref="G91:L91" si="44">IF(G88=0,0,(G88-G89/2)*G90)</f>
        <v>0</v>
      </c>
      <c r="H91" s="605">
        <f t="shared" si="44"/>
        <v>0</v>
      </c>
      <c r="I91" s="605">
        <f t="shared" si="44"/>
        <v>0</v>
      </c>
      <c r="J91" s="605">
        <f t="shared" si="44"/>
        <v>0</v>
      </c>
      <c r="K91" s="605">
        <f t="shared" si="44"/>
        <v>0</v>
      </c>
      <c r="L91" s="606">
        <f t="shared" si="44"/>
        <v>0</v>
      </c>
      <c r="N91" s="586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575"/>
    </row>
    <row r="92" spans="1:25" ht="12" customHeight="1">
      <c r="A92" s="2"/>
      <c r="B92" s="346" t="s">
        <v>9</v>
      </c>
      <c r="C92" s="64" t="s">
        <v>247</v>
      </c>
      <c r="D92" s="376" t="str">
        <f>D87</f>
        <v>Pääoma 31.12</v>
      </c>
      <c r="E92" s="598">
        <v>0</v>
      </c>
      <c r="F92" s="637">
        <f>IF(F93-F94&lt;0,0,F93-F94)</f>
        <v>0</v>
      </c>
      <c r="G92" s="637">
        <f t="shared" ref="G92:L92" si="45">IF(G93-G94&lt;0,0,G93-G94)</f>
        <v>0</v>
      </c>
      <c r="H92" s="637">
        <f t="shared" si="45"/>
        <v>0</v>
      </c>
      <c r="I92" s="637">
        <f t="shared" si="45"/>
        <v>0</v>
      </c>
      <c r="J92" s="637">
        <f t="shared" si="45"/>
        <v>0</v>
      </c>
      <c r="K92" s="637">
        <f t="shared" si="45"/>
        <v>0</v>
      </c>
      <c r="L92" s="638">
        <f t="shared" si="45"/>
        <v>0</v>
      </c>
      <c r="N92" s="586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575"/>
    </row>
    <row r="93" spans="1:25" s="80" customFormat="1" ht="12" customHeight="1">
      <c r="A93" s="2"/>
      <c r="B93" s="347"/>
      <c r="C93" s="88" t="s">
        <v>37</v>
      </c>
      <c r="D93" s="89"/>
      <c r="E93" s="344"/>
      <c r="F93" s="544">
        <f>E92</f>
        <v>0</v>
      </c>
      <c r="G93" s="544">
        <f t="shared" ref="G93:L93" si="46">IF(F92=0,0,F92)</f>
        <v>0</v>
      </c>
      <c r="H93" s="544">
        <f t="shared" si="46"/>
        <v>0</v>
      </c>
      <c r="I93" s="544">
        <f t="shared" si="46"/>
        <v>0</v>
      </c>
      <c r="J93" s="544">
        <f t="shared" si="46"/>
        <v>0</v>
      </c>
      <c r="K93" s="544">
        <f t="shared" si="46"/>
        <v>0</v>
      </c>
      <c r="L93" s="602">
        <f t="shared" si="46"/>
        <v>0</v>
      </c>
      <c r="N93" s="586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575"/>
    </row>
    <row r="94" spans="1:25" s="80" customFormat="1" ht="12" customHeight="1">
      <c r="A94" s="96"/>
      <c r="B94" s="347"/>
      <c r="C94" s="88" t="s">
        <v>38</v>
      </c>
      <c r="D94" s="89"/>
      <c r="E94" s="601">
        <v>0</v>
      </c>
      <c r="F94" s="543">
        <v>0</v>
      </c>
      <c r="G94" s="543">
        <f t="shared" ref="G94:L95" si="47">F94</f>
        <v>0</v>
      </c>
      <c r="H94" s="543">
        <f t="shared" si="47"/>
        <v>0</v>
      </c>
      <c r="I94" s="543">
        <f t="shared" si="47"/>
        <v>0</v>
      </c>
      <c r="J94" s="543">
        <f t="shared" si="47"/>
        <v>0</v>
      </c>
      <c r="K94" s="543">
        <f t="shared" si="47"/>
        <v>0</v>
      </c>
      <c r="L94" s="603">
        <f t="shared" si="47"/>
        <v>0</v>
      </c>
      <c r="N94" s="586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575"/>
    </row>
    <row r="95" spans="1:25" s="80" customFormat="1" ht="12" customHeight="1">
      <c r="A95"/>
      <c r="B95" s="347"/>
      <c r="C95" s="88" t="s">
        <v>39</v>
      </c>
      <c r="D95" s="89"/>
      <c r="E95" s="345"/>
      <c r="F95" s="372">
        <v>0</v>
      </c>
      <c r="G95" s="372">
        <f t="shared" si="47"/>
        <v>0</v>
      </c>
      <c r="H95" s="372">
        <f t="shared" si="47"/>
        <v>0</v>
      </c>
      <c r="I95" s="372">
        <f t="shared" si="47"/>
        <v>0</v>
      </c>
      <c r="J95" s="372">
        <f t="shared" si="47"/>
        <v>0</v>
      </c>
      <c r="K95" s="372">
        <f t="shared" si="47"/>
        <v>0</v>
      </c>
      <c r="L95" s="373">
        <f t="shared" si="47"/>
        <v>0</v>
      </c>
      <c r="N95" s="586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575"/>
    </row>
    <row r="96" spans="1:25" s="80" customFormat="1" ht="12" customHeight="1" thickBot="1">
      <c r="A96" s="96"/>
      <c r="B96" s="348"/>
      <c r="C96" s="91" t="s">
        <v>41</v>
      </c>
      <c r="D96" s="92"/>
      <c r="E96" s="609"/>
      <c r="F96" s="605">
        <f t="shared" ref="F96:L96" si="48">IF(F93=0,0,(F93-F94/2)*F95)</f>
        <v>0</v>
      </c>
      <c r="G96" s="605">
        <f t="shared" si="48"/>
        <v>0</v>
      </c>
      <c r="H96" s="605">
        <f t="shared" si="48"/>
        <v>0</v>
      </c>
      <c r="I96" s="605">
        <f t="shared" si="48"/>
        <v>0</v>
      </c>
      <c r="J96" s="605">
        <f t="shared" si="48"/>
        <v>0</v>
      </c>
      <c r="K96" s="605">
        <f t="shared" si="48"/>
        <v>0</v>
      </c>
      <c r="L96" s="606">
        <f t="shared" si="48"/>
        <v>0</v>
      </c>
      <c r="N96" s="586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575"/>
    </row>
    <row r="97" spans="1:25" ht="12" customHeight="1">
      <c r="A97" s="2"/>
      <c r="B97" s="346" t="s">
        <v>10</v>
      </c>
      <c r="C97" s="64" t="s">
        <v>248</v>
      </c>
      <c r="D97" s="376" t="str">
        <f>D92</f>
        <v>Pääoma 31.12</v>
      </c>
      <c r="E97" s="598">
        <v>0</v>
      </c>
      <c r="F97" s="637">
        <f>IF(F98-F99&lt;0,0,F98-F99)</f>
        <v>0</v>
      </c>
      <c r="G97" s="637">
        <f t="shared" ref="G97:L97" si="49">IF(G98-G99&lt;0,0,G98-G99)</f>
        <v>0</v>
      </c>
      <c r="H97" s="637">
        <f t="shared" si="49"/>
        <v>0</v>
      </c>
      <c r="I97" s="637">
        <f t="shared" si="49"/>
        <v>0</v>
      </c>
      <c r="J97" s="637">
        <f t="shared" si="49"/>
        <v>0</v>
      </c>
      <c r="K97" s="637">
        <f t="shared" si="49"/>
        <v>0</v>
      </c>
      <c r="L97" s="638">
        <f t="shared" si="49"/>
        <v>0</v>
      </c>
      <c r="N97" s="586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575"/>
    </row>
    <row r="98" spans="1:25" s="80" customFormat="1" ht="12" customHeight="1">
      <c r="A98"/>
      <c r="B98" s="347"/>
      <c r="C98" s="88" t="s">
        <v>37</v>
      </c>
      <c r="D98" s="89"/>
      <c r="E98" s="344"/>
      <c r="F98" s="544">
        <f>E97</f>
        <v>0</v>
      </c>
      <c r="G98" s="544">
        <f t="shared" ref="G98:L98" si="50">IF(F97=0,0,F97)</f>
        <v>0</v>
      </c>
      <c r="H98" s="544">
        <f t="shared" si="50"/>
        <v>0</v>
      </c>
      <c r="I98" s="544">
        <f t="shared" si="50"/>
        <v>0</v>
      </c>
      <c r="J98" s="544">
        <f t="shared" si="50"/>
        <v>0</v>
      </c>
      <c r="K98" s="544">
        <f t="shared" si="50"/>
        <v>0</v>
      </c>
      <c r="L98" s="602">
        <f t="shared" si="50"/>
        <v>0</v>
      </c>
      <c r="N98" s="586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575"/>
    </row>
    <row r="99" spans="1:25" s="80" customFormat="1" ht="12" customHeight="1">
      <c r="A99" s="96"/>
      <c r="B99" s="347"/>
      <c r="C99" s="88" t="s">
        <v>38</v>
      </c>
      <c r="D99" s="89"/>
      <c r="E99" s="601">
        <v>0</v>
      </c>
      <c r="F99" s="543">
        <v>0</v>
      </c>
      <c r="G99" s="543">
        <f t="shared" ref="G99:L99" si="51">F99</f>
        <v>0</v>
      </c>
      <c r="H99" s="543">
        <f t="shared" si="51"/>
        <v>0</v>
      </c>
      <c r="I99" s="543">
        <f t="shared" si="51"/>
        <v>0</v>
      </c>
      <c r="J99" s="543">
        <f t="shared" si="51"/>
        <v>0</v>
      </c>
      <c r="K99" s="543">
        <f t="shared" si="51"/>
        <v>0</v>
      </c>
      <c r="L99" s="603">
        <f t="shared" si="51"/>
        <v>0</v>
      </c>
      <c r="N99" s="586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575"/>
    </row>
    <row r="100" spans="1:25" s="80" customFormat="1" ht="12" customHeight="1">
      <c r="A100"/>
      <c r="B100" s="347"/>
      <c r="C100" s="88" t="s">
        <v>39</v>
      </c>
      <c r="D100" s="89"/>
      <c r="E100" s="345"/>
      <c r="F100" s="372">
        <v>0</v>
      </c>
      <c r="G100" s="372">
        <f t="shared" ref="G100:L100" si="52">F100</f>
        <v>0</v>
      </c>
      <c r="H100" s="372">
        <f t="shared" si="52"/>
        <v>0</v>
      </c>
      <c r="I100" s="372">
        <f t="shared" si="52"/>
        <v>0</v>
      </c>
      <c r="J100" s="372">
        <f t="shared" si="52"/>
        <v>0</v>
      </c>
      <c r="K100" s="372">
        <f t="shared" si="52"/>
        <v>0</v>
      </c>
      <c r="L100" s="373">
        <f t="shared" si="52"/>
        <v>0</v>
      </c>
      <c r="N100" s="586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575"/>
    </row>
    <row r="101" spans="1:25" s="80" customFormat="1" ht="12" customHeight="1" thickBot="1">
      <c r="A101" s="96"/>
      <c r="B101" s="348"/>
      <c r="C101" s="91" t="s">
        <v>41</v>
      </c>
      <c r="D101" s="92"/>
      <c r="E101" s="609"/>
      <c r="F101" s="605">
        <f t="shared" ref="F101:L101" si="53">IF(F98=0,0,(F98-F99/2)*F100)</f>
        <v>0</v>
      </c>
      <c r="G101" s="605">
        <f t="shared" si="53"/>
        <v>0</v>
      </c>
      <c r="H101" s="605">
        <f t="shared" si="53"/>
        <v>0</v>
      </c>
      <c r="I101" s="605">
        <f t="shared" si="53"/>
        <v>0</v>
      </c>
      <c r="J101" s="605">
        <f t="shared" si="53"/>
        <v>0</v>
      </c>
      <c r="K101" s="605">
        <f t="shared" si="53"/>
        <v>0</v>
      </c>
      <c r="L101" s="606">
        <f t="shared" si="53"/>
        <v>0</v>
      </c>
      <c r="N101" s="586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575"/>
    </row>
    <row r="102" spans="1:25" ht="12" customHeight="1">
      <c r="B102" s="346" t="s">
        <v>11</v>
      </c>
      <c r="C102" s="64" t="s">
        <v>249</v>
      </c>
      <c r="D102" s="376" t="str">
        <f>D97</f>
        <v>Pääoma 31.12</v>
      </c>
      <c r="E102" s="598">
        <v>0</v>
      </c>
      <c r="F102" s="637">
        <f>IF(F103-F104&lt;0,0,F103-F104)</f>
        <v>0</v>
      </c>
      <c r="G102" s="637">
        <f t="shared" ref="G102:L102" si="54">IF(G103-G104&lt;0,0,G103-G104)</f>
        <v>0</v>
      </c>
      <c r="H102" s="637">
        <f t="shared" si="54"/>
        <v>0</v>
      </c>
      <c r="I102" s="637">
        <f t="shared" si="54"/>
        <v>0</v>
      </c>
      <c r="J102" s="637">
        <f t="shared" si="54"/>
        <v>0</v>
      </c>
      <c r="K102" s="637">
        <f t="shared" si="54"/>
        <v>0</v>
      </c>
      <c r="L102" s="638">
        <f t="shared" si="54"/>
        <v>0</v>
      </c>
      <c r="N102" s="586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575"/>
    </row>
    <row r="103" spans="1:25" s="80" customFormat="1" ht="12" customHeight="1">
      <c r="A103"/>
      <c r="B103" s="347"/>
      <c r="C103" s="88" t="s">
        <v>37</v>
      </c>
      <c r="D103" s="89"/>
      <c r="E103" s="344"/>
      <c r="F103" s="544">
        <f>E102</f>
        <v>0</v>
      </c>
      <c r="G103" s="544">
        <f t="shared" ref="G103:L103" si="55">IF(F102=0,0,F102)</f>
        <v>0</v>
      </c>
      <c r="H103" s="544">
        <f t="shared" si="55"/>
        <v>0</v>
      </c>
      <c r="I103" s="544">
        <f t="shared" si="55"/>
        <v>0</v>
      </c>
      <c r="J103" s="544">
        <f t="shared" si="55"/>
        <v>0</v>
      </c>
      <c r="K103" s="544">
        <f t="shared" si="55"/>
        <v>0</v>
      </c>
      <c r="L103" s="602">
        <f t="shared" si="55"/>
        <v>0</v>
      </c>
      <c r="N103" s="586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575"/>
    </row>
    <row r="104" spans="1:25" s="80" customFormat="1" ht="12" customHeight="1">
      <c r="B104" s="347"/>
      <c r="C104" s="88" t="s">
        <v>38</v>
      </c>
      <c r="D104" s="89"/>
      <c r="E104" s="601">
        <v>0</v>
      </c>
      <c r="F104" s="543">
        <v>0</v>
      </c>
      <c r="G104" s="543">
        <f t="shared" ref="G104:L105" si="56">F104</f>
        <v>0</v>
      </c>
      <c r="H104" s="543">
        <f t="shared" si="56"/>
        <v>0</v>
      </c>
      <c r="I104" s="543">
        <f t="shared" si="56"/>
        <v>0</v>
      </c>
      <c r="J104" s="543">
        <f t="shared" si="56"/>
        <v>0</v>
      </c>
      <c r="K104" s="543">
        <f t="shared" si="56"/>
        <v>0</v>
      </c>
      <c r="L104" s="603">
        <f t="shared" si="56"/>
        <v>0</v>
      </c>
      <c r="N104" s="586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575"/>
    </row>
    <row r="105" spans="1:25" s="80" customFormat="1" ht="12" customHeight="1">
      <c r="B105" s="347"/>
      <c r="C105" s="88" t="s">
        <v>39</v>
      </c>
      <c r="D105" s="89"/>
      <c r="E105" s="345"/>
      <c r="F105" s="372">
        <v>0</v>
      </c>
      <c r="G105" s="372">
        <f t="shared" si="56"/>
        <v>0</v>
      </c>
      <c r="H105" s="372">
        <f t="shared" si="56"/>
        <v>0</v>
      </c>
      <c r="I105" s="372">
        <f t="shared" si="56"/>
        <v>0</v>
      </c>
      <c r="J105" s="372">
        <f t="shared" si="56"/>
        <v>0</v>
      </c>
      <c r="K105" s="372">
        <f t="shared" si="56"/>
        <v>0</v>
      </c>
      <c r="L105" s="373">
        <f t="shared" si="56"/>
        <v>0</v>
      </c>
      <c r="N105" s="586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575"/>
    </row>
    <row r="106" spans="1:25" s="80" customFormat="1" ht="12" customHeight="1" thickBot="1">
      <c r="B106" s="348"/>
      <c r="C106" s="91" t="s">
        <v>41</v>
      </c>
      <c r="D106" s="92"/>
      <c r="E106" s="609"/>
      <c r="F106" s="605">
        <f t="shared" ref="F106:L106" si="57">IF(F103=0,0,(F103-F104/2)*F105)</f>
        <v>0</v>
      </c>
      <c r="G106" s="605">
        <f t="shared" si="57"/>
        <v>0</v>
      </c>
      <c r="H106" s="605">
        <f t="shared" si="57"/>
        <v>0</v>
      </c>
      <c r="I106" s="605">
        <f t="shared" si="57"/>
        <v>0</v>
      </c>
      <c r="J106" s="605">
        <f t="shared" si="57"/>
        <v>0</v>
      </c>
      <c r="K106" s="605">
        <f t="shared" si="57"/>
        <v>0</v>
      </c>
      <c r="L106" s="606">
        <f t="shared" si="57"/>
        <v>0</v>
      </c>
      <c r="N106" s="586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575"/>
    </row>
    <row r="107" spans="1:25" ht="12" customHeight="1">
      <c r="A107" s="80"/>
      <c r="B107" s="346" t="s">
        <v>12</v>
      </c>
      <c r="C107" s="64" t="s">
        <v>250</v>
      </c>
      <c r="D107" s="376" t="str">
        <f>D102</f>
        <v>Pääoma 31.12</v>
      </c>
      <c r="E107" s="598">
        <v>0</v>
      </c>
      <c r="F107" s="637">
        <f>IF(F108-F109&lt;0,0,F108-F109)</f>
        <v>0</v>
      </c>
      <c r="G107" s="637">
        <f t="shared" ref="G107:L107" si="58">IF(G108-G109&lt;0,0,G108-G109)</f>
        <v>0</v>
      </c>
      <c r="H107" s="637">
        <f t="shared" si="58"/>
        <v>0</v>
      </c>
      <c r="I107" s="637">
        <f t="shared" si="58"/>
        <v>0</v>
      </c>
      <c r="J107" s="637">
        <f t="shared" si="58"/>
        <v>0</v>
      </c>
      <c r="K107" s="637">
        <f t="shared" si="58"/>
        <v>0</v>
      </c>
      <c r="L107" s="638">
        <f t="shared" si="58"/>
        <v>0</v>
      </c>
      <c r="N107" s="586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575"/>
    </row>
    <row r="108" spans="1:25" s="80" customFormat="1" ht="12" customHeight="1">
      <c r="B108" s="347"/>
      <c r="C108" s="88" t="s">
        <v>37</v>
      </c>
      <c r="D108" s="89"/>
      <c r="E108" s="344"/>
      <c r="F108" s="544">
        <f>E107</f>
        <v>0</v>
      </c>
      <c r="G108" s="544">
        <f t="shared" ref="G108:L108" si="59">IF(F107=0,0,F107)</f>
        <v>0</v>
      </c>
      <c r="H108" s="544">
        <f t="shared" si="59"/>
        <v>0</v>
      </c>
      <c r="I108" s="544">
        <f t="shared" si="59"/>
        <v>0</v>
      </c>
      <c r="J108" s="544">
        <f t="shared" si="59"/>
        <v>0</v>
      </c>
      <c r="K108" s="544">
        <f t="shared" si="59"/>
        <v>0</v>
      </c>
      <c r="L108" s="602">
        <f t="shared" si="59"/>
        <v>0</v>
      </c>
      <c r="N108" s="586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575"/>
    </row>
    <row r="109" spans="1:25" s="80" customFormat="1" ht="12" customHeight="1">
      <c r="B109" s="347"/>
      <c r="C109" s="88" t="s">
        <v>38</v>
      </c>
      <c r="D109" s="89"/>
      <c r="E109" s="601">
        <v>0</v>
      </c>
      <c r="F109" s="543">
        <v>0</v>
      </c>
      <c r="G109" s="543">
        <f t="shared" ref="G109:L110" si="60">F109</f>
        <v>0</v>
      </c>
      <c r="H109" s="543">
        <f t="shared" si="60"/>
        <v>0</v>
      </c>
      <c r="I109" s="543">
        <f t="shared" si="60"/>
        <v>0</v>
      </c>
      <c r="J109" s="543">
        <f t="shared" si="60"/>
        <v>0</v>
      </c>
      <c r="K109" s="543">
        <f t="shared" si="60"/>
        <v>0</v>
      </c>
      <c r="L109" s="603">
        <f t="shared" si="60"/>
        <v>0</v>
      </c>
      <c r="N109" s="586">
        <v>0</v>
      </c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575"/>
    </row>
    <row r="110" spans="1:25" s="80" customFormat="1" ht="12" customHeight="1">
      <c r="B110" s="347"/>
      <c r="C110" s="88" t="s">
        <v>39</v>
      </c>
      <c r="D110" s="89"/>
      <c r="E110" s="345"/>
      <c r="F110" s="372">
        <v>0</v>
      </c>
      <c r="G110" s="372">
        <f t="shared" si="60"/>
        <v>0</v>
      </c>
      <c r="H110" s="372">
        <f t="shared" si="60"/>
        <v>0</v>
      </c>
      <c r="I110" s="372">
        <f t="shared" si="60"/>
        <v>0</v>
      </c>
      <c r="J110" s="372">
        <f t="shared" si="60"/>
        <v>0</v>
      </c>
      <c r="K110" s="372">
        <f t="shared" si="60"/>
        <v>0</v>
      </c>
      <c r="L110" s="373">
        <f t="shared" si="60"/>
        <v>0</v>
      </c>
      <c r="N110" s="586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575"/>
    </row>
    <row r="111" spans="1:25" s="80" customFormat="1" ht="12" customHeight="1" thickBot="1">
      <c r="A111"/>
      <c r="B111" s="348"/>
      <c r="C111" s="91" t="s">
        <v>41</v>
      </c>
      <c r="D111" s="92"/>
      <c r="E111" s="609"/>
      <c r="F111" s="605">
        <f t="shared" ref="F111:L111" si="61">IF(F108=0,0,(F108-F109/2)*F110)</f>
        <v>0</v>
      </c>
      <c r="G111" s="605">
        <f t="shared" si="61"/>
        <v>0</v>
      </c>
      <c r="H111" s="605">
        <f t="shared" si="61"/>
        <v>0</v>
      </c>
      <c r="I111" s="605">
        <f t="shared" si="61"/>
        <v>0</v>
      </c>
      <c r="J111" s="605">
        <f t="shared" si="61"/>
        <v>0</v>
      </c>
      <c r="K111" s="605">
        <f t="shared" si="61"/>
        <v>0</v>
      </c>
      <c r="L111" s="606">
        <f t="shared" si="61"/>
        <v>0</v>
      </c>
      <c r="N111" s="586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575"/>
    </row>
    <row r="112" spans="1:25" ht="12" customHeight="1">
      <c r="A112" s="80"/>
      <c r="B112" s="346" t="s">
        <v>13</v>
      </c>
      <c r="C112" s="64" t="s">
        <v>251</v>
      </c>
      <c r="D112" s="376" t="str">
        <f>D107</f>
        <v>Pääoma 31.12</v>
      </c>
      <c r="E112" s="598">
        <v>0</v>
      </c>
      <c r="F112" s="637">
        <f>IF(F113-F114&lt;0,0,F113-F114)</f>
        <v>0</v>
      </c>
      <c r="G112" s="637">
        <f t="shared" ref="G112:L112" si="62">IF(G113-G114&lt;0,0,G113-G114)</f>
        <v>0</v>
      </c>
      <c r="H112" s="637">
        <f t="shared" si="62"/>
        <v>0</v>
      </c>
      <c r="I112" s="637">
        <f t="shared" si="62"/>
        <v>0</v>
      </c>
      <c r="J112" s="637">
        <f t="shared" si="62"/>
        <v>0</v>
      </c>
      <c r="K112" s="637">
        <f t="shared" si="62"/>
        <v>0</v>
      </c>
      <c r="L112" s="638">
        <f t="shared" si="62"/>
        <v>0</v>
      </c>
      <c r="N112" s="586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575"/>
    </row>
    <row r="113" spans="1:25" s="80" customFormat="1" ht="12" customHeight="1">
      <c r="B113" s="347"/>
      <c r="C113" s="88" t="s">
        <v>37</v>
      </c>
      <c r="D113" s="89"/>
      <c r="E113" s="344"/>
      <c r="F113" s="544">
        <f>E112</f>
        <v>0</v>
      </c>
      <c r="G113" s="544">
        <f t="shared" ref="G113:L113" si="63">IF(F112=0,0,F112)</f>
        <v>0</v>
      </c>
      <c r="H113" s="544">
        <f t="shared" si="63"/>
        <v>0</v>
      </c>
      <c r="I113" s="544">
        <f t="shared" si="63"/>
        <v>0</v>
      </c>
      <c r="J113" s="544">
        <f t="shared" si="63"/>
        <v>0</v>
      </c>
      <c r="K113" s="544">
        <f t="shared" si="63"/>
        <v>0</v>
      </c>
      <c r="L113" s="602">
        <f t="shared" si="63"/>
        <v>0</v>
      </c>
      <c r="N113" s="586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575"/>
    </row>
    <row r="114" spans="1:25" s="80" customFormat="1" ht="12" customHeight="1">
      <c r="B114" s="347"/>
      <c r="C114" s="88" t="s">
        <v>38</v>
      </c>
      <c r="D114" s="89"/>
      <c r="E114" s="601">
        <v>0</v>
      </c>
      <c r="F114" s="543">
        <v>0</v>
      </c>
      <c r="G114" s="543">
        <f t="shared" ref="G114:L115" si="64">F114</f>
        <v>0</v>
      </c>
      <c r="H114" s="543">
        <f t="shared" si="64"/>
        <v>0</v>
      </c>
      <c r="I114" s="543">
        <f t="shared" si="64"/>
        <v>0</v>
      </c>
      <c r="J114" s="543">
        <f t="shared" si="64"/>
        <v>0</v>
      </c>
      <c r="K114" s="543">
        <f t="shared" si="64"/>
        <v>0</v>
      </c>
      <c r="L114" s="603">
        <f t="shared" si="64"/>
        <v>0</v>
      </c>
      <c r="N114" s="586">
        <v>0</v>
      </c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575"/>
    </row>
    <row r="115" spans="1:25" s="80" customFormat="1" ht="12" customHeight="1">
      <c r="B115" s="347"/>
      <c r="C115" s="88" t="s">
        <v>39</v>
      </c>
      <c r="D115" s="89"/>
      <c r="E115" s="345"/>
      <c r="F115" s="372">
        <v>0</v>
      </c>
      <c r="G115" s="372">
        <f t="shared" si="64"/>
        <v>0</v>
      </c>
      <c r="H115" s="372">
        <f t="shared" si="64"/>
        <v>0</v>
      </c>
      <c r="I115" s="372">
        <f t="shared" si="64"/>
        <v>0</v>
      </c>
      <c r="J115" s="372">
        <f t="shared" si="64"/>
        <v>0</v>
      </c>
      <c r="K115" s="372">
        <f t="shared" si="64"/>
        <v>0</v>
      </c>
      <c r="L115" s="373">
        <f t="shared" si="64"/>
        <v>0</v>
      </c>
      <c r="N115" s="586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575"/>
    </row>
    <row r="116" spans="1:25" s="80" customFormat="1" ht="12" customHeight="1" thickBot="1">
      <c r="A116"/>
      <c r="B116" s="348"/>
      <c r="C116" s="91" t="s">
        <v>41</v>
      </c>
      <c r="D116" s="92"/>
      <c r="E116" s="609"/>
      <c r="F116" s="605">
        <f t="shared" ref="F116:L116" si="65">IF(F113=0,0,(F113-F114/2)*F115)</f>
        <v>0</v>
      </c>
      <c r="G116" s="605">
        <f t="shared" si="65"/>
        <v>0</v>
      </c>
      <c r="H116" s="605">
        <f t="shared" si="65"/>
        <v>0</v>
      </c>
      <c r="I116" s="605">
        <f t="shared" si="65"/>
        <v>0</v>
      </c>
      <c r="J116" s="605">
        <f t="shared" si="65"/>
        <v>0</v>
      </c>
      <c r="K116" s="605">
        <f t="shared" si="65"/>
        <v>0</v>
      </c>
      <c r="L116" s="606">
        <f t="shared" si="65"/>
        <v>0</v>
      </c>
      <c r="N116" s="586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575"/>
    </row>
    <row r="117" spans="1:25" ht="12" customHeight="1">
      <c r="A117" s="80"/>
      <c r="B117" s="346" t="s">
        <v>14</v>
      </c>
      <c r="C117" s="64" t="s">
        <v>252</v>
      </c>
      <c r="D117" s="375" t="s">
        <v>65</v>
      </c>
      <c r="E117" s="598">
        <v>0</v>
      </c>
      <c r="F117" s="637">
        <f>E117-F119</f>
        <v>0</v>
      </c>
      <c r="G117" s="637">
        <f t="shared" ref="G117:L117" si="66">F117-G119</f>
        <v>0</v>
      </c>
      <c r="H117" s="637">
        <f t="shared" si="66"/>
        <v>0</v>
      </c>
      <c r="I117" s="637">
        <f t="shared" si="66"/>
        <v>0</v>
      </c>
      <c r="J117" s="637">
        <f t="shared" si="66"/>
        <v>0</v>
      </c>
      <c r="K117" s="637">
        <f t="shared" si="66"/>
        <v>0</v>
      </c>
      <c r="L117" s="638">
        <f t="shared" si="66"/>
        <v>0</v>
      </c>
      <c r="N117" s="586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575"/>
    </row>
    <row r="118" spans="1:25" s="80" customFormat="1" ht="12" customHeight="1">
      <c r="B118" s="347"/>
      <c r="C118" s="726" t="s">
        <v>163</v>
      </c>
      <c r="D118" s="727"/>
      <c r="E118" s="344"/>
      <c r="F118" s="543">
        <v>0</v>
      </c>
      <c r="G118" s="544">
        <f t="shared" ref="G118:L118" si="67">IF(F118-1&lt;0,0,F118-1)</f>
        <v>0</v>
      </c>
      <c r="H118" s="544">
        <f t="shared" si="67"/>
        <v>0</v>
      </c>
      <c r="I118" s="544">
        <f t="shared" si="67"/>
        <v>0</v>
      </c>
      <c r="J118" s="544">
        <f t="shared" si="67"/>
        <v>0</v>
      </c>
      <c r="K118" s="544">
        <f t="shared" si="67"/>
        <v>0</v>
      </c>
      <c r="L118" s="602">
        <f t="shared" si="67"/>
        <v>0</v>
      </c>
      <c r="N118" s="586"/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575"/>
    </row>
    <row r="119" spans="1:25" s="80" customFormat="1" ht="12" customHeight="1">
      <c r="B119" s="347"/>
      <c r="C119" s="88" t="s">
        <v>38</v>
      </c>
      <c r="D119" s="89"/>
      <c r="E119" s="601">
        <v>0</v>
      </c>
      <c r="F119" s="544">
        <f>aputaulu!F53</f>
        <v>0</v>
      </c>
      <c r="G119" s="544">
        <f>aputaulu!G53</f>
        <v>0</v>
      </c>
      <c r="H119" s="544">
        <f>aputaulu!H53</f>
        <v>0</v>
      </c>
      <c r="I119" s="544">
        <f>aputaulu!I53</f>
        <v>0</v>
      </c>
      <c r="J119" s="544">
        <f>aputaulu!J53</f>
        <v>0</v>
      </c>
      <c r="K119" s="544">
        <f>aputaulu!K53</f>
        <v>0</v>
      </c>
      <c r="L119" s="602">
        <f>aputaulu!L53</f>
        <v>0</v>
      </c>
      <c r="N119" s="586"/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575"/>
    </row>
    <row r="120" spans="1:25" s="80" customFormat="1" ht="12" customHeight="1">
      <c r="B120" s="347"/>
      <c r="C120" s="88" t="s">
        <v>39</v>
      </c>
      <c r="D120" s="89"/>
      <c r="E120" s="345"/>
      <c r="F120" s="372">
        <v>0</v>
      </c>
      <c r="G120" s="639">
        <f t="shared" ref="G120:L120" si="68">IF(G118=0,0,F120)</f>
        <v>0</v>
      </c>
      <c r="H120" s="639">
        <f t="shared" si="68"/>
        <v>0</v>
      </c>
      <c r="I120" s="639">
        <f t="shared" si="68"/>
        <v>0</v>
      </c>
      <c r="J120" s="639">
        <f t="shared" si="68"/>
        <v>0</v>
      </c>
      <c r="K120" s="639">
        <f t="shared" si="68"/>
        <v>0</v>
      </c>
      <c r="L120" s="640">
        <f t="shared" si="68"/>
        <v>0</v>
      </c>
      <c r="N120" s="586"/>
      <c r="O120" s="420"/>
      <c r="P120" s="420"/>
      <c r="Q120" s="420"/>
      <c r="R120" s="420"/>
      <c r="S120" s="420"/>
      <c r="T120" s="420"/>
      <c r="U120" s="420"/>
      <c r="V120" s="420"/>
      <c r="W120" s="420"/>
      <c r="X120" s="420"/>
      <c r="Y120" s="575"/>
    </row>
    <row r="121" spans="1:25" s="80" customFormat="1" ht="12" customHeight="1" thickBot="1">
      <c r="A121"/>
      <c r="B121" s="348"/>
      <c r="C121" s="91" t="s">
        <v>41</v>
      </c>
      <c r="D121" s="92"/>
      <c r="E121" s="609"/>
      <c r="F121" s="605">
        <f>aputaulu!F55</f>
        <v>0</v>
      </c>
      <c r="G121" s="605">
        <f>aputaulu!G55</f>
        <v>0</v>
      </c>
      <c r="H121" s="605">
        <f>aputaulu!H55</f>
        <v>0</v>
      </c>
      <c r="I121" s="605">
        <f>aputaulu!I55</f>
        <v>0</v>
      </c>
      <c r="J121" s="605">
        <f>aputaulu!J55</f>
        <v>0</v>
      </c>
      <c r="K121" s="605">
        <f>aputaulu!K55</f>
        <v>0</v>
      </c>
      <c r="L121" s="606">
        <f>aputaulu!L55</f>
        <v>0</v>
      </c>
      <c r="N121" s="586"/>
      <c r="O121" s="420"/>
      <c r="P121" s="420"/>
      <c r="Q121" s="420"/>
      <c r="R121" s="420"/>
      <c r="S121" s="420"/>
      <c r="T121" s="420"/>
      <c r="U121" s="420"/>
      <c r="V121" s="420"/>
      <c r="W121" s="420"/>
      <c r="X121" s="420"/>
      <c r="Y121" s="575"/>
    </row>
    <row r="122" spans="1:25" ht="12" customHeight="1">
      <c r="A122" s="80"/>
      <c r="B122" s="346" t="s">
        <v>15</v>
      </c>
      <c r="C122" s="64" t="s">
        <v>253</v>
      </c>
      <c r="D122" s="376" t="str">
        <f>D117</f>
        <v>Pääoma 31.12</v>
      </c>
      <c r="E122" s="598">
        <v>0</v>
      </c>
      <c r="F122" s="637">
        <f>E122-F124</f>
        <v>0</v>
      </c>
      <c r="G122" s="637">
        <f t="shared" ref="G122:L122" si="69">F122-G124</f>
        <v>0</v>
      </c>
      <c r="H122" s="637">
        <f t="shared" si="69"/>
        <v>0</v>
      </c>
      <c r="I122" s="637">
        <f t="shared" si="69"/>
        <v>0</v>
      </c>
      <c r="J122" s="637">
        <f t="shared" si="69"/>
        <v>0</v>
      </c>
      <c r="K122" s="637">
        <f t="shared" si="69"/>
        <v>0</v>
      </c>
      <c r="L122" s="638">
        <f t="shared" si="69"/>
        <v>0</v>
      </c>
      <c r="N122" s="586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575"/>
    </row>
    <row r="123" spans="1:25" s="80" customFormat="1" ht="12" customHeight="1">
      <c r="B123" s="347"/>
      <c r="C123" s="726" t="s">
        <v>163</v>
      </c>
      <c r="D123" s="727"/>
      <c r="E123" s="344"/>
      <c r="F123" s="543">
        <v>0</v>
      </c>
      <c r="G123" s="544">
        <f t="shared" ref="G123:L123" si="70">IF(F123-1&lt;0,0,F123-1)</f>
        <v>0</v>
      </c>
      <c r="H123" s="544">
        <f t="shared" si="70"/>
        <v>0</v>
      </c>
      <c r="I123" s="544">
        <f t="shared" si="70"/>
        <v>0</v>
      </c>
      <c r="J123" s="544">
        <f t="shared" si="70"/>
        <v>0</v>
      </c>
      <c r="K123" s="544">
        <f t="shared" si="70"/>
        <v>0</v>
      </c>
      <c r="L123" s="602">
        <f t="shared" si="70"/>
        <v>0</v>
      </c>
      <c r="N123" s="586"/>
      <c r="O123" s="420"/>
      <c r="P123" s="420"/>
      <c r="Q123" s="420"/>
      <c r="R123" s="420"/>
      <c r="S123" s="420"/>
      <c r="T123" s="420"/>
      <c r="U123" s="420"/>
      <c r="V123" s="420"/>
      <c r="W123" s="420"/>
      <c r="X123" s="420"/>
      <c r="Y123" s="575"/>
    </row>
    <row r="124" spans="1:25" s="80" customFormat="1" ht="12" customHeight="1">
      <c r="B124" s="347"/>
      <c r="C124" s="88" t="s">
        <v>38</v>
      </c>
      <c r="D124" s="89"/>
      <c r="E124" s="601">
        <v>0</v>
      </c>
      <c r="F124" s="544">
        <f>aputaulu!F60</f>
        <v>0</v>
      </c>
      <c r="G124" s="544">
        <f>aputaulu!G60</f>
        <v>0</v>
      </c>
      <c r="H124" s="544">
        <f>aputaulu!H60</f>
        <v>0</v>
      </c>
      <c r="I124" s="544">
        <f>aputaulu!I60</f>
        <v>0</v>
      </c>
      <c r="J124" s="544">
        <f>aputaulu!J60</f>
        <v>0</v>
      </c>
      <c r="K124" s="544">
        <f>aputaulu!K60</f>
        <v>0</v>
      </c>
      <c r="L124" s="602">
        <f>aputaulu!L60</f>
        <v>0</v>
      </c>
      <c r="N124" s="586"/>
      <c r="O124" s="420"/>
      <c r="P124" s="420"/>
      <c r="Q124" s="420"/>
      <c r="R124" s="420"/>
      <c r="S124" s="420"/>
      <c r="T124" s="420"/>
      <c r="U124" s="420"/>
      <c r="V124" s="420"/>
      <c r="W124" s="420"/>
      <c r="X124" s="420"/>
      <c r="Y124" s="575"/>
    </row>
    <row r="125" spans="1:25" s="80" customFormat="1" ht="12" customHeight="1">
      <c r="B125" s="347"/>
      <c r="C125" s="88" t="s">
        <v>39</v>
      </c>
      <c r="D125" s="89"/>
      <c r="E125" s="345"/>
      <c r="F125" s="372">
        <v>0</v>
      </c>
      <c r="G125" s="639">
        <f t="shared" ref="G125:L125" si="71">IF(G123=0,0,F125)</f>
        <v>0</v>
      </c>
      <c r="H125" s="639">
        <f t="shared" si="71"/>
        <v>0</v>
      </c>
      <c r="I125" s="639">
        <f t="shared" si="71"/>
        <v>0</v>
      </c>
      <c r="J125" s="639">
        <f t="shared" si="71"/>
        <v>0</v>
      </c>
      <c r="K125" s="639">
        <f t="shared" si="71"/>
        <v>0</v>
      </c>
      <c r="L125" s="640">
        <f t="shared" si="71"/>
        <v>0</v>
      </c>
      <c r="N125" s="586"/>
      <c r="O125" s="420"/>
      <c r="P125" s="420"/>
      <c r="Q125" s="420"/>
      <c r="R125" s="420"/>
      <c r="S125" s="420"/>
      <c r="T125" s="420"/>
      <c r="U125" s="420"/>
      <c r="V125" s="420"/>
      <c r="W125" s="420"/>
      <c r="X125" s="420"/>
      <c r="Y125" s="575"/>
    </row>
    <row r="126" spans="1:25" s="80" customFormat="1" ht="12" customHeight="1" thickBot="1">
      <c r="B126" s="348"/>
      <c r="C126" s="91" t="s">
        <v>41</v>
      </c>
      <c r="D126" s="92"/>
      <c r="E126" s="609"/>
      <c r="F126" s="605">
        <f>aputaulu!F62</f>
        <v>0</v>
      </c>
      <c r="G126" s="605">
        <f>aputaulu!G62</f>
        <v>0</v>
      </c>
      <c r="H126" s="605">
        <f>aputaulu!H62</f>
        <v>0</v>
      </c>
      <c r="I126" s="605">
        <f>aputaulu!I62</f>
        <v>0</v>
      </c>
      <c r="J126" s="605">
        <f>aputaulu!J62</f>
        <v>0</v>
      </c>
      <c r="K126" s="605">
        <f>aputaulu!K62</f>
        <v>0</v>
      </c>
      <c r="L126" s="606">
        <f>aputaulu!L62</f>
        <v>0</v>
      </c>
      <c r="N126" s="586"/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575"/>
    </row>
    <row r="127" spans="1:25" ht="12" customHeight="1">
      <c r="B127" s="346" t="s">
        <v>16</v>
      </c>
      <c r="C127" s="64" t="s">
        <v>254</v>
      </c>
      <c r="D127" s="376" t="str">
        <f>D122</f>
        <v>Pääoma 31.12</v>
      </c>
      <c r="E127" s="598">
        <v>0</v>
      </c>
      <c r="F127" s="637">
        <f>E127-F129</f>
        <v>0</v>
      </c>
      <c r="G127" s="637">
        <f t="shared" ref="G127:L127" si="72">F127-G129</f>
        <v>0</v>
      </c>
      <c r="H127" s="637">
        <f t="shared" si="72"/>
        <v>0</v>
      </c>
      <c r="I127" s="637">
        <f t="shared" si="72"/>
        <v>0</v>
      </c>
      <c r="J127" s="637">
        <f t="shared" si="72"/>
        <v>0</v>
      </c>
      <c r="K127" s="637">
        <f t="shared" si="72"/>
        <v>0</v>
      </c>
      <c r="L127" s="638">
        <f t="shared" si="72"/>
        <v>0</v>
      </c>
      <c r="N127" s="586"/>
      <c r="O127" s="420"/>
      <c r="P127" s="420"/>
      <c r="Q127" s="420"/>
      <c r="R127" s="420"/>
      <c r="S127" s="420"/>
      <c r="T127" s="420"/>
      <c r="U127" s="420"/>
      <c r="V127" s="420"/>
      <c r="W127" s="420"/>
      <c r="X127" s="420"/>
      <c r="Y127" s="575"/>
    </row>
    <row r="128" spans="1:25" s="80" customFormat="1" ht="12" customHeight="1">
      <c r="B128" s="347"/>
      <c r="C128" s="726" t="s">
        <v>163</v>
      </c>
      <c r="D128" s="727"/>
      <c r="E128" s="344"/>
      <c r="F128" s="543">
        <v>0</v>
      </c>
      <c r="G128" s="544">
        <f t="shared" ref="G128:L128" si="73">IF(F128-1&lt;0,0,F128-1)</f>
        <v>0</v>
      </c>
      <c r="H128" s="544">
        <f t="shared" si="73"/>
        <v>0</v>
      </c>
      <c r="I128" s="544">
        <f t="shared" si="73"/>
        <v>0</v>
      </c>
      <c r="J128" s="544">
        <f t="shared" si="73"/>
        <v>0</v>
      </c>
      <c r="K128" s="544">
        <f t="shared" si="73"/>
        <v>0</v>
      </c>
      <c r="L128" s="602">
        <f t="shared" si="73"/>
        <v>0</v>
      </c>
      <c r="N128" s="586"/>
      <c r="O128" s="420"/>
      <c r="P128" s="420"/>
      <c r="Q128" s="420"/>
      <c r="R128" s="420"/>
      <c r="S128" s="420"/>
      <c r="T128" s="420"/>
      <c r="U128" s="420"/>
      <c r="V128" s="420"/>
      <c r="W128" s="420"/>
      <c r="X128" s="420"/>
      <c r="Y128" s="575"/>
    </row>
    <row r="129" spans="2:25" s="80" customFormat="1" ht="12" customHeight="1">
      <c r="B129" s="347"/>
      <c r="C129" s="88" t="s">
        <v>38</v>
      </c>
      <c r="D129" s="89"/>
      <c r="E129" s="601">
        <v>0</v>
      </c>
      <c r="F129" s="544">
        <f>aputaulu!F67</f>
        <v>0</v>
      </c>
      <c r="G129" s="544">
        <f>aputaulu!G67</f>
        <v>0</v>
      </c>
      <c r="H129" s="544">
        <f>aputaulu!H67</f>
        <v>0</v>
      </c>
      <c r="I129" s="544">
        <f>aputaulu!I67</f>
        <v>0</v>
      </c>
      <c r="J129" s="544">
        <f>aputaulu!J67</f>
        <v>0</v>
      </c>
      <c r="K129" s="544">
        <f>aputaulu!K67</f>
        <v>0</v>
      </c>
      <c r="L129" s="602">
        <f>aputaulu!L67</f>
        <v>0</v>
      </c>
      <c r="N129" s="586"/>
      <c r="O129" s="420"/>
      <c r="P129" s="420"/>
      <c r="Q129" s="420"/>
      <c r="R129" s="420"/>
      <c r="S129" s="420"/>
      <c r="T129" s="420"/>
      <c r="U129" s="420"/>
      <c r="V129" s="420"/>
      <c r="W129" s="420"/>
      <c r="X129" s="420"/>
      <c r="Y129" s="575"/>
    </row>
    <row r="130" spans="2:25" s="80" customFormat="1" ht="12" customHeight="1">
      <c r="B130" s="347"/>
      <c r="C130" s="88" t="s">
        <v>39</v>
      </c>
      <c r="D130" s="89"/>
      <c r="E130" s="345"/>
      <c r="F130" s="372">
        <v>0</v>
      </c>
      <c r="G130" s="639">
        <f t="shared" ref="G130:L130" si="74">IF(G128=0,0,F130)</f>
        <v>0</v>
      </c>
      <c r="H130" s="639">
        <f t="shared" si="74"/>
        <v>0</v>
      </c>
      <c r="I130" s="639">
        <f t="shared" si="74"/>
        <v>0</v>
      </c>
      <c r="J130" s="639">
        <f t="shared" si="74"/>
        <v>0</v>
      </c>
      <c r="K130" s="639">
        <f t="shared" si="74"/>
        <v>0</v>
      </c>
      <c r="L130" s="640">
        <f t="shared" si="74"/>
        <v>0</v>
      </c>
      <c r="N130" s="586"/>
      <c r="O130" s="420"/>
      <c r="P130" s="420"/>
      <c r="Q130" s="420"/>
      <c r="R130" s="420"/>
      <c r="S130" s="420"/>
      <c r="T130" s="420"/>
      <c r="U130" s="420"/>
      <c r="V130" s="420"/>
      <c r="W130" s="420"/>
      <c r="X130" s="420"/>
      <c r="Y130" s="575"/>
    </row>
    <row r="131" spans="2:25" s="80" customFormat="1" ht="12" customHeight="1" thickBot="1">
      <c r="B131" s="348"/>
      <c r="C131" s="91" t="s">
        <v>41</v>
      </c>
      <c r="D131" s="92"/>
      <c r="E131" s="609"/>
      <c r="F131" s="605">
        <f>aputaulu!F69</f>
        <v>0</v>
      </c>
      <c r="G131" s="605">
        <f>aputaulu!G69</f>
        <v>0</v>
      </c>
      <c r="H131" s="605">
        <f>aputaulu!H69</f>
        <v>0</v>
      </c>
      <c r="I131" s="605">
        <f>aputaulu!I69</f>
        <v>0</v>
      </c>
      <c r="J131" s="605">
        <f>aputaulu!J69</f>
        <v>0</v>
      </c>
      <c r="K131" s="605">
        <f>aputaulu!K69</f>
        <v>0</v>
      </c>
      <c r="L131" s="606">
        <f>aputaulu!L69</f>
        <v>0</v>
      </c>
      <c r="N131" s="586"/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575"/>
    </row>
    <row r="132" spans="2:25" ht="12" customHeight="1">
      <c r="B132" s="346" t="s">
        <v>17</v>
      </c>
      <c r="C132" s="64" t="s">
        <v>255</v>
      </c>
      <c r="D132" s="376" t="str">
        <f>D127</f>
        <v>Pääoma 31.12</v>
      </c>
      <c r="E132" s="598">
        <v>0</v>
      </c>
      <c r="F132" s="637">
        <f>E132-F134</f>
        <v>0</v>
      </c>
      <c r="G132" s="637">
        <f t="shared" ref="G132:L132" si="75">F132-G134</f>
        <v>0</v>
      </c>
      <c r="H132" s="637">
        <f t="shared" si="75"/>
        <v>0</v>
      </c>
      <c r="I132" s="637">
        <f t="shared" si="75"/>
        <v>0</v>
      </c>
      <c r="J132" s="637">
        <f t="shared" si="75"/>
        <v>0</v>
      </c>
      <c r="K132" s="637">
        <f t="shared" si="75"/>
        <v>0</v>
      </c>
      <c r="L132" s="638">
        <f t="shared" si="75"/>
        <v>0</v>
      </c>
      <c r="N132" s="586"/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575"/>
    </row>
    <row r="133" spans="2:25" s="80" customFormat="1" ht="12" customHeight="1">
      <c r="B133" s="347"/>
      <c r="C133" s="726" t="s">
        <v>163</v>
      </c>
      <c r="D133" s="727"/>
      <c r="E133" s="344"/>
      <c r="F133" s="543">
        <v>0</v>
      </c>
      <c r="G133" s="544">
        <f t="shared" ref="G133:L133" si="76">IF(F133-1&lt;0,0,F133-1)</f>
        <v>0</v>
      </c>
      <c r="H133" s="544">
        <f t="shared" si="76"/>
        <v>0</v>
      </c>
      <c r="I133" s="544">
        <f t="shared" si="76"/>
        <v>0</v>
      </c>
      <c r="J133" s="544">
        <f t="shared" si="76"/>
        <v>0</v>
      </c>
      <c r="K133" s="544">
        <f t="shared" si="76"/>
        <v>0</v>
      </c>
      <c r="L133" s="602">
        <f t="shared" si="76"/>
        <v>0</v>
      </c>
      <c r="N133" s="586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575"/>
    </row>
    <row r="134" spans="2:25" s="80" customFormat="1" ht="12" customHeight="1">
      <c r="B134" s="347"/>
      <c r="C134" s="88" t="s">
        <v>38</v>
      </c>
      <c r="D134" s="89"/>
      <c r="E134" s="601">
        <v>0</v>
      </c>
      <c r="F134" s="544">
        <f>aputaulu!F74</f>
        <v>0</v>
      </c>
      <c r="G134" s="544">
        <f>aputaulu!G74</f>
        <v>0</v>
      </c>
      <c r="H134" s="544">
        <f>aputaulu!H74</f>
        <v>0</v>
      </c>
      <c r="I134" s="544">
        <f>aputaulu!I74</f>
        <v>0</v>
      </c>
      <c r="J134" s="544">
        <f>aputaulu!J74</f>
        <v>0</v>
      </c>
      <c r="K134" s="544">
        <f>aputaulu!K74</f>
        <v>0</v>
      </c>
      <c r="L134" s="602">
        <f>aputaulu!L74</f>
        <v>0</v>
      </c>
      <c r="N134" s="586"/>
      <c r="O134" s="420"/>
      <c r="P134" s="420"/>
      <c r="Q134" s="420"/>
      <c r="R134" s="420"/>
      <c r="S134" s="420"/>
      <c r="T134" s="420"/>
      <c r="U134" s="420"/>
      <c r="V134" s="420"/>
      <c r="W134" s="420"/>
      <c r="X134" s="420"/>
      <c r="Y134" s="575"/>
    </row>
    <row r="135" spans="2:25" s="80" customFormat="1" ht="12" customHeight="1">
      <c r="B135" s="347"/>
      <c r="C135" s="88" t="s">
        <v>39</v>
      </c>
      <c r="D135" s="89"/>
      <c r="E135" s="345"/>
      <c r="F135" s="372">
        <v>0</v>
      </c>
      <c r="G135" s="639">
        <f t="shared" ref="G135:L135" si="77">IF(G133=0,0,F135)</f>
        <v>0</v>
      </c>
      <c r="H135" s="639">
        <f t="shared" si="77"/>
        <v>0</v>
      </c>
      <c r="I135" s="639">
        <f t="shared" si="77"/>
        <v>0</v>
      </c>
      <c r="J135" s="639">
        <f t="shared" si="77"/>
        <v>0</v>
      </c>
      <c r="K135" s="639">
        <f t="shared" si="77"/>
        <v>0</v>
      </c>
      <c r="L135" s="640">
        <f t="shared" si="77"/>
        <v>0</v>
      </c>
      <c r="N135" s="586"/>
      <c r="O135" s="420"/>
      <c r="P135" s="420"/>
      <c r="Q135" s="420"/>
      <c r="R135" s="420"/>
      <c r="S135" s="420"/>
      <c r="T135" s="420"/>
      <c r="U135" s="420"/>
      <c r="V135" s="420"/>
      <c r="W135" s="420"/>
      <c r="X135" s="420"/>
      <c r="Y135" s="575"/>
    </row>
    <row r="136" spans="2:25" s="80" customFormat="1" ht="12" customHeight="1" thickBot="1">
      <c r="B136" s="348"/>
      <c r="C136" s="91" t="s">
        <v>41</v>
      </c>
      <c r="D136" s="92"/>
      <c r="E136" s="609"/>
      <c r="F136" s="605">
        <f>aputaulu!F76</f>
        <v>0</v>
      </c>
      <c r="G136" s="605">
        <f>aputaulu!G76</f>
        <v>0</v>
      </c>
      <c r="H136" s="605">
        <f>aputaulu!H76</f>
        <v>0</v>
      </c>
      <c r="I136" s="605">
        <f>aputaulu!I76</f>
        <v>0</v>
      </c>
      <c r="J136" s="605">
        <f>aputaulu!J76</f>
        <v>0</v>
      </c>
      <c r="K136" s="605">
        <f>aputaulu!K76</f>
        <v>0</v>
      </c>
      <c r="L136" s="606">
        <f>aputaulu!L76</f>
        <v>0</v>
      </c>
      <c r="N136" s="586"/>
      <c r="O136" s="420"/>
      <c r="P136" s="420"/>
      <c r="Q136" s="420"/>
      <c r="R136" s="420"/>
      <c r="S136" s="420"/>
      <c r="T136" s="420"/>
      <c r="U136" s="420"/>
      <c r="V136" s="420"/>
      <c r="W136" s="420"/>
      <c r="X136" s="420"/>
      <c r="Y136" s="575"/>
    </row>
    <row r="137" spans="2:25" ht="12" customHeight="1">
      <c r="B137" s="346" t="s">
        <v>86</v>
      </c>
      <c r="C137" s="64" t="s">
        <v>256</v>
      </c>
      <c r="D137" s="376" t="str">
        <f>D132</f>
        <v>Pääoma 31.12</v>
      </c>
      <c r="E137" s="598">
        <v>0</v>
      </c>
      <c r="F137" s="637">
        <f>E137-F139</f>
        <v>0</v>
      </c>
      <c r="G137" s="637">
        <f t="shared" ref="G137:L137" si="78">F137-G139</f>
        <v>0</v>
      </c>
      <c r="H137" s="637">
        <f t="shared" si="78"/>
        <v>0</v>
      </c>
      <c r="I137" s="637">
        <f t="shared" si="78"/>
        <v>0</v>
      </c>
      <c r="J137" s="637">
        <f t="shared" si="78"/>
        <v>0</v>
      </c>
      <c r="K137" s="637">
        <f t="shared" si="78"/>
        <v>0</v>
      </c>
      <c r="L137" s="638">
        <f t="shared" si="78"/>
        <v>0</v>
      </c>
      <c r="N137" s="586"/>
      <c r="O137" s="420"/>
      <c r="P137" s="420"/>
      <c r="Q137" s="420"/>
      <c r="R137" s="420"/>
      <c r="S137" s="420"/>
      <c r="T137" s="420"/>
      <c r="U137" s="420"/>
      <c r="V137" s="420"/>
      <c r="W137" s="420"/>
      <c r="X137" s="420"/>
      <c r="Y137" s="575"/>
    </row>
    <row r="138" spans="2:25" s="80" customFormat="1" ht="12" customHeight="1">
      <c r="B138" s="347"/>
      <c r="C138" s="726" t="s">
        <v>163</v>
      </c>
      <c r="D138" s="727"/>
      <c r="E138" s="344"/>
      <c r="F138" s="543">
        <v>0</v>
      </c>
      <c r="G138" s="544">
        <f t="shared" ref="G138:L138" si="79">IF(F138-1&lt;0,0,F138-1)</f>
        <v>0</v>
      </c>
      <c r="H138" s="544">
        <f t="shared" si="79"/>
        <v>0</v>
      </c>
      <c r="I138" s="544">
        <f t="shared" si="79"/>
        <v>0</v>
      </c>
      <c r="J138" s="544">
        <f t="shared" si="79"/>
        <v>0</v>
      </c>
      <c r="K138" s="544">
        <f t="shared" si="79"/>
        <v>0</v>
      </c>
      <c r="L138" s="602">
        <f t="shared" si="79"/>
        <v>0</v>
      </c>
      <c r="N138" s="586"/>
      <c r="O138" s="420"/>
      <c r="P138" s="420"/>
      <c r="Q138" s="420"/>
      <c r="R138" s="420"/>
      <c r="S138" s="420"/>
      <c r="T138" s="420"/>
      <c r="U138" s="420"/>
      <c r="V138" s="420"/>
      <c r="W138" s="420"/>
      <c r="X138" s="420"/>
      <c r="Y138" s="575"/>
    </row>
    <row r="139" spans="2:25" s="80" customFormat="1" ht="12" customHeight="1">
      <c r="B139" s="347"/>
      <c r="C139" s="88" t="s">
        <v>38</v>
      </c>
      <c r="D139" s="89"/>
      <c r="E139" s="601">
        <v>0</v>
      </c>
      <c r="F139" s="544">
        <f>aputaulu!F81</f>
        <v>0</v>
      </c>
      <c r="G139" s="544">
        <f>aputaulu!G81</f>
        <v>0</v>
      </c>
      <c r="H139" s="544">
        <f>aputaulu!H81</f>
        <v>0</v>
      </c>
      <c r="I139" s="544">
        <f>aputaulu!I81</f>
        <v>0</v>
      </c>
      <c r="J139" s="544">
        <f>aputaulu!J81</f>
        <v>0</v>
      </c>
      <c r="K139" s="544">
        <f>aputaulu!K81</f>
        <v>0</v>
      </c>
      <c r="L139" s="602">
        <f>aputaulu!L81</f>
        <v>0</v>
      </c>
      <c r="N139" s="586"/>
      <c r="O139" s="420"/>
      <c r="P139" s="420"/>
      <c r="Q139" s="420"/>
      <c r="R139" s="420"/>
      <c r="S139" s="420"/>
      <c r="T139" s="420"/>
      <c r="U139" s="420"/>
      <c r="V139" s="420"/>
      <c r="W139" s="420"/>
      <c r="X139" s="420"/>
      <c r="Y139" s="575"/>
    </row>
    <row r="140" spans="2:25" s="80" customFormat="1" ht="12" customHeight="1">
      <c r="B140" s="347"/>
      <c r="C140" s="88" t="s">
        <v>39</v>
      </c>
      <c r="D140" s="89"/>
      <c r="E140" s="345"/>
      <c r="F140" s="372">
        <v>0</v>
      </c>
      <c r="G140" s="639">
        <f t="shared" ref="G140:L140" si="80">IF(G138=0,0,F140)</f>
        <v>0</v>
      </c>
      <c r="H140" s="639">
        <f t="shared" si="80"/>
        <v>0</v>
      </c>
      <c r="I140" s="639">
        <f t="shared" si="80"/>
        <v>0</v>
      </c>
      <c r="J140" s="639">
        <f t="shared" si="80"/>
        <v>0</v>
      </c>
      <c r="K140" s="639">
        <f t="shared" si="80"/>
        <v>0</v>
      </c>
      <c r="L140" s="640">
        <f t="shared" si="80"/>
        <v>0</v>
      </c>
      <c r="N140" s="586"/>
      <c r="O140" s="420"/>
      <c r="P140" s="420"/>
      <c r="Q140" s="420"/>
      <c r="R140" s="420"/>
      <c r="S140" s="420"/>
      <c r="T140" s="420"/>
      <c r="U140" s="420"/>
      <c r="V140" s="420"/>
      <c r="W140" s="420"/>
      <c r="X140" s="420"/>
      <c r="Y140" s="575"/>
    </row>
    <row r="141" spans="2:25" s="80" customFormat="1" ht="12" customHeight="1" thickBot="1">
      <c r="B141" s="348"/>
      <c r="C141" s="91" t="s">
        <v>41</v>
      </c>
      <c r="D141" s="92"/>
      <c r="E141" s="609"/>
      <c r="F141" s="605">
        <f>aputaulu!F83</f>
        <v>0</v>
      </c>
      <c r="G141" s="605">
        <f>aputaulu!G83</f>
        <v>0</v>
      </c>
      <c r="H141" s="605">
        <f>aputaulu!H83</f>
        <v>0</v>
      </c>
      <c r="I141" s="605">
        <f>aputaulu!I83</f>
        <v>0</v>
      </c>
      <c r="J141" s="605">
        <f>aputaulu!J83</f>
        <v>0</v>
      </c>
      <c r="K141" s="605">
        <f>aputaulu!K83</f>
        <v>0</v>
      </c>
      <c r="L141" s="606">
        <f>aputaulu!L83</f>
        <v>0</v>
      </c>
      <c r="N141" s="588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90"/>
    </row>
    <row r="142" spans="2:25" ht="12" customHeight="1" thickBot="1">
      <c r="B142" s="723" t="s">
        <v>46</v>
      </c>
      <c r="C142" s="724"/>
      <c r="D142" s="725"/>
      <c r="E142" s="641">
        <f>E87+E92+E97+E102+E117+E122+E127+E132+E137+E107+E112</f>
        <v>0</v>
      </c>
      <c r="F142" s="641">
        <f t="shared" ref="F142:K142" si="81">F87+F92+F97+F102+F117+F122+F127+F132+F137+F107+F112</f>
        <v>0</v>
      </c>
      <c r="G142" s="641">
        <f t="shared" si="81"/>
        <v>0</v>
      </c>
      <c r="H142" s="641">
        <f t="shared" si="81"/>
        <v>0</v>
      </c>
      <c r="I142" s="641">
        <f t="shared" si="81"/>
        <v>0</v>
      </c>
      <c r="J142" s="641">
        <f t="shared" si="81"/>
        <v>0</v>
      </c>
      <c r="K142" s="641">
        <f t="shared" si="81"/>
        <v>0</v>
      </c>
      <c r="L142" s="642">
        <f>L87+L92+L97+L102+L117+L122+L127+L132+L137+L107+L112</f>
        <v>0</v>
      </c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2:25" ht="6" customHeight="1" thickBot="1">
      <c r="B143" s="93"/>
      <c r="C143" s="94"/>
      <c r="D143" s="94"/>
      <c r="E143" s="634"/>
      <c r="F143" s="634"/>
      <c r="G143" s="634"/>
      <c r="H143" s="634"/>
      <c r="I143" s="634"/>
      <c r="J143" s="634"/>
      <c r="K143" s="634"/>
      <c r="L143" s="63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2:25" ht="12" customHeight="1">
      <c r="B144" s="73"/>
      <c r="C144" s="50" t="s">
        <v>257</v>
      </c>
      <c r="D144" s="48"/>
      <c r="E144" s="643"/>
      <c r="F144" s="644">
        <f>F142+F80</f>
        <v>0</v>
      </c>
      <c r="G144" s="644">
        <f t="shared" ref="G144:L144" si="82">G142+G80</f>
        <v>0</v>
      </c>
      <c r="H144" s="644">
        <f t="shared" si="82"/>
        <v>0</v>
      </c>
      <c r="I144" s="644">
        <f t="shared" si="82"/>
        <v>0</v>
      </c>
      <c r="J144" s="644">
        <f t="shared" si="82"/>
        <v>0</v>
      </c>
      <c r="K144" s="644">
        <f t="shared" si="82"/>
        <v>0</v>
      </c>
      <c r="L144" s="645">
        <f t="shared" si="82"/>
        <v>0</v>
      </c>
    </row>
    <row r="145" spans="2:12" ht="12" customHeight="1">
      <c r="C145" s="115" t="s">
        <v>258</v>
      </c>
      <c r="D145" s="116"/>
      <c r="E145" s="646"/>
      <c r="F145" s="647">
        <f>F30+F36+F42+F48+F57+F64+F71+F78+F89+F94+F104+F119+F124+F129+F134+F139+F114+F109+F99</f>
        <v>0</v>
      </c>
      <c r="G145" s="647">
        <f t="shared" ref="G145:K145" si="83">G30+G36+G42+G48+G57+G64+G71+G78+G89+G94+G104+G119+G124+G129+G134+G139+G114+G109+G99</f>
        <v>0</v>
      </c>
      <c r="H145" s="647">
        <f t="shared" si="83"/>
        <v>0</v>
      </c>
      <c r="I145" s="647">
        <f t="shared" si="83"/>
        <v>0</v>
      </c>
      <c r="J145" s="647">
        <f t="shared" si="83"/>
        <v>0</v>
      </c>
      <c r="K145" s="647">
        <f t="shared" si="83"/>
        <v>0</v>
      </c>
      <c r="L145" s="648">
        <f>L30+L36+L42+L48+L57+L64+L71+L78+L89+L94+L104+L119+L124+L129+L134+L139+L114+L109+L99</f>
        <v>0</v>
      </c>
    </row>
    <row r="146" spans="2:12" ht="12" customHeight="1" thickBot="1">
      <c r="C146" s="51" t="s">
        <v>259</v>
      </c>
      <c r="D146" s="49"/>
      <c r="E146" s="649"/>
      <c r="F146" s="650">
        <f>F91+F96+F101+F32+F38+F44+F106+F121+F126+F131+F136+F141+F50+F56+F63+F70+F77</f>
        <v>0</v>
      </c>
      <c r="G146" s="650">
        <f t="shared" ref="G146:L146" si="84">G91+G96+G101+G32+G38+G44+G106+G121+G126+G131+G136+G141+G50+G56+G63+G70+G77</f>
        <v>0</v>
      </c>
      <c r="H146" s="650">
        <f t="shared" si="84"/>
        <v>0</v>
      </c>
      <c r="I146" s="650">
        <f t="shared" si="84"/>
        <v>0</v>
      </c>
      <c r="J146" s="650">
        <f t="shared" si="84"/>
        <v>0</v>
      </c>
      <c r="K146" s="650">
        <f t="shared" si="84"/>
        <v>0</v>
      </c>
      <c r="L146" s="651">
        <f t="shared" si="84"/>
        <v>0</v>
      </c>
    </row>
    <row r="147" spans="2:12" ht="7.2" customHeight="1">
      <c r="C147" s="3"/>
      <c r="D147" s="3"/>
      <c r="E147" s="20"/>
      <c r="F147" s="3"/>
      <c r="G147" s="3"/>
      <c r="H147" s="3"/>
      <c r="I147" s="3"/>
      <c r="J147" s="3"/>
      <c r="K147" s="3"/>
      <c r="L147" s="3"/>
    </row>
    <row r="148" spans="2:12">
      <c r="B148" s="730" t="s">
        <v>0</v>
      </c>
      <c r="C148" s="730"/>
      <c r="D148" s="730"/>
      <c r="E148" s="730"/>
      <c r="F148" s="730"/>
      <c r="G148" s="730"/>
      <c r="H148" s="658"/>
      <c r="I148" s="658"/>
      <c r="J148" s="658"/>
      <c r="K148" s="658"/>
      <c r="L148" s="658" t="str">
        <f>'T1 Taloussuunnitelma'!T45</f>
        <v>Yritystulkin tarjoaa:</v>
      </c>
    </row>
    <row r="149" spans="2:12">
      <c r="L149" s="563" t="str">
        <f>'T3 Kustannukset'!S90</f>
        <v>Siilinjärvi/Sydän-Savon maaseutupalvelut</v>
      </c>
    </row>
    <row r="150" spans="2:12">
      <c r="C150" s="791"/>
      <c r="D150" s="792"/>
      <c r="E150" s="792"/>
      <c r="F150" s="793"/>
      <c r="G150" s="793"/>
      <c r="H150" s="793"/>
      <c r="I150" s="793"/>
    </row>
    <row r="151" spans="2:12">
      <c r="C151" s="794"/>
      <c r="D151" s="794"/>
      <c r="E151" s="794"/>
      <c r="F151" s="794"/>
      <c r="G151" s="794"/>
      <c r="H151" s="794"/>
      <c r="I151" s="793"/>
    </row>
    <row r="152" spans="2:12">
      <c r="C152" s="794"/>
      <c r="D152" s="794"/>
      <c r="E152" s="794"/>
      <c r="F152" s="794"/>
      <c r="G152" s="794"/>
      <c r="H152" s="794"/>
      <c r="I152" s="794"/>
    </row>
    <row r="153" spans="2:12">
      <c r="C153" s="793"/>
      <c r="D153" s="793"/>
      <c r="E153" s="793"/>
      <c r="F153" s="793"/>
      <c r="G153" s="793"/>
      <c r="H153" s="793"/>
      <c r="I153" s="793"/>
    </row>
    <row r="154" spans="2:12">
      <c r="C154" s="793"/>
      <c r="D154" s="793"/>
      <c r="E154" s="793"/>
      <c r="F154" s="793"/>
      <c r="G154" s="793"/>
      <c r="H154" s="793"/>
      <c r="I154" s="793"/>
    </row>
    <row r="155" spans="2:12">
      <c r="C155" s="793"/>
      <c r="D155" s="793"/>
      <c r="E155" s="793"/>
      <c r="F155" s="793"/>
      <c r="G155" s="793"/>
      <c r="H155" s="793"/>
      <c r="I155" s="793"/>
    </row>
    <row r="156" spans="2:12">
      <c r="C156" s="793"/>
      <c r="D156" s="793"/>
      <c r="E156" s="793"/>
      <c r="F156" s="793"/>
      <c r="G156" s="793"/>
      <c r="H156" s="793"/>
      <c r="I156" s="793"/>
    </row>
    <row r="157" spans="2:12">
      <c r="C157" s="793"/>
      <c r="D157" s="793"/>
      <c r="E157" s="793"/>
      <c r="F157" s="793"/>
      <c r="G157" s="793"/>
      <c r="H157" s="793"/>
      <c r="I157" s="793"/>
    </row>
    <row r="158" spans="2:12">
      <c r="C158" s="793"/>
      <c r="D158" s="793"/>
      <c r="E158" s="793"/>
      <c r="F158" s="793"/>
      <c r="G158" s="793"/>
      <c r="H158" s="793"/>
      <c r="I158" s="793"/>
    </row>
    <row r="159" spans="2:12">
      <c r="C159" s="793"/>
      <c r="D159" s="793"/>
      <c r="E159" s="793"/>
      <c r="F159" s="793"/>
      <c r="G159" s="793"/>
      <c r="H159" s="793"/>
      <c r="I159" s="793"/>
    </row>
    <row r="160" spans="2:12">
      <c r="C160" s="793"/>
      <c r="D160" s="793"/>
      <c r="E160" s="793"/>
      <c r="F160" s="793"/>
      <c r="G160" s="793"/>
      <c r="H160" s="793"/>
      <c r="I160" s="793"/>
    </row>
    <row r="161" spans="3:9">
      <c r="C161" s="793"/>
      <c r="D161" s="793"/>
      <c r="E161" s="793"/>
      <c r="F161" s="793"/>
      <c r="G161" s="793"/>
      <c r="H161" s="793"/>
      <c r="I161" s="793"/>
    </row>
    <row r="162" spans="3:9">
      <c r="C162" s="793"/>
      <c r="D162" s="793"/>
      <c r="E162" s="793"/>
      <c r="F162" s="793"/>
      <c r="G162" s="793"/>
      <c r="H162" s="793"/>
      <c r="I162" s="793"/>
    </row>
    <row r="163" spans="3:9">
      <c r="C163" s="793"/>
      <c r="D163" s="793"/>
      <c r="E163" s="793"/>
      <c r="F163" s="793"/>
      <c r="G163" s="793"/>
      <c r="H163" s="793"/>
      <c r="I163" s="793"/>
    </row>
    <row r="164" spans="3:9">
      <c r="C164" s="793"/>
      <c r="D164" s="793"/>
      <c r="E164" s="793"/>
      <c r="F164" s="793"/>
      <c r="G164" s="793"/>
      <c r="H164" s="793"/>
      <c r="I164" s="793"/>
    </row>
    <row r="165" spans="3:9">
      <c r="C165" s="793"/>
      <c r="D165" s="793"/>
      <c r="E165" s="793"/>
      <c r="F165" s="793"/>
      <c r="G165" s="793"/>
      <c r="H165" s="793"/>
      <c r="I165" s="793"/>
    </row>
    <row r="166" spans="3:9">
      <c r="C166" s="793"/>
      <c r="D166" s="793"/>
      <c r="E166" s="793"/>
      <c r="F166" s="793"/>
      <c r="G166" s="793"/>
      <c r="H166" s="793"/>
      <c r="I166" s="793"/>
    </row>
    <row r="167" spans="3:9">
      <c r="C167" s="793"/>
      <c r="D167" s="793"/>
      <c r="E167" s="793"/>
      <c r="F167" s="793"/>
      <c r="G167" s="793"/>
      <c r="H167" s="793"/>
      <c r="I167" s="793"/>
    </row>
    <row r="168" spans="3:9">
      <c r="C168" s="793"/>
      <c r="D168" s="793"/>
      <c r="E168" s="793"/>
      <c r="F168" s="793"/>
      <c r="G168" s="793"/>
      <c r="H168" s="793"/>
      <c r="I168" s="793"/>
    </row>
    <row r="169" spans="3:9">
      <c r="C169" s="793"/>
      <c r="D169" s="793"/>
      <c r="E169" s="793"/>
      <c r="F169" s="793"/>
      <c r="G169" s="793"/>
      <c r="H169" s="793"/>
      <c r="I169" s="793"/>
    </row>
    <row r="170" spans="3:9">
      <c r="C170" s="793"/>
      <c r="D170" s="793"/>
      <c r="E170" s="793"/>
      <c r="F170" s="793"/>
      <c r="G170" s="793"/>
      <c r="H170" s="793"/>
      <c r="I170" s="793"/>
    </row>
    <row r="171" spans="3:9">
      <c r="C171" s="793"/>
      <c r="D171" s="793"/>
      <c r="E171" s="793"/>
      <c r="F171" s="793"/>
      <c r="G171" s="793"/>
      <c r="H171" s="793"/>
      <c r="I171" s="793"/>
    </row>
    <row r="172" spans="3:9">
      <c r="C172" s="793"/>
      <c r="D172" s="793"/>
      <c r="E172" s="793"/>
      <c r="F172" s="793"/>
      <c r="G172" s="793"/>
      <c r="H172" s="793"/>
      <c r="I172" s="793"/>
    </row>
    <row r="173" spans="3:9">
      <c r="C173" s="793"/>
      <c r="D173" s="793"/>
      <c r="E173" s="793"/>
      <c r="F173" s="793"/>
      <c r="G173" s="793"/>
      <c r="H173" s="793"/>
      <c r="I173" s="793"/>
    </row>
    <row r="174" spans="3:9">
      <c r="C174" s="793"/>
      <c r="D174" s="793"/>
      <c r="E174" s="793"/>
      <c r="F174" s="793"/>
      <c r="G174" s="793"/>
      <c r="H174" s="793"/>
      <c r="I174" s="793"/>
    </row>
    <row r="175" spans="3:9">
      <c r="C175" s="793"/>
      <c r="D175" s="793"/>
      <c r="E175" s="793"/>
      <c r="F175" s="793"/>
      <c r="G175" s="793"/>
      <c r="H175" s="793"/>
      <c r="I175" s="793"/>
    </row>
    <row r="176" spans="3:9">
      <c r="C176" s="793"/>
      <c r="D176" s="793"/>
      <c r="E176" s="793"/>
      <c r="F176" s="793"/>
      <c r="G176" s="793"/>
      <c r="H176" s="793"/>
      <c r="I176" s="793"/>
    </row>
    <row r="177" spans="3:9">
      <c r="C177" s="793"/>
      <c r="D177" s="793"/>
      <c r="E177" s="793"/>
      <c r="F177" s="793"/>
      <c r="G177" s="793"/>
      <c r="H177" s="793"/>
      <c r="I177" s="793"/>
    </row>
    <row r="178" spans="3:9">
      <c r="C178" s="793"/>
      <c r="D178" s="793"/>
      <c r="E178" s="793"/>
      <c r="F178" s="793"/>
      <c r="G178" s="793"/>
      <c r="H178" s="793"/>
      <c r="I178" s="793"/>
    </row>
    <row r="179" spans="3:9">
      <c r="C179" s="793"/>
      <c r="D179" s="793"/>
      <c r="E179" s="793"/>
      <c r="F179" s="793"/>
      <c r="G179" s="793"/>
      <c r="H179" s="793"/>
      <c r="I179" s="793"/>
    </row>
    <row r="180" spans="3:9">
      <c r="C180" s="793"/>
      <c r="D180" s="793"/>
      <c r="E180" s="793"/>
      <c r="F180" s="793"/>
      <c r="G180" s="793"/>
      <c r="H180" s="793"/>
      <c r="I180" s="793"/>
    </row>
    <row r="181" spans="3:9">
      <c r="C181" s="793"/>
      <c r="D181" s="793"/>
      <c r="E181" s="793"/>
      <c r="F181" s="793"/>
      <c r="G181" s="793"/>
      <c r="H181" s="793"/>
      <c r="I181" s="793"/>
    </row>
    <row r="182" spans="3:9">
      <c r="C182" s="793"/>
      <c r="D182" s="793"/>
      <c r="E182" s="793"/>
      <c r="F182" s="793"/>
      <c r="G182" s="793"/>
      <c r="H182" s="793"/>
      <c r="I182" s="793"/>
    </row>
    <row r="183" spans="3:9">
      <c r="C183" s="793"/>
      <c r="D183" s="793"/>
      <c r="E183" s="793"/>
      <c r="F183" s="793"/>
      <c r="G183" s="793"/>
      <c r="H183" s="793"/>
      <c r="I183" s="793"/>
    </row>
    <row r="184" spans="3:9">
      <c r="C184" s="793"/>
      <c r="D184" s="793"/>
      <c r="E184" s="793"/>
      <c r="F184" s="793"/>
      <c r="G184" s="793"/>
      <c r="H184" s="793"/>
      <c r="I184" s="793"/>
    </row>
    <row r="185" spans="3:9">
      <c r="C185" s="793"/>
      <c r="D185" s="793"/>
      <c r="E185" s="793"/>
      <c r="F185" s="793"/>
      <c r="G185" s="793"/>
      <c r="H185" s="793"/>
      <c r="I185" s="793"/>
    </row>
    <row r="186" spans="3:9">
      <c r="C186" s="793"/>
      <c r="D186" s="793"/>
      <c r="E186" s="793"/>
      <c r="F186" s="793"/>
      <c r="G186" s="793"/>
      <c r="H186" s="793"/>
      <c r="I186" s="793"/>
    </row>
    <row r="187" spans="3:9">
      <c r="C187" s="793"/>
      <c r="D187" s="793"/>
      <c r="E187" s="793"/>
      <c r="F187" s="793"/>
      <c r="G187" s="793"/>
      <c r="H187" s="793"/>
      <c r="I187" s="793"/>
    </row>
    <row r="188" spans="3:9">
      <c r="C188" s="793"/>
      <c r="D188" s="793"/>
      <c r="E188" s="793"/>
      <c r="F188" s="793"/>
      <c r="G188" s="793"/>
      <c r="H188" s="793"/>
      <c r="I188" s="793"/>
    </row>
    <row r="189" spans="3:9">
      <c r="C189" s="793"/>
      <c r="D189" s="793"/>
      <c r="E189" s="793"/>
      <c r="F189" s="793"/>
      <c r="G189" s="793"/>
      <c r="H189" s="793"/>
      <c r="I189" s="793"/>
    </row>
    <row r="190" spans="3:9">
      <c r="C190" s="793"/>
      <c r="D190" s="793"/>
      <c r="E190" s="793"/>
      <c r="F190" s="793"/>
      <c r="G190" s="793"/>
      <c r="H190" s="793"/>
      <c r="I190" s="793"/>
    </row>
    <row r="191" spans="3:9">
      <c r="C191" s="793"/>
      <c r="D191" s="793"/>
      <c r="E191" s="793"/>
      <c r="F191" s="793"/>
      <c r="G191" s="793"/>
      <c r="H191" s="793"/>
      <c r="I191" s="793"/>
    </row>
    <row r="192" spans="3:9">
      <c r="C192" s="793"/>
      <c r="D192" s="793"/>
      <c r="E192" s="793"/>
      <c r="F192" s="793"/>
      <c r="G192" s="793"/>
      <c r="H192" s="793"/>
      <c r="I192" s="793"/>
    </row>
    <row r="193" spans="3:9">
      <c r="C193" s="793"/>
      <c r="D193" s="793"/>
      <c r="E193" s="793"/>
      <c r="F193" s="793"/>
      <c r="G193" s="793"/>
      <c r="H193" s="793"/>
      <c r="I193" s="793"/>
    </row>
    <row r="194" spans="3:9">
      <c r="C194" s="793"/>
      <c r="D194" s="793"/>
      <c r="E194" s="793"/>
      <c r="F194" s="793"/>
      <c r="G194" s="793"/>
      <c r="H194" s="793"/>
      <c r="I194" s="793"/>
    </row>
    <row r="195" spans="3:9">
      <c r="C195" s="793"/>
      <c r="D195" s="793"/>
      <c r="E195" s="793"/>
      <c r="F195" s="793"/>
      <c r="G195" s="793"/>
      <c r="H195" s="793"/>
      <c r="I195" s="793"/>
    </row>
    <row r="196" spans="3:9">
      <c r="C196" s="793"/>
      <c r="D196" s="793"/>
      <c r="E196" s="793"/>
      <c r="F196" s="793"/>
      <c r="G196" s="793"/>
      <c r="H196" s="793"/>
      <c r="I196" s="793"/>
    </row>
    <row r="197" spans="3:9">
      <c r="C197" s="793"/>
      <c r="D197" s="793"/>
      <c r="E197" s="793"/>
      <c r="F197" s="793"/>
      <c r="G197" s="793"/>
      <c r="H197" s="793"/>
      <c r="I197" s="793"/>
    </row>
    <row r="198" spans="3:9">
      <c r="C198" s="793"/>
      <c r="D198" s="793"/>
      <c r="E198" s="793"/>
      <c r="F198" s="793"/>
      <c r="G198" s="793"/>
      <c r="H198" s="793"/>
      <c r="I198" s="793"/>
    </row>
    <row r="199" spans="3:9">
      <c r="C199" s="793"/>
      <c r="D199" s="793"/>
      <c r="E199" s="793"/>
      <c r="F199" s="793"/>
      <c r="G199" s="793"/>
      <c r="H199" s="793"/>
      <c r="I199" s="793"/>
    </row>
    <row r="200" spans="3:9">
      <c r="C200" s="793"/>
      <c r="D200" s="793"/>
      <c r="E200" s="793"/>
      <c r="F200" s="793"/>
      <c r="G200" s="793"/>
      <c r="H200" s="793"/>
      <c r="I200" s="793"/>
    </row>
    <row r="201" spans="3:9">
      <c r="C201" s="793"/>
      <c r="D201" s="793"/>
      <c r="E201" s="793"/>
      <c r="F201" s="793"/>
      <c r="G201" s="793"/>
      <c r="H201" s="793"/>
      <c r="I201" s="793"/>
    </row>
    <row r="202" spans="3:9">
      <c r="C202" s="793"/>
      <c r="D202" s="793"/>
      <c r="E202" s="793"/>
      <c r="F202" s="793"/>
      <c r="G202" s="793"/>
      <c r="H202" s="793"/>
      <c r="I202" s="793"/>
    </row>
    <row r="203" spans="3:9">
      <c r="C203" s="793"/>
      <c r="D203" s="793"/>
      <c r="E203" s="793"/>
      <c r="F203" s="793"/>
      <c r="G203" s="793"/>
      <c r="H203" s="793"/>
      <c r="I203" s="793"/>
    </row>
    <row r="204" spans="3:9">
      <c r="C204" s="793"/>
      <c r="D204" s="793"/>
      <c r="E204" s="793"/>
      <c r="F204" s="793"/>
      <c r="G204" s="793"/>
      <c r="H204" s="793"/>
      <c r="I204" s="793"/>
    </row>
    <row r="205" spans="3:9">
      <c r="C205" s="793"/>
      <c r="D205" s="793"/>
      <c r="E205" s="793"/>
      <c r="F205" s="793"/>
      <c r="G205" s="793"/>
      <c r="H205" s="793"/>
      <c r="I205" s="793"/>
    </row>
    <row r="206" spans="3:9">
      <c r="C206" s="793"/>
      <c r="D206" s="793"/>
      <c r="E206" s="793"/>
      <c r="F206" s="793"/>
      <c r="G206" s="793"/>
      <c r="H206" s="793"/>
      <c r="I206" s="793"/>
    </row>
    <row r="207" spans="3:9">
      <c r="C207" s="793"/>
      <c r="D207" s="793"/>
      <c r="E207" s="793"/>
      <c r="F207" s="793"/>
      <c r="G207" s="793"/>
      <c r="H207" s="793"/>
      <c r="I207" s="793"/>
    </row>
    <row r="208" spans="3:9">
      <c r="C208" s="793"/>
      <c r="D208" s="793"/>
      <c r="E208" s="793"/>
      <c r="F208" s="793"/>
      <c r="G208" s="793"/>
      <c r="H208" s="793"/>
      <c r="I208" s="793"/>
    </row>
    <row r="209" spans="2:12">
      <c r="C209" s="793"/>
      <c r="D209" s="793"/>
      <c r="E209" s="793"/>
      <c r="F209" s="793"/>
      <c r="G209" s="793"/>
      <c r="H209" s="793"/>
      <c r="I209" s="793"/>
    </row>
    <row r="210" spans="2:12">
      <c r="C210" s="793"/>
      <c r="D210" s="793"/>
      <c r="E210" s="793"/>
      <c r="F210" s="793"/>
      <c r="G210" s="793"/>
      <c r="H210" s="793"/>
      <c r="I210" s="793"/>
    </row>
    <row r="211" spans="2:12">
      <c r="C211" s="793"/>
      <c r="D211" s="793"/>
      <c r="E211" s="793"/>
      <c r="F211" s="793"/>
      <c r="G211" s="793"/>
      <c r="H211" s="793"/>
      <c r="I211" s="793"/>
    </row>
    <row r="212" spans="2:12">
      <c r="C212" s="793"/>
      <c r="D212" s="793"/>
      <c r="E212" s="793"/>
      <c r="F212" s="793"/>
      <c r="G212" s="793"/>
      <c r="H212" s="793"/>
      <c r="I212" s="793"/>
    </row>
    <row r="213" spans="2:12">
      <c r="B213" s="47"/>
      <c r="C213" s="795"/>
      <c r="D213" s="795"/>
      <c r="E213" s="796"/>
      <c r="F213" s="797"/>
      <c r="G213" s="797"/>
      <c r="H213" s="797"/>
      <c r="I213" s="797"/>
      <c r="J213" s="21"/>
      <c r="K213" s="21"/>
      <c r="L213" s="21"/>
    </row>
    <row r="214" spans="2:12">
      <c r="B214" s="47"/>
      <c r="C214" s="795"/>
      <c r="D214" s="795"/>
      <c r="E214" s="798"/>
      <c r="F214" s="798"/>
      <c r="G214" s="798"/>
      <c r="H214" s="798"/>
      <c r="I214" s="798"/>
      <c r="J214" s="23"/>
      <c r="K214" s="23"/>
      <c r="L214" s="23"/>
    </row>
    <row r="215" spans="2:12">
      <c r="B215" s="47"/>
      <c r="C215" s="795"/>
      <c r="D215" s="795"/>
      <c r="E215" s="796"/>
      <c r="F215" s="796"/>
      <c r="G215" s="796"/>
      <c r="H215" s="796"/>
      <c r="I215" s="796"/>
      <c r="J215" s="22"/>
      <c r="K215" s="22"/>
      <c r="L215" s="22"/>
    </row>
    <row r="216" spans="2:12">
      <c r="B216" s="47"/>
      <c r="C216" s="795"/>
      <c r="D216" s="795"/>
      <c r="E216" s="796"/>
      <c r="F216" s="796"/>
      <c r="G216" s="796"/>
      <c r="H216" s="796"/>
      <c r="I216" s="796"/>
      <c r="J216" s="22"/>
      <c r="K216" s="22"/>
      <c r="L216" s="22"/>
    </row>
    <row r="217" spans="2:12">
      <c r="B217" s="47"/>
      <c r="C217" s="795"/>
      <c r="D217" s="795"/>
      <c r="E217" s="796"/>
      <c r="F217" s="797"/>
      <c r="G217" s="797"/>
      <c r="H217" s="797"/>
      <c r="I217" s="797"/>
      <c r="J217" s="21"/>
      <c r="K217" s="21"/>
      <c r="L217" s="21"/>
    </row>
    <row r="218" spans="2:12">
      <c r="B218" s="47"/>
      <c r="C218" s="795"/>
      <c r="D218" s="795"/>
      <c r="E218" s="798"/>
      <c r="F218" s="798"/>
      <c r="G218" s="798"/>
      <c r="H218" s="798"/>
      <c r="I218" s="798"/>
      <c r="J218" s="23"/>
      <c r="K218" s="23"/>
      <c r="L218" s="23"/>
    </row>
    <row r="219" spans="2:12">
      <c r="B219" s="47"/>
      <c r="C219" s="795"/>
      <c r="D219" s="795"/>
      <c r="E219" s="796"/>
      <c r="F219" s="796"/>
      <c r="G219" s="796"/>
      <c r="H219" s="796"/>
      <c r="I219" s="796"/>
      <c r="J219" s="22"/>
      <c r="K219" s="22"/>
      <c r="L219" s="22"/>
    </row>
    <row r="220" spans="2:12">
      <c r="B220" s="47"/>
      <c r="C220" s="795"/>
      <c r="D220" s="795"/>
      <c r="E220" s="796"/>
      <c r="F220" s="796"/>
      <c r="G220" s="796"/>
      <c r="H220" s="796"/>
      <c r="I220" s="796"/>
      <c r="J220" s="22"/>
      <c r="K220" s="22"/>
      <c r="L220" s="22"/>
    </row>
    <row r="221" spans="2:12">
      <c r="C221" s="793"/>
      <c r="D221" s="793"/>
      <c r="E221" s="793"/>
      <c r="F221" s="793"/>
      <c r="G221" s="793"/>
      <c r="H221" s="793"/>
      <c r="I221" s="793"/>
    </row>
    <row r="222" spans="2:12">
      <c r="C222" s="793"/>
      <c r="D222" s="793"/>
      <c r="E222" s="793"/>
      <c r="F222" s="793"/>
      <c r="G222" s="793"/>
      <c r="H222" s="793"/>
      <c r="I222" s="793"/>
    </row>
    <row r="223" spans="2:12">
      <c r="C223" s="793"/>
      <c r="D223" s="793"/>
      <c r="E223" s="793"/>
      <c r="F223" s="793"/>
      <c r="G223" s="793"/>
      <c r="H223" s="793"/>
      <c r="I223" s="793"/>
    </row>
    <row r="224" spans="2:12">
      <c r="C224" s="793"/>
      <c r="D224" s="793"/>
      <c r="E224" s="793"/>
      <c r="F224" s="793"/>
      <c r="G224" s="793"/>
      <c r="H224" s="793"/>
      <c r="I224" s="793"/>
    </row>
    <row r="225" spans="3:9">
      <c r="C225" s="793"/>
      <c r="D225" s="793"/>
      <c r="E225" s="793"/>
      <c r="F225" s="793"/>
      <c r="G225" s="793"/>
      <c r="H225" s="793"/>
      <c r="I225" s="793"/>
    </row>
    <row r="226" spans="3:9">
      <c r="C226" s="793"/>
      <c r="D226" s="793"/>
      <c r="E226" s="793"/>
      <c r="F226" s="793"/>
      <c r="G226" s="793"/>
      <c r="H226" s="793"/>
      <c r="I226" s="793"/>
    </row>
    <row r="227" spans="3:9">
      <c r="C227" s="793"/>
      <c r="D227" s="793"/>
      <c r="E227" s="793"/>
      <c r="F227" s="793"/>
      <c r="G227" s="793"/>
      <c r="H227" s="793"/>
      <c r="I227" s="793"/>
    </row>
    <row r="228" spans="3:9">
      <c r="C228" s="793"/>
      <c r="D228" s="793"/>
      <c r="E228" s="793"/>
      <c r="F228" s="793"/>
      <c r="G228" s="793"/>
      <c r="H228" s="793"/>
      <c r="I228" s="793"/>
    </row>
    <row r="229" spans="3:9">
      <c r="C229" s="793"/>
      <c r="D229" s="793"/>
      <c r="E229" s="793"/>
      <c r="F229" s="793"/>
      <c r="G229" s="793"/>
      <c r="H229" s="793"/>
      <c r="I229" s="793"/>
    </row>
    <row r="230" spans="3:9">
      <c r="C230" s="793"/>
      <c r="D230" s="793"/>
      <c r="E230" s="793"/>
      <c r="F230" s="793"/>
      <c r="G230" s="793"/>
      <c r="H230" s="793"/>
      <c r="I230" s="793"/>
    </row>
    <row r="231" spans="3:9">
      <c r="C231" s="793"/>
      <c r="D231" s="793"/>
      <c r="E231" s="793"/>
      <c r="F231" s="793"/>
      <c r="G231" s="793"/>
      <c r="H231" s="793"/>
      <c r="I231" s="793"/>
    </row>
    <row r="232" spans="3:9">
      <c r="C232" s="793"/>
      <c r="D232" s="793"/>
      <c r="E232" s="793"/>
      <c r="F232" s="793"/>
      <c r="G232" s="793"/>
      <c r="H232" s="793"/>
      <c r="I232" s="793"/>
    </row>
    <row r="233" spans="3:9">
      <c r="C233" s="793"/>
      <c r="D233" s="793"/>
      <c r="E233" s="793"/>
      <c r="F233" s="793"/>
      <c r="G233" s="793"/>
      <c r="H233" s="793"/>
      <c r="I233" s="793"/>
    </row>
    <row r="234" spans="3:9">
      <c r="C234" s="793"/>
      <c r="D234" s="793"/>
      <c r="E234" s="793"/>
      <c r="F234" s="793"/>
      <c r="G234" s="793"/>
      <c r="H234" s="793"/>
      <c r="I234" s="793"/>
    </row>
    <row r="235" spans="3:9">
      <c r="C235" s="793"/>
      <c r="D235" s="793"/>
      <c r="E235" s="793"/>
      <c r="F235" s="793"/>
      <c r="G235" s="793"/>
      <c r="H235" s="793"/>
      <c r="I235" s="793"/>
    </row>
    <row r="236" spans="3:9">
      <c r="C236" s="793"/>
      <c r="D236" s="793"/>
      <c r="E236" s="793"/>
      <c r="F236" s="793"/>
      <c r="G236" s="793"/>
      <c r="H236" s="793"/>
      <c r="I236" s="793"/>
    </row>
    <row r="237" spans="3:9">
      <c r="C237" s="793"/>
      <c r="D237" s="793"/>
      <c r="E237" s="793"/>
      <c r="F237" s="793"/>
      <c r="G237" s="793"/>
      <c r="H237" s="793"/>
      <c r="I237" s="793"/>
    </row>
    <row r="238" spans="3:9">
      <c r="C238" s="793"/>
      <c r="D238" s="793"/>
      <c r="E238" s="793"/>
      <c r="F238" s="793"/>
      <c r="G238" s="793"/>
      <c r="H238" s="793"/>
      <c r="I238" s="793"/>
    </row>
    <row r="239" spans="3:9">
      <c r="C239" s="793"/>
      <c r="D239" s="793"/>
      <c r="E239" s="793"/>
      <c r="F239" s="793"/>
      <c r="G239" s="793"/>
      <c r="H239" s="793"/>
      <c r="I239" s="793"/>
    </row>
    <row r="240" spans="3:9">
      <c r="C240" s="793"/>
      <c r="D240" s="793"/>
      <c r="E240" s="793"/>
      <c r="F240" s="793"/>
      <c r="G240" s="793"/>
      <c r="H240" s="793"/>
      <c r="I240" s="793"/>
    </row>
    <row r="241" spans="3:9">
      <c r="C241" s="793"/>
      <c r="D241" s="793"/>
      <c r="E241" s="793"/>
      <c r="F241" s="793"/>
      <c r="G241" s="793"/>
      <c r="H241" s="793"/>
      <c r="I241" s="793"/>
    </row>
    <row r="242" spans="3:9">
      <c r="C242" s="793"/>
      <c r="D242" s="793"/>
      <c r="E242" s="793"/>
      <c r="F242" s="793"/>
      <c r="G242" s="793"/>
      <c r="H242" s="793"/>
      <c r="I242" s="793"/>
    </row>
    <row r="243" spans="3:9">
      <c r="C243" s="793"/>
      <c r="D243" s="793"/>
      <c r="E243" s="793"/>
      <c r="F243" s="793"/>
      <c r="G243" s="793"/>
      <c r="H243" s="793"/>
      <c r="I243" s="793"/>
    </row>
    <row r="244" spans="3:9">
      <c r="C244" s="793"/>
      <c r="D244" s="793"/>
      <c r="E244" s="793"/>
      <c r="F244" s="793"/>
      <c r="G244" s="793"/>
      <c r="H244" s="793"/>
      <c r="I244" s="793"/>
    </row>
    <row r="245" spans="3:9">
      <c r="C245" s="793"/>
      <c r="D245" s="793"/>
      <c r="E245" s="793"/>
      <c r="F245" s="793"/>
      <c r="G245" s="793"/>
      <c r="H245" s="793"/>
      <c r="I245" s="793"/>
    </row>
    <row r="246" spans="3:9">
      <c r="C246" s="793"/>
      <c r="D246" s="793"/>
      <c r="E246" s="793"/>
      <c r="F246" s="793"/>
      <c r="G246" s="793"/>
      <c r="H246" s="793"/>
      <c r="I246" s="793"/>
    </row>
    <row r="247" spans="3:9">
      <c r="C247" s="793"/>
      <c r="D247" s="793"/>
      <c r="E247" s="793"/>
      <c r="F247" s="793"/>
      <c r="G247" s="793"/>
      <c r="H247" s="793"/>
      <c r="I247" s="793"/>
    </row>
    <row r="248" spans="3:9">
      <c r="C248" s="793"/>
      <c r="D248" s="793"/>
      <c r="E248" s="793"/>
      <c r="F248" s="793"/>
      <c r="G248" s="793"/>
      <c r="H248" s="793"/>
      <c r="I248" s="793"/>
    </row>
    <row r="249" spans="3:9">
      <c r="C249" s="793"/>
      <c r="D249" s="793"/>
      <c r="E249" s="793"/>
      <c r="F249" s="793"/>
      <c r="G249" s="793"/>
      <c r="H249" s="793"/>
      <c r="I249" s="793"/>
    </row>
    <row r="250" spans="3:9">
      <c r="C250" s="793"/>
      <c r="D250" s="793"/>
      <c r="E250" s="793"/>
      <c r="F250" s="793"/>
      <c r="G250" s="793"/>
      <c r="H250" s="793"/>
      <c r="I250" s="793"/>
    </row>
    <row r="251" spans="3:9">
      <c r="C251" s="793"/>
      <c r="D251" s="793"/>
      <c r="E251" s="793"/>
      <c r="F251" s="793"/>
      <c r="G251" s="793"/>
      <c r="H251" s="793"/>
      <c r="I251" s="793"/>
    </row>
    <row r="252" spans="3:9">
      <c r="C252" s="793"/>
      <c r="D252" s="793"/>
      <c r="E252" s="793"/>
      <c r="F252" s="793"/>
      <c r="G252" s="793"/>
      <c r="H252" s="793"/>
      <c r="I252" s="793"/>
    </row>
    <row r="253" spans="3:9">
      <c r="C253" s="793"/>
      <c r="D253" s="793"/>
      <c r="E253" s="793"/>
      <c r="F253" s="793"/>
      <c r="G253" s="793"/>
      <c r="H253" s="793"/>
      <c r="I253" s="793"/>
    </row>
    <row r="254" spans="3:9">
      <c r="C254" s="793"/>
      <c r="D254" s="793"/>
      <c r="E254" s="793"/>
      <c r="F254" s="793"/>
      <c r="G254" s="793"/>
      <c r="H254" s="793"/>
      <c r="I254" s="793"/>
    </row>
    <row r="255" spans="3:9">
      <c r="C255" s="793"/>
      <c r="D255" s="793"/>
      <c r="E255" s="793"/>
      <c r="F255" s="793"/>
      <c r="G255" s="793"/>
      <c r="H255" s="793"/>
      <c r="I255" s="793"/>
    </row>
    <row r="256" spans="3:9">
      <c r="C256" s="793"/>
      <c r="D256" s="793"/>
      <c r="E256" s="793"/>
      <c r="F256" s="793"/>
      <c r="G256" s="793"/>
      <c r="H256" s="793"/>
      <c r="I256" s="793"/>
    </row>
    <row r="257" spans="3:9">
      <c r="C257" s="793"/>
      <c r="D257" s="793"/>
      <c r="E257" s="793"/>
      <c r="F257" s="793"/>
      <c r="G257" s="793"/>
      <c r="H257" s="793"/>
      <c r="I257" s="793"/>
    </row>
    <row r="258" spans="3:9">
      <c r="C258" s="793"/>
      <c r="D258" s="793"/>
      <c r="E258" s="793"/>
      <c r="F258" s="793"/>
      <c r="G258" s="793"/>
      <c r="H258" s="793"/>
      <c r="I258" s="793"/>
    </row>
    <row r="259" spans="3:9">
      <c r="C259" s="793"/>
      <c r="D259" s="793"/>
      <c r="E259" s="793"/>
      <c r="F259" s="793"/>
      <c r="G259" s="793"/>
      <c r="H259" s="793"/>
      <c r="I259" s="793"/>
    </row>
    <row r="260" spans="3:9">
      <c r="C260" s="793"/>
      <c r="D260" s="793"/>
      <c r="E260" s="793"/>
      <c r="F260" s="793"/>
      <c r="G260" s="793"/>
      <c r="H260" s="793"/>
      <c r="I260" s="793"/>
    </row>
    <row r="261" spans="3:9">
      <c r="C261" s="793"/>
      <c r="D261" s="793"/>
      <c r="E261" s="793"/>
      <c r="F261" s="793"/>
      <c r="G261" s="793"/>
      <c r="H261" s="793"/>
      <c r="I261" s="793"/>
    </row>
    <row r="262" spans="3:9">
      <c r="C262" s="793"/>
      <c r="D262" s="793"/>
      <c r="E262" s="793"/>
      <c r="F262" s="793"/>
      <c r="G262" s="793"/>
      <c r="H262" s="793"/>
      <c r="I262" s="793"/>
    </row>
    <row r="263" spans="3:9">
      <c r="C263" s="793"/>
      <c r="D263" s="793"/>
      <c r="E263" s="793"/>
      <c r="F263" s="793"/>
      <c r="G263" s="793"/>
      <c r="H263" s="793"/>
      <c r="I263" s="793"/>
    </row>
    <row r="264" spans="3:9">
      <c r="C264" s="793"/>
      <c r="D264" s="793"/>
      <c r="E264" s="793"/>
      <c r="F264" s="793"/>
      <c r="G264" s="793"/>
      <c r="H264" s="793"/>
      <c r="I264" s="793"/>
    </row>
    <row r="265" spans="3:9">
      <c r="C265" s="793"/>
      <c r="D265" s="793"/>
      <c r="E265" s="793"/>
      <c r="F265" s="793"/>
      <c r="G265" s="793"/>
      <c r="H265" s="793"/>
      <c r="I265" s="793"/>
    </row>
    <row r="266" spans="3:9">
      <c r="C266" s="793"/>
      <c r="D266" s="793"/>
      <c r="E266" s="793"/>
      <c r="F266" s="793"/>
      <c r="G266" s="793"/>
      <c r="H266" s="793"/>
      <c r="I266" s="793"/>
    </row>
    <row r="267" spans="3:9">
      <c r="C267" s="793"/>
      <c r="D267" s="793"/>
      <c r="E267" s="793"/>
      <c r="F267" s="793"/>
      <c r="G267" s="793"/>
      <c r="H267" s="793"/>
      <c r="I267" s="793"/>
    </row>
    <row r="268" spans="3:9">
      <c r="C268" s="793"/>
      <c r="D268" s="793"/>
      <c r="E268" s="793"/>
      <c r="F268" s="793"/>
      <c r="G268" s="793"/>
      <c r="H268" s="793"/>
      <c r="I268" s="793"/>
    </row>
    <row r="269" spans="3:9">
      <c r="C269" s="793"/>
      <c r="D269" s="793"/>
      <c r="E269" s="793"/>
      <c r="F269" s="793"/>
      <c r="G269" s="793"/>
      <c r="H269" s="793"/>
      <c r="I269" s="793"/>
    </row>
    <row r="270" spans="3:9">
      <c r="C270" s="793"/>
      <c r="D270" s="793"/>
      <c r="E270" s="793"/>
      <c r="F270" s="793"/>
      <c r="G270" s="793"/>
      <c r="H270" s="793"/>
      <c r="I270" s="793"/>
    </row>
    <row r="271" spans="3:9">
      <c r="C271" s="793"/>
      <c r="D271" s="793"/>
      <c r="E271" s="793"/>
      <c r="F271" s="793"/>
      <c r="G271" s="793"/>
      <c r="H271" s="793"/>
      <c r="I271" s="793"/>
    </row>
    <row r="272" spans="3:9">
      <c r="C272" s="793"/>
      <c r="D272" s="793"/>
      <c r="E272" s="793"/>
      <c r="F272" s="793"/>
      <c r="G272" s="793"/>
      <c r="H272" s="793"/>
      <c r="I272" s="793"/>
    </row>
    <row r="273" spans="3:9">
      <c r="C273" s="793"/>
      <c r="D273" s="793"/>
      <c r="E273" s="793"/>
      <c r="F273" s="793"/>
      <c r="G273" s="793"/>
      <c r="H273" s="793"/>
      <c r="I273" s="793"/>
    </row>
    <row r="274" spans="3:9">
      <c r="C274" s="793"/>
      <c r="D274" s="793"/>
      <c r="E274" s="793"/>
      <c r="F274" s="793"/>
      <c r="G274" s="793"/>
      <c r="H274" s="793"/>
      <c r="I274" s="793"/>
    </row>
    <row r="275" spans="3:9">
      <c r="C275" s="793"/>
      <c r="D275" s="793"/>
      <c r="E275" s="793"/>
      <c r="F275" s="793"/>
      <c r="G275" s="793"/>
      <c r="H275" s="793"/>
      <c r="I275" s="793"/>
    </row>
    <row r="276" spans="3:9">
      <c r="C276" s="793"/>
      <c r="D276" s="793"/>
      <c r="E276" s="793"/>
      <c r="F276" s="793"/>
      <c r="G276" s="793"/>
      <c r="H276" s="793"/>
      <c r="I276" s="793"/>
    </row>
    <row r="277" spans="3:9">
      <c r="C277" s="793"/>
      <c r="D277" s="793"/>
      <c r="E277" s="793"/>
      <c r="F277" s="793"/>
      <c r="G277" s="793"/>
      <c r="H277" s="793"/>
      <c r="I277" s="793"/>
    </row>
    <row r="278" spans="3:9">
      <c r="C278" s="793"/>
      <c r="D278" s="793"/>
      <c r="E278" s="793"/>
      <c r="F278" s="793"/>
      <c r="G278" s="793"/>
      <c r="H278" s="793"/>
      <c r="I278" s="793"/>
    </row>
    <row r="279" spans="3:9">
      <c r="C279" s="793"/>
      <c r="D279" s="793"/>
      <c r="E279" s="793"/>
      <c r="F279" s="793"/>
      <c r="G279" s="793"/>
      <c r="H279" s="793"/>
      <c r="I279" s="793"/>
    </row>
    <row r="280" spans="3:9">
      <c r="C280" s="793"/>
      <c r="D280" s="793"/>
      <c r="E280" s="793"/>
      <c r="F280" s="793"/>
      <c r="G280" s="793"/>
      <c r="H280" s="793"/>
      <c r="I280" s="793"/>
    </row>
    <row r="281" spans="3:9">
      <c r="C281" s="793"/>
      <c r="D281" s="793"/>
      <c r="E281" s="793"/>
      <c r="F281" s="793"/>
      <c r="G281" s="793"/>
      <c r="H281" s="793"/>
      <c r="I281" s="793"/>
    </row>
    <row r="282" spans="3:9">
      <c r="C282" s="793"/>
      <c r="D282" s="793"/>
      <c r="E282" s="793"/>
      <c r="F282" s="793"/>
      <c r="G282" s="793"/>
      <c r="H282" s="793"/>
      <c r="I282" s="793"/>
    </row>
    <row r="283" spans="3:9">
      <c r="C283" s="793"/>
      <c r="D283" s="793"/>
      <c r="E283" s="793"/>
      <c r="F283" s="793"/>
      <c r="G283" s="793"/>
      <c r="H283" s="793"/>
      <c r="I283" s="793"/>
    </row>
    <row r="284" spans="3:9">
      <c r="C284" s="793"/>
      <c r="D284" s="793"/>
      <c r="E284" s="793"/>
      <c r="F284" s="793"/>
      <c r="G284" s="793"/>
      <c r="H284" s="793"/>
      <c r="I284" s="793"/>
    </row>
    <row r="285" spans="3:9">
      <c r="C285" s="793"/>
      <c r="D285" s="793"/>
      <c r="E285" s="793"/>
      <c r="F285" s="793"/>
      <c r="G285" s="793"/>
      <c r="H285" s="793"/>
      <c r="I285" s="793"/>
    </row>
    <row r="286" spans="3:9">
      <c r="C286" s="793"/>
      <c r="D286" s="793"/>
      <c r="E286" s="793"/>
      <c r="F286" s="793"/>
      <c r="G286" s="793"/>
      <c r="H286" s="793"/>
      <c r="I286" s="793"/>
    </row>
    <row r="287" spans="3:9">
      <c r="C287" s="793"/>
      <c r="D287" s="793"/>
      <c r="E287" s="793"/>
      <c r="F287" s="793"/>
      <c r="G287" s="793"/>
      <c r="H287" s="793"/>
      <c r="I287" s="793"/>
    </row>
    <row r="288" spans="3:9">
      <c r="C288" s="793"/>
      <c r="D288" s="793"/>
      <c r="E288" s="793"/>
      <c r="F288" s="793"/>
      <c r="G288" s="793"/>
      <c r="H288" s="793"/>
      <c r="I288" s="793"/>
    </row>
    <row r="289" spans="3:9">
      <c r="C289" s="793"/>
      <c r="D289" s="793"/>
      <c r="E289" s="793"/>
      <c r="F289" s="793"/>
      <c r="G289" s="793"/>
      <c r="H289" s="793"/>
      <c r="I289" s="793"/>
    </row>
    <row r="290" spans="3:9">
      <c r="C290" s="793"/>
      <c r="D290" s="793"/>
      <c r="E290" s="793"/>
      <c r="F290" s="793"/>
      <c r="G290" s="793"/>
      <c r="H290" s="793"/>
      <c r="I290" s="793"/>
    </row>
    <row r="291" spans="3:9">
      <c r="C291" s="793"/>
      <c r="D291" s="793"/>
      <c r="E291" s="793"/>
      <c r="F291" s="793"/>
      <c r="G291" s="793"/>
      <c r="H291" s="793"/>
      <c r="I291" s="793"/>
    </row>
    <row r="292" spans="3:9">
      <c r="C292" s="793"/>
      <c r="D292" s="793"/>
      <c r="E292" s="793"/>
      <c r="F292" s="793"/>
      <c r="G292" s="793"/>
      <c r="H292" s="793"/>
      <c r="I292" s="793"/>
    </row>
    <row r="293" spans="3:9">
      <c r="C293" s="793"/>
      <c r="D293" s="793"/>
      <c r="E293" s="793"/>
      <c r="F293" s="793"/>
      <c r="G293" s="793"/>
      <c r="H293" s="793"/>
      <c r="I293" s="793"/>
    </row>
    <row r="294" spans="3:9">
      <c r="C294" s="793"/>
      <c r="D294" s="793"/>
      <c r="E294" s="793"/>
      <c r="F294" s="793"/>
      <c r="G294" s="793"/>
      <c r="H294" s="793"/>
      <c r="I294" s="793"/>
    </row>
    <row r="295" spans="3:9">
      <c r="C295" s="793"/>
      <c r="D295" s="793"/>
      <c r="E295" s="793"/>
      <c r="F295" s="793"/>
      <c r="G295" s="793"/>
      <c r="H295" s="793"/>
      <c r="I295" s="793"/>
    </row>
    <row r="296" spans="3:9">
      <c r="C296" s="793"/>
      <c r="D296" s="793"/>
      <c r="E296" s="793"/>
      <c r="F296" s="793"/>
      <c r="G296" s="793"/>
      <c r="H296" s="793"/>
      <c r="I296" s="793"/>
    </row>
    <row r="297" spans="3:9">
      <c r="C297" s="793"/>
      <c r="D297" s="793"/>
      <c r="E297" s="793"/>
      <c r="F297" s="793"/>
      <c r="G297" s="793"/>
      <c r="H297" s="793"/>
      <c r="I297" s="793"/>
    </row>
    <row r="298" spans="3:9">
      <c r="C298" s="793"/>
      <c r="D298" s="793"/>
      <c r="E298" s="793"/>
      <c r="F298" s="793"/>
      <c r="G298" s="793"/>
      <c r="H298" s="793"/>
      <c r="I298" s="793"/>
    </row>
    <row r="299" spans="3:9">
      <c r="C299" s="793"/>
      <c r="D299" s="793"/>
      <c r="E299" s="793"/>
      <c r="F299" s="793"/>
      <c r="G299" s="793"/>
      <c r="H299" s="793"/>
      <c r="I299" s="793"/>
    </row>
    <row r="300" spans="3:9">
      <c r="C300" s="793"/>
      <c r="D300" s="793"/>
      <c r="E300" s="793"/>
      <c r="F300" s="793"/>
      <c r="G300" s="793"/>
      <c r="H300" s="793"/>
      <c r="I300" s="793"/>
    </row>
    <row r="301" spans="3:9">
      <c r="C301" s="793"/>
      <c r="D301" s="793"/>
      <c r="E301" s="793"/>
      <c r="F301" s="793"/>
      <c r="G301" s="793"/>
      <c r="H301" s="793"/>
      <c r="I301" s="793"/>
    </row>
    <row r="302" spans="3:9">
      <c r="C302" s="793"/>
      <c r="D302" s="793"/>
      <c r="E302" s="793"/>
      <c r="F302" s="793"/>
      <c r="G302" s="793"/>
      <c r="H302" s="793"/>
      <c r="I302" s="793"/>
    </row>
    <row r="303" spans="3:9">
      <c r="C303" s="793"/>
      <c r="D303" s="793"/>
      <c r="E303" s="793"/>
      <c r="F303" s="793"/>
      <c r="G303" s="793"/>
      <c r="H303" s="793"/>
      <c r="I303" s="793"/>
    </row>
    <row r="304" spans="3:9">
      <c r="C304" s="793"/>
      <c r="D304" s="793"/>
      <c r="E304" s="793"/>
      <c r="F304" s="793"/>
      <c r="G304" s="793"/>
      <c r="H304" s="793"/>
      <c r="I304" s="793"/>
    </row>
    <row r="305" spans="3:9">
      <c r="C305" s="793"/>
      <c r="D305" s="793"/>
      <c r="E305" s="793"/>
      <c r="F305" s="793"/>
      <c r="G305" s="793"/>
      <c r="H305" s="793"/>
      <c r="I305" s="793"/>
    </row>
    <row r="306" spans="3:9">
      <c r="C306" s="793"/>
      <c r="D306" s="793"/>
      <c r="E306" s="793"/>
      <c r="F306" s="793"/>
      <c r="G306" s="793"/>
      <c r="H306" s="793"/>
      <c r="I306" s="793"/>
    </row>
    <row r="307" spans="3:9">
      <c r="C307" s="793"/>
      <c r="D307" s="793"/>
      <c r="E307" s="793"/>
      <c r="F307" s="793"/>
      <c r="G307" s="793"/>
      <c r="H307" s="793"/>
      <c r="I307" s="793"/>
    </row>
    <row r="308" spans="3:9">
      <c r="C308" s="793"/>
      <c r="D308" s="793"/>
      <c r="E308" s="793"/>
      <c r="F308" s="793"/>
      <c r="G308" s="793"/>
      <c r="H308" s="793"/>
      <c r="I308" s="793"/>
    </row>
    <row r="309" spans="3:9">
      <c r="C309" s="793"/>
      <c r="D309" s="793"/>
      <c r="E309" s="793"/>
      <c r="F309" s="793"/>
      <c r="G309" s="793"/>
      <c r="H309" s="793"/>
      <c r="I309" s="793"/>
    </row>
    <row r="310" spans="3:9">
      <c r="C310" s="793"/>
      <c r="D310" s="793"/>
      <c r="E310" s="793"/>
      <c r="F310" s="793"/>
      <c r="G310" s="793"/>
      <c r="H310" s="793"/>
      <c r="I310" s="793"/>
    </row>
    <row r="311" spans="3:9">
      <c r="C311" s="793"/>
      <c r="D311" s="793"/>
      <c r="E311" s="793"/>
      <c r="F311" s="793"/>
      <c r="G311" s="793"/>
      <c r="H311" s="793"/>
      <c r="I311" s="793"/>
    </row>
    <row r="312" spans="3:9">
      <c r="C312" s="793"/>
      <c r="D312" s="793"/>
      <c r="E312" s="793"/>
      <c r="F312" s="793"/>
      <c r="G312" s="793"/>
      <c r="H312" s="793"/>
      <c r="I312" s="793"/>
    </row>
    <row r="313" spans="3:9">
      <c r="C313" s="793"/>
      <c r="D313" s="793"/>
      <c r="E313" s="793"/>
      <c r="F313" s="793"/>
      <c r="G313" s="793"/>
      <c r="H313" s="793"/>
      <c r="I313" s="793"/>
    </row>
    <row r="314" spans="3:9">
      <c r="C314" s="793"/>
      <c r="D314" s="793"/>
      <c r="E314" s="793"/>
      <c r="F314" s="793"/>
      <c r="G314" s="793"/>
      <c r="H314" s="793"/>
      <c r="I314" s="793"/>
    </row>
    <row r="315" spans="3:9">
      <c r="C315" s="793"/>
      <c r="D315" s="793"/>
      <c r="E315" s="793"/>
      <c r="F315" s="793"/>
      <c r="G315" s="793"/>
      <c r="H315" s="793"/>
      <c r="I315" s="793"/>
    </row>
    <row r="316" spans="3:9">
      <c r="C316" s="793"/>
      <c r="D316" s="793"/>
      <c r="E316" s="793"/>
      <c r="F316" s="793"/>
      <c r="G316" s="793"/>
      <c r="H316" s="793"/>
      <c r="I316" s="793"/>
    </row>
    <row r="317" spans="3:9">
      <c r="C317" s="793"/>
      <c r="D317" s="793"/>
      <c r="E317" s="793"/>
      <c r="F317" s="793"/>
      <c r="G317" s="793"/>
      <c r="H317" s="793"/>
      <c r="I317" s="793"/>
    </row>
    <row r="318" spans="3:9">
      <c r="C318" s="793"/>
      <c r="D318" s="793"/>
      <c r="E318" s="793"/>
      <c r="F318" s="793"/>
      <c r="G318" s="793"/>
      <c r="H318" s="793"/>
      <c r="I318" s="793"/>
    </row>
    <row r="319" spans="3:9">
      <c r="C319" s="793"/>
      <c r="D319" s="793"/>
      <c r="E319" s="793"/>
      <c r="F319" s="793"/>
      <c r="G319" s="793"/>
      <c r="H319" s="793"/>
      <c r="I319" s="793"/>
    </row>
    <row r="320" spans="3:9">
      <c r="C320" s="793"/>
      <c r="D320" s="793"/>
      <c r="E320" s="793"/>
      <c r="F320" s="793"/>
      <c r="G320" s="793"/>
      <c r="H320" s="793"/>
      <c r="I320" s="793"/>
    </row>
    <row r="321" spans="3:9">
      <c r="C321" s="793"/>
      <c r="D321" s="793"/>
      <c r="E321" s="793"/>
      <c r="F321" s="793"/>
      <c r="G321" s="793"/>
      <c r="H321" s="793"/>
      <c r="I321" s="793"/>
    </row>
    <row r="322" spans="3:9">
      <c r="C322" s="793"/>
      <c r="D322" s="793"/>
      <c r="E322" s="793"/>
      <c r="F322" s="793"/>
      <c r="G322" s="793"/>
      <c r="H322" s="793"/>
      <c r="I322" s="793"/>
    </row>
    <row r="323" spans="3:9">
      <c r="C323" s="793"/>
      <c r="D323" s="793"/>
      <c r="E323" s="793"/>
      <c r="F323" s="793"/>
      <c r="G323" s="793"/>
      <c r="H323" s="793"/>
      <c r="I323" s="793"/>
    </row>
    <row r="324" spans="3:9">
      <c r="C324" s="793"/>
      <c r="D324" s="793"/>
      <c r="E324" s="793"/>
      <c r="F324" s="793"/>
      <c r="G324" s="793"/>
      <c r="H324" s="793"/>
      <c r="I324" s="793"/>
    </row>
    <row r="325" spans="3:9">
      <c r="C325" s="793"/>
      <c r="D325" s="793"/>
      <c r="E325" s="793"/>
      <c r="F325" s="793"/>
      <c r="G325" s="793"/>
      <c r="H325" s="793"/>
      <c r="I325" s="793"/>
    </row>
    <row r="326" spans="3:9">
      <c r="C326" s="793"/>
      <c r="D326" s="793"/>
      <c r="E326" s="793"/>
      <c r="F326" s="793"/>
      <c r="G326" s="793"/>
      <c r="H326" s="793"/>
      <c r="I326" s="793"/>
    </row>
    <row r="327" spans="3:9">
      <c r="C327" s="793"/>
      <c r="D327" s="793"/>
      <c r="E327" s="793"/>
      <c r="F327" s="793"/>
      <c r="G327" s="793"/>
      <c r="H327" s="793"/>
      <c r="I327" s="793"/>
    </row>
    <row r="328" spans="3:9">
      <c r="C328" s="793"/>
      <c r="D328" s="793"/>
      <c r="E328" s="793"/>
      <c r="F328" s="793"/>
      <c r="G328" s="793"/>
      <c r="H328" s="793"/>
      <c r="I328" s="793"/>
    </row>
    <row r="329" spans="3:9">
      <c r="C329" s="793"/>
      <c r="D329" s="793"/>
      <c r="E329" s="793"/>
      <c r="F329" s="793"/>
      <c r="G329" s="793"/>
      <c r="H329" s="793"/>
      <c r="I329" s="793"/>
    </row>
    <row r="330" spans="3:9">
      <c r="C330" s="793"/>
      <c r="D330" s="793"/>
      <c r="E330" s="793"/>
      <c r="F330" s="793"/>
      <c r="G330" s="793"/>
      <c r="H330" s="793"/>
      <c r="I330" s="793"/>
    </row>
    <row r="331" spans="3:9">
      <c r="C331" s="793"/>
      <c r="D331" s="793"/>
      <c r="E331" s="793"/>
      <c r="F331" s="793"/>
      <c r="G331" s="793"/>
      <c r="H331" s="793"/>
      <c r="I331" s="793"/>
    </row>
    <row r="332" spans="3:9">
      <c r="C332" s="793"/>
      <c r="D332" s="793"/>
      <c r="E332" s="793"/>
      <c r="F332" s="793"/>
      <c r="G332" s="793"/>
      <c r="H332" s="793"/>
      <c r="I332" s="793"/>
    </row>
    <row r="333" spans="3:9">
      <c r="C333" s="793"/>
      <c r="D333" s="793"/>
      <c r="E333" s="793"/>
      <c r="F333" s="793"/>
      <c r="G333" s="793"/>
      <c r="H333" s="793"/>
      <c r="I333" s="793"/>
    </row>
    <row r="334" spans="3:9">
      <c r="C334" s="793"/>
      <c r="D334" s="793"/>
      <c r="E334" s="793"/>
      <c r="F334" s="793"/>
      <c r="G334" s="793"/>
      <c r="H334" s="793"/>
      <c r="I334" s="793"/>
    </row>
    <row r="335" spans="3:9">
      <c r="C335" s="793"/>
      <c r="D335" s="793"/>
      <c r="E335" s="793"/>
      <c r="F335" s="793"/>
      <c r="G335" s="793"/>
      <c r="H335" s="793"/>
      <c r="I335" s="793"/>
    </row>
    <row r="336" spans="3:9">
      <c r="C336" s="793"/>
      <c r="D336" s="793"/>
      <c r="E336" s="793"/>
      <c r="F336" s="793"/>
      <c r="G336" s="793"/>
      <c r="H336" s="793"/>
      <c r="I336" s="793"/>
    </row>
    <row r="337" spans="3:9">
      <c r="C337" s="793"/>
      <c r="D337" s="793"/>
      <c r="E337" s="793"/>
      <c r="F337" s="793"/>
      <c r="G337" s="793"/>
      <c r="H337" s="793"/>
      <c r="I337" s="793"/>
    </row>
    <row r="338" spans="3:9">
      <c r="C338" s="793"/>
      <c r="D338" s="793"/>
      <c r="E338" s="793"/>
      <c r="F338" s="793"/>
      <c r="G338" s="793"/>
      <c r="H338" s="793"/>
      <c r="I338" s="793"/>
    </row>
    <row r="339" spans="3:9">
      <c r="C339" s="793"/>
      <c r="D339" s="793"/>
      <c r="E339" s="793"/>
      <c r="F339" s="793"/>
      <c r="G339" s="793"/>
      <c r="H339" s="793"/>
      <c r="I339" s="793"/>
    </row>
    <row r="340" spans="3:9">
      <c r="C340" s="793"/>
      <c r="D340" s="793"/>
      <c r="E340" s="793"/>
      <c r="F340" s="793"/>
      <c r="G340" s="793"/>
      <c r="H340" s="793"/>
      <c r="I340" s="793"/>
    </row>
    <row r="341" spans="3:9">
      <c r="C341" s="793"/>
      <c r="D341" s="793"/>
      <c r="E341" s="793"/>
      <c r="F341" s="793"/>
      <c r="G341" s="793"/>
      <c r="H341" s="793"/>
      <c r="I341" s="793"/>
    </row>
    <row r="342" spans="3:9">
      <c r="C342" s="793"/>
      <c r="D342" s="793"/>
      <c r="E342" s="793"/>
      <c r="F342" s="793"/>
      <c r="G342" s="793"/>
      <c r="H342" s="793"/>
      <c r="I342" s="793"/>
    </row>
    <row r="343" spans="3:9">
      <c r="C343" s="793"/>
      <c r="D343" s="793"/>
      <c r="E343" s="793"/>
      <c r="F343" s="793"/>
      <c r="G343" s="793"/>
      <c r="H343" s="793"/>
      <c r="I343" s="793"/>
    </row>
    <row r="344" spans="3:9">
      <c r="C344" s="793"/>
      <c r="D344" s="793"/>
      <c r="E344" s="793"/>
      <c r="F344" s="793"/>
      <c r="G344" s="793"/>
      <c r="H344" s="793"/>
      <c r="I344" s="793"/>
    </row>
    <row r="345" spans="3:9">
      <c r="C345" s="793"/>
      <c r="D345" s="793"/>
      <c r="E345" s="793"/>
      <c r="F345" s="793"/>
      <c r="G345" s="793"/>
      <c r="H345" s="793"/>
      <c r="I345" s="793"/>
    </row>
    <row r="346" spans="3:9">
      <c r="C346" s="793"/>
      <c r="D346" s="793"/>
      <c r="E346" s="793"/>
      <c r="F346" s="793"/>
      <c r="G346" s="793"/>
      <c r="H346" s="793"/>
      <c r="I346" s="793"/>
    </row>
    <row r="347" spans="3:9">
      <c r="C347" s="793"/>
      <c r="D347" s="793"/>
      <c r="E347" s="793"/>
      <c r="F347" s="793"/>
      <c r="G347" s="793"/>
      <c r="H347" s="793"/>
      <c r="I347" s="793"/>
    </row>
    <row r="348" spans="3:9">
      <c r="C348" s="793"/>
      <c r="D348" s="793"/>
      <c r="E348" s="793"/>
      <c r="F348" s="793"/>
      <c r="G348" s="793"/>
      <c r="H348" s="793"/>
      <c r="I348" s="793"/>
    </row>
    <row r="349" spans="3:9">
      <c r="C349" s="793"/>
      <c r="D349" s="793"/>
      <c r="E349" s="793"/>
      <c r="F349" s="793"/>
      <c r="G349" s="793"/>
      <c r="H349" s="793"/>
      <c r="I349" s="793"/>
    </row>
    <row r="350" spans="3:9">
      <c r="C350" s="793"/>
      <c r="D350" s="793"/>
      <c r="E350" s="793"/>
      <c r="F350" s="793"/>
      <c r="G350" s="793"/>
      <c r="H350" s="793"/>
      <c r="I350" s="793"/>
    </row>
    <row r="351" spans="3:9">
      <c r="C351" s="793"/>
      <c r="D351" s="793"/>
      <c r="E351" s="793"/>
      <c r="F351" s="793"/>
      <c r="G351" s="793"/>
      <c r="H351" s="793"/>
      <c r="I351" s="793"/>
    </row>
    <row r="352" spans="3:9">
      <c r="C352" s="793"/>
      <c r="D352" s="793"/>
      <c r="E352" s="793"/>
      <c r="F352" s="793"/>
      <c r="G352" s="793"/>
      <c r="H352" s="793"/>
      <c r="I352" s="793"/>
    </row>
    <row r="353" spans="3:9">
      <c r="C353" s="793"/>
      <c r="D353" s="793"/>
      <c r="E353" s="793"/>
      <c r="F353" s="793"/>
      <c r="G353" s="793"/>
      <c r="H353" s="793"/>
      <c r="I353" s="793"/>
    </row>
    <row r="354" spans="3:9">
      <c r="C354" s="793"/>
      <c r="D354" s="793"/>
      <c r="E354" s="793"/>
      <c r="F354" s="793"/>
      <c r="G354" s="793"/>
      <c r="H354" s="793"/>
      <c r="I354" s="793"/>
    </row>
    <row r="355" spans="3:9">
      <c r="C355" s="793"/>
      <c r="D355" s="793"/>
      <c r="E355" s="793"/>
      <c r="F355" s="793"/>
      <c r="G355" s="793"/>
      <c r="H355" s="793"/>
      <c r="I355" s="793"/>
    </row>
    <row r="356" spans="3:9">
      <c r="C356" s="793"/>
      <c r="D356" s="793"/>
      <c r="E356" s="793"/>
      <c r="F356" s="793"/>
      <c r="G356" s="793"/>
      <c r="H356" s="793"/>
      <c r="I356" s="793"/>
    </row>
    <row r="357" spans="3:9">
      <c r="C357" s="793"/>
      <c r="D357" s="793"/>
      <c r="E357" s="793"/>
      <c r="F357" s="793"/>
      <c r="G357" s="793"/>
      <c r="H357" s="793"/>
      <c r="I357" s="793"/>
    </row>
    <row r="358" spans="3:9">
      <c r="C358" s="793"/>
      <c r="D358" s="793"/>
      <c r="E358" s="793"/>
      <c r="F358" s="793"/>
      <c r="G358" s="793"/>
      <c r="H358" s="793"/>
      <c r="I358" s="793"/>
    </row>
    <row r="359" spans="3:9">
      <c r="C359" s="793"/>
      <c r="D359" s="793"/>
      <c r="E359" s="793"/>
      <c r="F359" s="793"/>
      <c r="G359" s="793"/>
      <c r="H359" s="793"/>
      <c r="I359" s="793"/>
    </row>
    <row r="360" spans="3:9">
      <c r="C360" s="793"/>
      <c r="D360" s="793"/>
      <c r="E360" s="793"/>
      <c r="F360" s="793"/>
      <c r="G360" s="793"/>
      <c r="H360" s="793"/>
      <c r="I360" s="793"/>
    </row>
    <row r="361" spans="3:9">
      <c r="C361" s="793"/>
      <c r="D361" s="793"/>
      <c r="E361" s="793"/>
      <c r="F361" s="793"/>
      <c r="G361" s="793"/>
      <c r="H361" s="793"/>
      <c r="I361" s="793"/>
    </row>
    <row r="362" spans="3:9">
      <c r="C362" s="793"/>
      <c r="D362" s="793"/>
      <c r="E362" s="793"/>
      <c r="F362" s="793"/>
      <c r="G362" s="793"/>
      <c r="H362" s="793"/>
      <c r="I362" s="793"/>
    </row>
    <row r="363" spans="3:9">
      <c r="C363" s="793"/>
      <c r="D363" s="793"/>
      <c r="E363" s="793"/>
      <c r="F363" s="793"/>
      <c r="G363" s="793"/>
      <c r="H363" s="793"/>
      <c r="I363" s="793"/>
    </row>
    <row r="364" spans="3:9">
      <c r="C364" s="793"/>
      <c r="D364" s="793"/>
      <c r="E364" s="793"/>
      <c r="F364" s="793"/>
      <c r="G364" s="793"/>
      <c r="H364" s="793"/>
      <c r="I364" s="793"/>
    </row>
    <row r="365" spans="3:9">
      <c r="C365" s="793"/>
      <c r="D365" s="793"/>
      <c r="E365" s="793"/>
      <c r="F365" s="793"/>
      <c r="G365" s="793"/>
      <c r="H365" s="793"/>
      <c r="I365" s="793"/>
    </row>
    <row r="366" spans="3:9">
      <c r="C366" s="793"/>
      <c r="D366" s="793"/>
      <c r="E366" s="793"/>
      <c r="F366" s="793"/>
      <c r="G366" s="793"/>
      <c r="H366" s="793"/>
      <c r="I366" s="793"/>
    </row>
    <row r="367" spans="3:9">
      <c r="C367" s="793"/>
      <c r="D367" s="793"/>
      <c r="E367" s="793"/>
      <c r="F367" s="793"/>
      <c r="G367" s="793"/>
      <c r="H367" s="793"/>
      <c r="I367" s="793"/>
    </row>
    <row r="368" spans="3:9">
      <c r="C368" s="793"/>
      <c r="D368" s="793"/>
      <c r="E368" s="793"/>
      <c r="F368" s="793"/>
      <c r="G368" s="793"/>
      <c r="H368" s="793"/>
      <c r="I368" s="793"/>
    </row>
    <row r="369" spans="3:9">
      <c r="C369" s="793"/>
      <c r="D369" s="793"/>
      <c r="E369" s="793"/>
      <c r="F369" s="793"/>
      <c r="G369" s="793"/>
      <c r="H369" s="793"/>
      <c r="I369" s="793"/>
    </row>
    <row r="370" spans="3:9">
      <c r="C370" s="793"/>
      <c r="D370" s="793"/>
      <c r="E370" s="793"/>
      <c r="F370" s="793"/>
      <c r="G370" s="793"/>
      <c r="H370" s="793"/>
      <c r="I370" s="793"/>
    </row>
    <row r="371" spans="3:9">
      <c r="C371" s="793"/>
      <c r="D371" s="793"/>
      <c r="E371" s="793"/>
      <c r="F371" s="793"/>
      <c r="G371" s="793"/>
      <c r="H371" s="793"/>
      <c r="I371" s="793"/>
    </row>
    <row r="372" spans="3:9">
      <c r="C372" s="793"/>
      <c r="D372" s="793"/>
      <c r="E372" s="793"/>
      <c r="F372" s="793"/>
      <c r="G372" s="793"/>
      <c r="H372" s="793"/>
      <c r="I372" s="793"/>
    </row>
    <row r="373" spans="3:9">
      <c r="C373" s="793"/>
      <c r="D373" s="793"/>
      <c r="E373" s="793"/>
      <c r="F373" s="793"/>
      <c r="G373" s="793"/>
      <c r="H373" s="793"/>
      <c r="I373" s="793"/>
    </row>
    <row r="374" spans="3:9">
      <c r="C374" s="793"/>
      <c r="D374" s="793"/>
      <c r="E374" s="793"/>
      <c r="F374" s="793"/>
      <c r="G374" s="793"/>
      <c r="H374" s="793"/>
      <c r="I374" s="793"/>
    </row>
    <row r="375" spans="3:9">
      <c r="C375" s="793"/>
      <c r="D375" s="793"/>
      <c r="E375" s="793"/>
      <c r="F375" s="793"/>
      <c r="G375" s="793"/>
      <c r="H375" s="793"/>
      <c r="I375" s="793"/>
    </row>
    <row r="376" spans="3:9">
      <c r="C376" s="793"/>
      <c r="D376" s="793"/>
      <c r="E376" s="793"/>
      <c r="F376" s="793"/>
      <c r="G376" s="793"/>
      <c r="H376" s="793"/>
      <c r="I376" s="793"/>
    </row>
    <row r="377" spans="3:9">
      <c r="C377" s="793"/>
      <c r="D377" s="793"/>
      <c r="E377" s="793"/>
      <c r="F377" s="793"/>
      <c r="G377" s="793"/>
      <c r="H377" s="793"/>
      <c r="I377" s="793"/>
    </row>
    <row r="378" spans="3:9">
      <c r="C378" s="793"/>
      <c r="D378" s="793"/>
      <c r="E378" s="793"/>
      <c r="F378" s="793"/>
      <c r="G378" s="793"/>
      <c r="H378" s="793"/>
      <c r="I378" s="793"/>
    </row>
    <row r="379" spans="3:9">
      <c r="C379" s="793"/>
      <c r="D379" s="793"/>
      <c r="E379" s="793"/>
      <c r="F379" s="793"/>
      <c r="G379" s="793"/>
      <c r="H379" s="793"/>
      <c r="I379" s="793"/>
    </row>
    <row r="380" spans="3:9">
      <c r="C380" s="793"/>
      <c r="D380" s="793"/>
      <c r="E380" s="793"/>
      <c r="F380" s="793"/>
      <c r="G380" s="793"/>
      <c r="H380" s="793"/>
      <c r="I380" s="793"/>
    </row>
    <row r="381" spans="3:9">
      <c r="C381" s="793"/>
      <c r="D381" s="793"/>
      <c r="E381" s="793"/>
      <c r="F381" s="793"/>
      <c r="G381" s="793"/>
      <c r="H381" s="793"/>
      <c r="I381" s="793"/>
    </row>
    <row r="382" spans="3:9">
      <c r="C382" s="793"/>
      <c r="D382" s="793"/>
      <c r="E382" s="793"/>
      <c r="F382" s="793"/>
      <c r="G382" s="793"/>
      <c r="H382" s="793"/>
      <c r="I382" s="793"/>
    </row>
    <row r="383" spans="3:9">
      <c r="C383" s="793"/>
      <c r="D383" s="793"/>
      <c r="E383" s="793"/>
      <c r="F383" s="793"/>
      <c r="G383" s="793"/>
      <c r="H383" s="793"/>
      <c r="I383" s="793"/>
    </row>
    <row r="384" spans="3:9">
      <c r="C384" s="793"/>
      <c r="D384" s="793"/>
      <c r="E384" s="793"/>
      <c r="F384" s="793"/>
      <c r="G384" s="793"/>
      <c r="H384" s="793"/>
      <c r="I384" s="793"/>
    </row>
    <row r="385" spans="3:9">
      <c r="C385" s="793"/>
      <c r="D385" s="793"/>
      <c r="E385" s="793"/>
      <c r="F385" s="793"/>
      <c r="G385" s="793"/>
      <c r="H385" s="793"/>
      <c r="I385" s="793"/>
    </row>
    <row r="386" spans="3:9">
      <c r="C386" s="793"/>
      <c r="D386" s="793"/>
      <c r="E386" s="793"/>
      <c r="F386" s="793"/>
      <c r="G386" s="793"/>
      <c r="H386" s="793"/>
      <c r="I386" s="793"/>
    </row>
    <row r="387" spans="3:9">
      <c r="C387" s="793"/>
      <c r="D387" s="793"/>
      <c r="E387" s="793"/>
      <c r="F387" s="793"/>
      <c r="G387" s="793"/>
      <c r="H387" s="793"/>
      <c r="I387" s="793"/>
    </row>
    <row r="388" spans="3:9">
      <c r="C388" s="793"/>
      <c r="D388" s="793"/>
      <c r="E388" s="793"/>
      <c r="F388" s="793"/>
      <c r="G388" s="793"/>
      <c r="H388" s="793"/>
      <c r="I388" s="793"/>
    </row>
    <row r="389" spans="3:9">
      <c r="C389" s="793"/>
      <c r="D389" s="793"/>
      <c r="E389" s="793"/>
      <c r="F389" s="793"/>
      <c r="G389" s="793"/>
      <c r="H389" s="793"/>
      <c r="I389" s="793"/>
    </row>
    <row r="390" spans="3:9">
      <c r="C390" s="793"/>
      <c r="D390" s="793"/>
      <c r="E390" s="793"/>
      <c r="F390" s="793"/>
      <c r="G390" s="793"/>
      <c r="H390" s="793"/>
      <c r="I390" s="793"/>
    </row>
    <row r="391" spans="3:9">
      <c r="C391" s="793"/>
      <c r="D391" s="793"/>
      <c r="E391" s="793"/>
      <c r="F391" s="793"/>
      <c r="G391" s="793"/>
      <c r="H391" s="793"/>
      <c r="I391" s="793"/>
    </row>
    <row r="392" spans="3:9">
      <c r="C392" s="793"/>
      <c r="D392" s="793"/>
      <c r="E392" s="793"/>
      <c r="F392" s="793"/>
      <c r="G392" s="793"/>
      <c r="H392" s="793"/>
      <c r="I392" s="793"/>
    </row>
    <row r="393" spans="3:9">
      <c r="C393" s="793"/>
      <c r="D393" s="793"/>
      <c r="E393" s="793"/>
      <c r="F393" s="793"/>
      <c r="G393" s="793"/>
      <c r="H393" s="793"/>
      <c r="I393" s="793"/>
    </row>
    <row r="394" spans="3:9">
      <c r="C394" s="793"/>
      <c r="D394" s="793"/>
      <c r="E394" s="793"/>
      <c r="F394" s="793"/>
      <c r="G394" s="793"/>
      <c r="H394" s="793"/>
      <c r="I394" s="793"/>
    </row>
    <row r="395" spans="3:9">
      <c r="C395" s="793"/>
      <c r="D395" s="793"/>
      <c r="E395" s="793"/>
      <c r="F395" s="793"/>
      <c r="G395" s="793"/>
      <c r="H395" s="793"/>
      <c r="I395" s="793"/>
    </row>
    <row r="396" spans="3:9">
      <c r="C396" s="793"/>
      <c r="D396" s="793"/>
      <c r="E396" s="793"/>
      <c r="F396" s="793"/>
      <c r="G396" s="793"/>
      <c r="H396" s="793"/>
      <c r="I396" s="793"/>
    </row>
    <row r="397" spans="3:9">
      <c r="C397" s="793"/>
      <c r="D397" s="793"/>
      <c r="E397" s="793"/>
      <c r="F397" s="793"/>
      <c r="G397" s="793"/>
      <c r="H397" s="793"/>
      <c r="I397" s="793"/>
    </row>
    <row r="398" spans="3:9">
      <c r="C398" s="793"/>
      <c r="D398" s="793"/>
      <c r="E398" s="793"/>
      <c r="F398" s="793"/>
      <c r="G398" s="793"/>
      <c r="H398" s="793"/>
      <c r="I398" s="793"/>
    </row>
    <row r="399" spans="3:9">
      <c r="C399" s="793"/>
      <c r="D399" s="793"/>
      <c r="E399" s="793"/>
      <c r="F399" s="793"/>
      <c r="G399" s="793"/>
      <c r="H399" s="793"/>
      <c r="I399" s="793"/>
    </row>
    <row r="400" spans="3:9">
      <c r="C400" s="793"/>
      <c r="D400" s="793"/>
      <c r="E400" s="793"/>
      <c r="F400" s="793"/>
      <c r="G400" s="793"/>
      <c r="H400" s="793"/>
      <c r="I400" s="793"/>
    </row>
    <row r="401" spans="3:9">
      <c r="C401" s="793"/>
      <c r="D401" s="793"/>
      <c r="E401" s="793"/>
      <c r="F401" s="793"/>
      <c r="G401" s="793"/>
      <c r="H401" s="793"/>
      <c r="I401" s="793"/>
    </row>
    <row r="402" spans="3:9">
      <c r="C402" s="793"/>
      <c r="D402" s="793"/>
      <c r="E402" s="793"/>
      <c r="F402" s="793"/>
      <c r="G402" s="793"/>
      <c r="H402" s="793"/>
      <c r="I402" s="793"/>
    </row>
    <row r="403" spans="3:9">
      <c r="C403" s="793"/>
      <c r="D403" s="793"/>
      <c r="E403" s="793"/>
      <c r="F403" s="793"/>
      <c r="G403" s="793"/>
      <c r="H403" s="793"/>
      <c r="I403" s="793"/>
    </row>
    <row r="404" spans="3:9">
      <c r="C404" s="793"/>
      <c r="D404" s="793"/>
      <c r="E404" s="793"/>
      <c r="F404" s="793"/>
      <c r="G404" s="793"/>
      <c r="H404" s="793"/>
      <c r="I404" s="793"/>
    </row>
    <row r="405" spans="3:9">
      <c r="C405" s="793"/>
      <c r="D405" s="793"/>
      <c r="E405" s="793"/>
      <c r="F405" s="793"/>
      <c r="G405" s="793"/>
      <c r="H405" s="793"/>
      <c r="I405" s="793"/>
    </row>
    <row r="406" spans="3:9">
      <c r="C406" s="793"/>
      <c r="D406" s="793"/>
      <c r="E406" s="793"/>
      <c r="F406" s="793"/>
      <c r="G406" s="793"/>
      <c r="H406" s="793"/>
      <c r="I406" s="793"/>
    </row>
    <row r="407" spans="3:9">
      <c r="C407" s="793"/>
      <c r="D407" s="793"/>
      <c r="E407" s="793"/>
      <c r="F407" s="793"/>
      <c r="G407" s="793"/>
      <c r="H407" s="793"/>
      <c r="I407" s="793"/>
    </row>
    <row r="408" spans="3:9">
      <c r="C408" s="793"/>
      <c r="D408" s="793"/>
      <c r="E408" s="793"/>
      <c r="F408" s="793"/>
      <c r="G408" s="793"/>
      <c r="H408" s="793"/>
      <c r="I408" s="793"/>
    </row>
    <row r="409" spans="3:9">
      <c r="C409" s="793"/>
      <c r="D409" s="793"/>
      <c r="E409" s="793"/>
      <c r="F409" s="793"/>
      <c r="G409" s="793"/>
      <c r="H409" s="793"/>
      <c r="I409" s="793"/>
    </row>
    <row r="410" spans="3:9">
      <c r="C410" s="793"/>
      <c r="D410" s="793"/>
      <c r="E410" s="793"/>
      <c r="F410" s="793"/>
      <c r="G410" s="793"/>
      <c r="H410" s="793"/>
      <c r="I410" s="793"/>
    </row>
    <row r="411" spans="3:9">
      <c r="C411" s="793"/>
      <c r="D411" s="793"/>
      <c r="E411" s="793"/>
      <c r="F411" s="793"/>
      <c r="G411" s="793"/>
      <c r="H411" s="793"/>
      <c r="I411" s="793"/>
    </row>
    <row r="412" spans="3:9">
      <c r="C412" s="793"/>
      <c r="D412" s="793"/>
      <c r="E412" s="793"/>
      <c r="F412" s="793"/>
      <c r="G412" s="793"/>
      <c r="H412" s="793"/>
      <c r="I412" s="793"/>
    </row>
    <row r="413" spans="3:9">
      <c r="C413" s="793"/>
      <c r="D413" s="793"/>
      <c r="E413" s="793"/>
      <c r="F413" s="793"/>
      <c r="G413" s="793"/>
      <c r="H413" s="793"/>
      <c r="I413" s="793"/>
    </row>
    <row r="414" spans="3:9">
      <c r="C414" s="793"/>
      <c r="D414" s="793"/>
      <c r="E414" s="793"/>
      <c r="F414" s="793"/>
      <c r="G414" s="793"/>
      <c r="H414" s="793"/>
      <c r="I414" s="793"/>
    </row>
    <row r="415" spans="3:9">
      <c r="C415" s="793"/>
      <c r="D415" s="793"/>
      <c r="E415" s="793"/>
      <c r="F415" s="793"/>
      <c r="G415" s="793"/>
      <c r="H415" s="793"/>
      <c r="I415" s="793"/>
    </row>
    <row r="416" spans="3:9">
      <c r="C416" s="793"/>
      <c r="D416" s="793"/>
      <c r="E416" s="793"/>
      <c r="F416" s="793"/>
      <c r="G416" s="793"/>
      <c r="H416" s="793"/>
      <c r="I416" s="793"/>
    </row>
    <row r="417" spans="3:9">
      <c r="C417" s="793"/>
      <c r="D417" s="793"/>
      <c r="E417" s="793"/>
      <c r="F417" s="793"/>
      <c r="G417" s="793"/>
      <c r="H417" s="793"/>
      <c r="I417" s="793"/>
    </row>
    <row r="418" spans="3:9">
      <c r="C418" s="793"/>
      <c r="D418" s="793"/>
      <c r="E418" s="793"/>
      <c r="F418" s="793"/>
      <c r="G418" s="793"/>
      <c r="H418" s="793"/>
      <c r="I418" s="793"/>
    </row>
    <row r="419" spans="3:9">
      <c r="C419" s="793"/>
      <c r="D419" s="793"/>
      <c r="E419" s="793"/>
      <c r="F419" s="793"/>
      <c r="G419" s="793"/>
      <c r="H419" s="793"/>
      <c r="I419" s="793"/>
    </row>
    <row r="420" spans="3:9">
      <c r="C420" s="793"/>
      <c r="D420" s="793"/>
      <c r="E420" s="793"/>
      <c r="F420" s="793"/>
      <c r="G420" s="793"/>
      <c r="H420" s="793"/>
      <c r="I420" s="793"/>
    </row>
    <row r="421" spans="3:9">
      <c r="C421" s="793"/>
      <c r="D421" s="793"/>
      <c r="E421" s="793"/>
      <c r="F421" s="793"/>
      <c r="G421" s="793"/>
      <c r="H421" s="793"/>
      <c r="I421" s="793"/>
    </row>
    <row r="422" spans="3:9">
      <c r="C422" s="793"/>
      <c r="D422" s="793"/>
      <c r="E422" s="793"/>
      <c r="F422" s="793"/>
      <c r="G422" s="793"/>
      <c r="H422" s="793"/>
      <c r="I422" s="793"/>
    </row>
    <row r="423" spans="3:9">
      <c r="C423" s="793"/>
      <c r="D423" s="793"/>
      <c r="E423" s="793"/>
      <c r="F423" s="793"/>
      <c r="G423" s="793"/>
      <c r="H423" s="793"/>
      <c r="I423" s="793"/>
    </row>
    <row r="424" spans="3:9">
      <c r="C424" s="793"/>
      <c r="D424" s="793"/>
      <c r="E424" s="793"/>
      <c r="F424" s="793"/>
      <c r="G424" s="793"/>
      <c r="H424" s="793"/>
      <c r="I424" s="793"/>
    </row>
    <row r="425" spans="3:9">
      <c r="C425" s="793"/>
      <c r="D425" s="793"/>
      <c r="E425" s="793"/>
      <c r="F425" s="793"/>
      <c r="G425" s="793"/>
      <c r="H425" s="793"/>
      <c r="I425" s="793"/>
    </row>
    <row r="426" spans="3:9">
      <c r="C426" s="793"/>
      <c r="D426" s="793"/>
      <c r="E426" s="793"/>
      <c r="F426" s="793"/>
      <c r="G426" s="793"/>
      <c r="H426" s="793"/>
      <c r="I426" s="793"/>
    </row>
    <row r="427" spans="3:9">
      <c r="C427" s="793"/>
      <c r="D427" s="793"/>
      <c r="E427" s="793"/>
      <c r="F427" s="793"/>
      <c r="G427" s="793"/>
      <c r="H427" s="793"/>
      <c r="I427" s="793"/>
    </row>
    <row r="428" spans="3:9">
      <c r="C428" s="793"/>
      <c r="D428" s="793"/>
      <c r="E428" s="793"/>
      <c r="F428" s="793"/>
      <c r="G428" s="793"/>
      <c r="H428" s="793"/>
      <c r="I428" s="793"/>
    </row>
    <row r="429" spans="3:9">
      <c r="C429" s="793"/>
      <c r="D429" s="793"/>
      <c r="E429" s="793"/>
      <c r="F429" s="793"/>
      <c r="G429" s="793"/>
      <c r="H429" s="793"/>
      <c r="I429" s="793"/>
    </row>
    <row r="430" spans="3:9">
      <c r="C430" s="793"/>
      <c r="D430" s="793"/>
      <c r="E430" s="793"/>
      <c r="F430" s="793"/>
      <c r="G430" s="793"/>
      <c r="H430" s="793"/>
      <c r="I430" s="793"/>
    </row>
    <row r="431" spans="3:9">
      <c r="C431" s="793"/>
      <c r="D431" s="793"/>
      <c r="E431" s="793"/>
      <c r="F431" s="793"/>
      <c r="G431" s="793"/>
      <c r="H431" s="793"/>
      <c r="I431" s="793"/>
    </row>
    <row r="432" spans="3:9">
      <c r="C432" s="793"/>
      <c r="D432" s="793"/>
      <c r="E432" s="793"/>
      <c r="F432" s="793"/>
      <c r="G432" s="793"/>
      <c r="H432" s="793"/>
      <c r="I432" s="793"/>
    </row>
    <row r="433" spans="3:24">
      <c r="C433" s="793"/>
      <c r="D433" s="793"/>
      <c r="E433" s="793"/>
      <c r="F433" s="793"/>
      <c r="G433" s="793"/>
      <c r="H433" s="793"/>
      <c r="I433" s="793"/>
    </row>
    <row r="434" spans="3:24">
      <c r="C434" s="793"/>
      <c r="D434" s="793"/>
      <c r="E434" s="793"/>
      <c r="F434" s="793"/>
      <c r="G434" s="793"/>
      <c r="H434" s="793"/>
      <c r="I434" s="793"/>
    </row>
    <row r="435" spans="3:24">
      <c r="C435" s="793"/>
      <c r="D435" s="793"/>
      <c r="E435" s="793"/>
      <c r="F435" s="793"/>
      <c r="G435" s="793"/>
      <c r="H435" s="793"/>
      <c r="I435" s="793"/>
    </row>
    <row r="436" spans="3:24">
      <c r="C436" s="793"/>
      <c r="D436" s="793"/>
      <c r="E436" s="793"/>
      <c r="F436" s="793"/>
      <c r="G436" s="793"/>
      <c r="H436" s="793"/>
      <c r="I436" s="793"/>
    </row>
    <row r="437" spans="3:24">
      <c r="C437" s="793"/>
      <c r="D437" s="793"/>
      <c r="E437" s="793"/>
      <c r="F437" s="793"/>
      <c r="G437" s="793"/>
      <c r="H437" s="793"/>
      <c r="I437" s="793"/>
    </row>
    <row r="438" spans="3:24">
      <c r="C438" s="793"/>
      <c r="D438" s="793"/>
      <c r="E438" s="793"/>
      <c r="F438" s="793"/>
      <c r="G438" s="793"/>
      <c r="H438" s="793"/>
      <c r="I438" s="793"/>
    </row>
    <row r="439" spans="3:24">
      <c r="C439" s="793"/>
      <c r="D439" s="793"/>
      <c r="E439" s="793"/>
      <c r="F439" s="793"/>
      <c r="G439" s="793"/>
      <c r="H439" s="793"/>
      <c r="I439" s="793"/>
    </row>
    <row r="440" spans="3:24">
      <c r="C440" s="793"/>
      <c r="D440" s="793"/>
      <c r="E440" s="793"/>
      <c r="F440" s="793"/>
      <c r="G440" s="793"/>
      <c r="H440" s="793"/>
      <c r="I440" s="793"/>
    </row>
    <row r="441" spans="3:24">
      <c r="C441" s="793"/>
      <c r="D441" s="793"/>
      <c r="E441" s="793"/>
      <c r="F441" s="793"/>
      <c r="G441" s="793"/>
      <c r="H441" s="793"/>
      <c r="I441" s="793"/>
      <c r="X441" s="81"/>
    </row>
    <row r="442" spans="3:24">
      <c r="C442" s="793"/>
      <c r="D442" s="793"/>
      <c r="E442" s="793"/>
      <c r="F442" s="793"/>
      <c r="G442" s="793"/>
      <c r="H442" s="793"/>
      <c r="I442" s="793"/>
    </row>
  </sheetData>
  <sheetProtection algorithmName="SHA-512" hashValue="n2soewRkqxnfo6vInfbQX/10MwObfM6aPyhnQ9VcFIsgRPoGlFkHqxRjDZ7lZDgif7zY92I+SIeXi43Pmw5KwA==" saltValue="qkeZIKMXcaYAqFqz9ABfpA==" spinCount="100000" sheet="1" objects="1" scenarios="1"/>
  <mergeCells count="32">
    <mergeCell ref="R4:Y5"/>
    <mergeCell ref="C22:D22"/>
    <mergeCell ref="C23:D23"/>
    <mergeCell ref="C118:D118"/>
    <mergeCell ref="C123:D123"/>
    <mergeCell ref="B84:D84"/>
    <mergeCell ref="H3:I3"/>
    <mergeCell ref="C28:D28"/>
    <mergeCell ref="C53:D53"/>
    <mergeCell ref="C60:D60"/>
    <mergeCell ref="C52:D52"/>
    <mergeCell ref="E3:G3"/>
    <mergeCell ref="C59:D59"/>
    <mergeCell ref="B3:D3"/>
    <mergeCell ref="C14:D14"/>
    <mergeCell ref="C46:D46"/>
    <mergeCell ref="B25:D25"/>
    <mergeCell ref="B5:D6"/>
    <mergeCell ref="C151:H151"/>
    <mergeCell ref="C152:I152"/>
    <mergeCell ref="B142:D142"/>
    <mergeCell ref="C40:D40"/>
    <mergeCell ref="C34:D34"/>
    <mergeCell ref="C138:D138"/>
    <mergeCell ref="C74:D74"/>
    <mergeCell ref="C66:D66"/>
    <mergeCell ref="C128:D128"/>
    <mergeCell ref="C83:D83"/>
    <mergeCell ref="C133:D133"/>
    <mergeCell ref="C73:D73"/>
    <mergeCell ref="C67:D67"/>
    <mergeCell ref="B148:G14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rowBreaks count="1" manualBreakCount="1">
    <brk id="72" min="1" max="24" man="1"/>
  </rowBreaks>
  <colBreaks count="1" manualBreakCount="1">
    <brk id="12" min="1" max="148" man="1"/>
  </colBreaks>
  <ignoredErrors>
    <ignoredError sqref="G12:L12 G90:L90 G95:K95 G100:L100 G89:J89 G94:K94 G99:J99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3">
    <tabColor theme="5"/>
  </sheetPr>
  <dimension ref="A1:AJ111"/>
  <sheetViews>
    <sheetView showGridLines="0" showZeros="0" defaultGridColor="0" colorId="55" zoomScaleNormal="100" zoomScaleSheetLayoutView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9" sqref="D9"/>
    </sheetView>
  </sheetViews>
  <sheetFormatPr defaultRowHeight="12.45"/>
  <cols>
    <col min="1" max="1" width="8.84375" customWidth="1"/>
    <col min="2" max="2" width="3.23046875" style="30" customWidth="1"/>
    <col min="3" max="3" width="29.4609375" customWidth="1"/>
    <col min="4" max="4" width="9.07421875" customWidth="1"/>
    <col min="5" max="5" width="5.53515625" customWidth="1"/>
    <col min="6" max="6" width="9.07421875" customWidth="1"/>
    <col min="7" max="7" width="5.53515625" customWidth="1"/>
    <col min="8" max="8" width="9.07421875" customWidth="1"/>
    <col min="9" max="9" width="5.53515625" customWidth="1"/>
    <col min="10" max="10" width="9.07421875" customWidth="1"/>
    <col min="11" max="11" width="5.53515625" customWidth="1"/>
    <col min="12" max="12" width="9.07421875" customWidth="1"/>
    <col min="13" max="13" width="5.53515625" customWidth="1"/>
    <col min="14" max="14" width="9.07421875" customWidth="1"/>
    <col min="15" max="15" width="5.53515625" customWidth="1"/>
    <col min="16" max="16" width="9.07421875" customWidth="1"/>
    <col min="17" max="17" width="5.53515625" customWidth="1"/>
    <col min="18" max="18" width="9.07421875" customWidth="1"/>
    <col min="19" max="19" width="5.53515625" customWidth="1"/>
    <col min="20" max="20" width="2.53515625" customWidth="1"/>
    <col min="21" max="22" width="9.07421875" customWidth="1"/>
    <col min="23" max="29" width="7.84375" customWidth="1"/>
    <col min="34" max="34" width="32" customWidth="1"/>
    <col min="35" max="35" width="13.07421875" customWidth="1"/>
  </cols>
  <sheetData>
    <row r="1" spans="1:36">
      <c r="C1" s="1"/>
    </row>
    <row r="2" spans="1:36" ht="12" customHeight="1">
      <c r="U2" s="206"/>
    </row>
    <row r="3" spans="1:36" ht="12" customHeight="1">
      <c r="B3" s="151" t="s">
        <v>0</v>
      </c>
      <c r="C3" t="s">
        <v>0</v>
      </c>
      <c r="U3" s="207"/>
      <c r="V3" s="42"/>
      <c r="W3" s="42"/>
      <c r="X3" s="42"/>
      <c r="Y3" s="42"/>
      <c r="Z3" s="42"/>
    </row>
    <row r="4" spans="1:36" ht="10.5" customHeight="1">
      <c r="B4" s="287" t="s">
        <v>186</v>
      </c>
      <c r="C4" s="10"/>
      <c r="D4" s="209" t="s">
        <v>45</v>
      </c>
      <c r="E4" s="46"/>
      <c r="F4" s="10"/>
      <c r="G4" s="46"/>
      <c r="H4" s="1"/>
      <c r="I4" s="46"/>
      <c r="J4" s="209" t="s">
        <v>44</v>
      </c>
      <c r="K4" s="46"/>
      <c r="L4" s="18" t="s">
        <v>0</v>
      </c>
      <c r="M4" s="46"/>
      <c r="N4" s="18" t="s">
        <v>0</v>
      </c>
      <c r="O4" s="46"/>
      <c r="P4" s="18" t="s">
        <v>0</v>
      </c>
      <c r="Q4" s="46"/>
      <c r="R4" s="18" t="s">
        <v>0</v>
      </c>
      <c r="S4" s="46"/>
      <c r="T4" s="10"/>
      <c r="U4" s="207"/>
    </row>
    <row r="5" spans="1:36">
      <c r="B5" s="702">
        <f>'T2 Investoinnit, rahoitus'!B3:C3</f>
        <v>0</v>
      </c>
      <c r="C5" s="702"/>
      <c r="D5" s="702">
        <f>'T2 Investoinnit, rahoitus'!E3</f>
        <v>0</v>
      </c>
      <c r="E5" s="702"/>
      <c r="F5" s="702"/>
      <c r="G5" s="702"/>
      <c r="H5" s="702"/>
      <c r="I5" s="702"/>
      <c r="J5" s="697">
        <f>'T2 Investoinnit, rahoitus'!H3</f>
        <v>0</v>
      </c>
      <c r="K5" s="697"/>
      <c r="L5" s="697"/>
      <c r="M5" s="98"/>
      <c r="N5" s="13"/>
      <c r="O5" s="98"/>
      <c r="P5" s="13"/>
      <c r="Q5" s="98"/>
      <c r="R5" s="13"/>
      <c r="S5" s="98"/>
      <c r="T5" s="14"/>
      <c r="U5" s="740"/>
      <c r="V5" s="740"/>
      <c r="W5" s="740"/>
      <c r="X5" s="740"/>
      <c r="Y5" s="740"/>
      <c r="Z5" s="740"/>
      <c r="AI5" s="4"/>
      <c r="AJ5" s="4"/>
    </row>
    <row r="6" spans="1:36" ht="4.5" customHeight="1" thickBot="1">
      <c r="D6" s="267"/>
      <c r="E6" s="267"/>
      <c r="F6" s="9"/>
      <c r="U6" s="740"/>
      <c r="V6" s="740"/>
      <c r="W6" s="740"/>
      <c r="X6" s="740"/>
      <c r="Y6" s="740"/>
      <c r="Z6" s="740"/>
      <c r="AA6" s="1"/>
      <c r="AB6" s="1"/>
      <c r="AC6" s="1"/>
      <c r="AD6" s="1"/>
      <c r="AE6" s="1"/>
      <c r="AF6" s="1"/>
      <c r="AG6" s="1"/>
      <c r="AH6" s="1"/>
      <c r="AI6" s="4"/>
      <c r="AJ6" s="4"/>
    </row>
    <row r="7" spans="1:36" ht="12.75" customHeight="1">
      <c r="B7" s="817" t="s">
        <v>187</v>
      </c>
      <c r="C7" s="818"/>
      <c r="D7" s="819" t="s">
        <v>78</v>
      </c>
      <c r="E7" s="820"/>
      <c r="F7" s="821" t="s">
        <v>4</v>
      </c>
      <c r="G7" s="820"/>
      <c r="H7" s="821" t="s">
        <v>21</v>
      </c>
      <c r="I7" s="820"/>
      <c r="J7" s="821" t="s">
        <v>18</v>
      </c>
      <c r="K7" s="820"/>
      <c r="L7" s="821" t="s">
        <v>25</v>
      </c>
      <c r="M7" s="820"/>
      <c r="N7" s="821" t="s">
        <v>26</v>
      </c>
      <c r="O7" s="820"/>
      <c r="P7" s="821" t="s">
        <v>27</v>
      </c>
      <c r="Q7" s="820"/>
      <c r="R7" s="821" t="s">
        <v>33</v>
      </c>
      <c r="S7" s="820"/>
      <c r="T7" s="15"/>
      <c r="U7" s="580"/>
      <c r="V7" s="581"/>
      <c r="W7" s="582" t="s">
        <v>143</v>
      </c>
      <c r="X7" s="582"/>
      <c r="Y7" s="582"/>
      <c r="Z7" s="582"/>
      <c r="AA7" s="582"/>
      <c r="AB7" s="582"/>
      <c r="AC7" s="583"/>
      <c r="AD7" s="584"/>
      <c r="AE7" s="584"/>
      <c r="AF7" s="584"/>
      <c r="AG7" s="584"/>
      <c r="AH7" s="585"/>
      <c r="AI7" s="4"/>
      <c r="AJ7" s="4"/>
    </row>
    <row r="8" spans="1:36" ht="18" customHeight="1" thickBot="1">
      <c r="B8" s="822"/>
      <c r="C8" s="823"/>
      <c r="D8" s="824">
        <f>'T2 Investoinnit, rahoitus'!E6</f>
        <v>2023</v>
      </c>
      <c r="E8" s="825" t="s">
        <v>32</v>
      </c>
      <c r="F8" s="826">
        <f>'T2 Investoinnit, rahoitus'!F6</f>
        <v>2024</v>
      </c>
      <c r="G8" s="825" t="s">
        <v>32</v>
      </c>
      <c r="H8" s="826">
        <f>'T2 Investoinnit, rahoitus'!G6</f>
        <v>2025</v>
      </c>
      <c r="I8" s="825" t="s">
        <v>32</v>
      </c>
      <c r="J8" s="826">
        <f>'T2 Investoinnit, rahoitus'!H6</f>
        <v>2026</v>
      </c>
      <c r="K8" s="825" t="s">
        <v>32</v>
      </c>
      <c r="L8" s="826">
        <f>'T2 Investoinnit, rahoitus'!I6</f>
        <v>2027</v>
      </c>
      <c r="M8" s="825" t="s">
        <v>32</v>
      </c>
      <c r="N8" s="826">
        <f>'T2 Investoinnit, rahoitus'!J6</f>
        <v>2028</v>
      </c>
      <c r="O8" s="825" t="s">
        <v>32</v>
      </c>
      <c r="P8" s="826">
        <f>'T2 Investoinnit, rahoitus'!K6</f>
        <v>2029</v>
      </c>
      <c r="Q8" s="825" t="s">
        <v>32</v>
      </c>
      <c r="R8" s="826">
        <f>'T2 Investoinnit, rahoitus'!L6</f>
        <v>2030</v>
      </c>
      <c r="S8" s="825" t="s">
        <v>32</v>
      </c>
      <c r="T8" s="16"/>
      <c r="U8" s="586"/>
      <c r="V8" s="420"/>
      <c r="W8" s="420"/>
      <c r="X8" s="420"/>
      <c r="Y8" s="420"/>
      <c r="Z8" s="420"/>
      <c r="AA8" s="420"/>
      <c r="AB8" s="420"/>
      <c r="AC8" s="420"/>
      <c r="AD8" s="420"/>
      <c r="AE8" s="420">
        <v>0</v>
      </c>
      <c r="AF8" s="420"/>
      <c r="AG8" s="420"/>
      <c r="AH8" s="575"/>
      <c r="AI8" s="4"/>
      <c r="AJ8" s="4"/>
    </row>
    <row r="9" spans="1:36" ht="12" customHeight="1">
      <c r="B9" s="248" t="s">
        <v>8</v>
      </c>
      <c r="C9" s="242" t="s">
        <v>266</v>
      </c>
      <c r="D9" s="431">
        <v>0</v>
      </c>
      <c r="E9" s="432">
        <f ca="1">IF(D$87=0,0,100*D9/D$87)</f>
        <v>0</v>
      </c>
      <c r="F9" s="433">
        <f t="shared" ref="F9:R9" si="0">F10*F11</f>
        <v>0</v>
      </c>
      <c r="G9" s="432">
        <f ca="1">IF(F$87=0,0,100*F9/F$87)</f>
        <v>0</v>
      </c>
      <c r="H9" s="433">
        <f t="shared" si="0"/>
        <v>0</v>
      </c>
      <c r="I9" s="432">
        <f ca="1">IF(H$87=0,0,100*H9/H$87)</f>
        <v>0</v>
      </c>
      <c r="J9" s="433">
        <f t="shared" si="0"/>
        <v>0</v>
      </c>
      <c r="K9" s="432">
        <f ca="1">IF(J$87=0,0,100*J9/J$87)</f>
        <v>0</v>
      </c>
      <c r="L9" s="433">
        <f>L10*L11</f>
        <v>0</v>
      </c>
      <c r="M9" s="432">
        <f ca="1">IF(L$87=0,0,100*L9/L$87)</f>
        <v>0</v>
      </c>
      <c r="N9" s="433">
        <f t="shared" si="0"/>
        <v>0</v>
      </c>
      <c r="O9" s="432">
        <f ca="1">IF(N$87=0,0,100*N9/N$87)</f>
        <v>0</v>
      </c>
      <c r="P9" s="433">
        <f t="shared" si="0"/>
        <v>0</v>
      </c>
      <c r="Q9" s="432">
        <f ca="1">IF(P$87=0,0,100*P9/P$87)</f>
        <v>0</v>
      </c>
      <c r="R9" s="433">
        <f t="shared" si="0"/>
        <v>0</v>
      </c>
      <c r="S9" s="432">
        <f ca="1">IF(R$87=0,0,100*R9/R$87)</f>
        <v>0</v>
      </c>
      <c r="T9" s="215"/>
      <c r="U9" s="745" t="s">
        <v>171</v>
      </c>
      <c r="V9" s="746"/>
      <c r="W9" s="746"/>
      <c r="X9" s="746"/>
      <c r="Y9" s="746"/>
      <c r="Z9" s="746"/>
      <c r="AA9" s="746"/>
      <c r="AB9" s="420"/>
      <c r="AC9" s="420"/>
      <c r="AD9" s="420"/>
      <c r="AE9" s="420">
        <v>0</v>
      </c>
      <c r="AF9" s="420"/>
      <c r="AG9" s="420"/>
      <c r="AH9" s="575"/>
      <c r="AI9" s="17"/>
      <c r="AJ9" s="17"/>
    </row>
    <row r="10" spans="1:36" ht="11.25" customHeight="1">
      <c r="A10" s="2"/>
      <c r="B10" s="357"/>
      <c r="C10" s="255" t="s">
        <v>51</v>
      </c>
      <c r="D10" s="434">
        <v>0</v>
      </c>
      <c r="E10" s="435"/>
      <c r="F10" s="436">
        <f>D10</f>
        <v>0</v>
      </c>
      <c r="G10" s="437"/>
      <c r="H10" s="436">
        <f>F10</f>
        <v>0</v>
      </c>
      <c r="I10" s="437"/>
      <c r="J10" s="436">
        <f>H10</f>
        <v>0</v>
      </c>
      <c r="K10" s="437"/>
      <c r="L10" s="436">
        <f>J10</f>
        <v>0</v>
      </c>
      <c r="M10" s="437"/>
      <c r="N10" s="436">
        <f>L10</f>
        <v>0</v>
      </c>
      <c r="O10" s="437"/>
      <c r="P10" s="436">
        <f>N10</f>
        <v>0</v>
      </c>
      <c r="Q10" s="437"/>
      <c r="R10" s="436">
        <f>P10</f>
        <v>0</v>
      </c>
      <c r="S10" s="435"/>
      <c r="T10" s="213"/>
      <c r="U10" s="421">
        <f>$F$8</f>
        <v>2024</v>
      </c>
      <c r="V10" s="421">
        <f>$H$8</f>
        <v>2025</v>
      </c>
      <c r="W10" s="421">
        <f>$J$8</f>
        <v>2026</v>
      </c>
      <c r="X10" s="421">
        <f>$L$8</f>
        <v>2027</v>
      </c>
      <c r="Y10" s="421">
        <f>$N$8</f>
        <v>2028</v>
      </c>
      <c r="Z10" s="421">
        <f>$P$8</f>
        <v>2029</v>
      </c>
      <c r="AA10" s="421">
        <f>$R$8</f>
        <v>2030</v>
      </c>
      <c r="AB10" s="420"/>
      <c r="AC10" s="420"/>
      <c r="AD10" s="420"/>
      <c r="AE10" s="420"/>
      <c r="AF10" s="420"/>
      <c r="AG10" s="420"/>
      <c r="AH10" s="575"/>
      <c r="AI10" s="17"/>
      <c r="AJ10" s="17"/>
    </row>
    <row r="11" spans="1:36" ht="11.25" customHeight="1" thickBot="1">
      <c r="A11" s="96"/>
      <c r="B11" s="358"/>
      <c r="C11" s="256" t="s">
        <v>52</v>
      </c>
      <c r="D11" s="438">
        <f>IF(D10=0,0,D9/D10)</f>
        <v>0</v>
      </c>
      <c r="E11" s="439"/>
      <c r="F11" s="440">
        <f>D11+D11*U11</f>
        <v>0</v>
      </c>
      <c r="G11" s="437"/>
      <c r="H11" s="436">
        <f>F11+F11*V11</f>
        <v>0</v>
      </c>
      <c r="I11" s="437"/>
      <c r="J11" s="436">
        <f>H11+H11*W11</f>
        <v>0</v>
      </c>
      <c r="K11" s="437"/>
      <c r="L11" s="436">
        <f>J11+J11*X11</f>
        <v>0</v>
      </c>
      <c r="M11" s="437"/>
      <c r="N11" s="436">
        <f>L11+L11*Y11</f>
        <v>0</v>
      </c>
      <c r="O11" s="437"/>
      <c r="P11" s="436">
        <f>N11+N11*Z11</f>
        <v>0</v>
      </c>
      <c r="Q11" s="437"/>
      <c r="R11" s="436">
        <f>P11+P11*AA11</f>
        <v>0</v>
      </c>
      <c r="S11" s="435"/>
      <c r="T11" s="213"/>
      <c r="U11" s="340">
        <v>0.03</v>
      </c>
      <c r="V11" s="340">
        <f t="shared" ref="V11:AA11" si="1">U11</f>
        <v>0.03</v>
      </c>
      <c r="W11" s="340">
        <f t="shared" si="1"/>
        <v>0.03</v>
      </c>
      <c r="X11" s="340">
        <f t="shared" si="1"/>
        <v>0.03</v>
      </c>
      <c r="Y11" s="340">
        <f t="shared" si="1"/>
        <v>0.03</v>
      </c>
      <c r="Z11" s="340">
        <f t="shared" si="1"/>
        <v>0.03</v>
      </c>
      <c r="AA11" s="340">
        <f t="shared" si="1"/>
        <v>0.03</v>
      </c>
      <c r="AB11" s="420"/>
      <c r="AC11" s="420"/>
      <c r="AD11" s="420"/>
      <c r="AE11" s="420"/>
      <c r="AF11" s="420"/>
      <c r="AG11" s="420"/>
      <c r="AH11" s="575"/>
      <c r="AI11" s="17"/>
      <c r="AJ11" s="17"/>
    </row>
    <row r="12" spans="1:36" ht="12" customHeight="1">
      <c r="A12" s="96"/>
      <c r="B12" s="248" t="s">
        <v>9</v>
      </c>
      <c r="C12" s="242" t="s">
        <v>267</v>
      </c>
      <c r="D12" s="431">
        <v>0</v>
      </c>
      <c r="E12" s="432">
        <f ca="1">IF(D$87=0,0,100*D12/D$87)</f>
        <v>0</v>
      </c>
      <c r="F12" s="433">
        <f>F13*F14</f>
        <v>0</v>
      </c>
      <c r="G12" s="432">
        <f ca="1">IF(F$87=0,0,100*F12/F$87)</f>
        <v>0</v>
      </c>
      <c r="H12" s="433">
        <f>H13*H14</f>
        <v>0</v>
      </c>
      <c r="I12" s="432">
        <f ca="1">IF(H$87=0,0,100*H12/H$87)</f>
        <v>0</v>
      </c>
      <c r="J12" s="433">
        <f>J13*J14</f>
        <v>0</v>
      </c>
      <c r="K12" s="432">
        <f ca="1">IF(J$87=0,0,100*J12/J$87)</f>
        <v>0</v>
      </c>
      <c r="L12" s="433">
        <f>L13*L14</f>
        <v>0</v>
      </c>
      <c r="M12" s="432">
        <f ca="1">IF(L$87=0,0,100*L12/L$87)</f>
        <v>0</v>
      </c>
      <c r="N12" s="433">
        <f>N13*N14</f>
        <v>0</v>
      </c>
      <c r="O12" s="432">
        <f ca="1">IF(N$87=0,0,100*N12/N$87)</f>
        <v>0</v>
      </c>
      <c r="P12" s="433">
        <f>P13*P14</f>
        <v>0</v>
      </c>
      <c r="Q12" s="432">
        <f ca="1">IF(P$87=0,0,100*P12/P$87)</f>
        <v>0</v>
      </c>
      <c r="R12" s="433">
        <f>R13*R14</f>
        <v>0</v>
      </c>
      <c r="S12" s="432">
        <f ca="1">IF(R$87=0,0,100*R12/R$87)</f>
        <v>0</v>
      </c>
      <c r="T12" s="215"/>
      <c r="U12" s="586">
        <v>0</v>
      </c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  <c r="AG12" s="420"/>
      <c r="AH12" s="575"/>
      <c r="AI12" s="17"/>
      <c r="AJ12" s="17"/>
    </row>
    <row r="13" spans="1:36" s="96" customFormat="1" ht="11.25" customHeight="1">
      <c r="A13"/>
      <c r="B13" s="359"/>
      <c r="C13" s="255" t="s">
        <v>55</v>
      </c>
      <c r="D13" s="434">
        <v>0</v>
      </c>
      <c r="E13" s="435"/>
      <c r="F13" s="436">
        <f>D13</f>
        <v>0</v>
      </c>
      <c r="G13" s="437"/>
      <c r="H13" s="436">
        <f>F13</f>
        <v>0</v>
      </c>
      <c r="I13" s="437"/>
      <c r="J13" s="436">
        <f>H13</f>
        <v>0</v>
      </c>
      <c r="K13" s="437"/>
      <c r="L13" s="436">
        <f>J13</f>
        <v>0</v>
      </c>
      <c r="M13" s="437"/>
      <c r="N13" s="436">
        <f>L13</f>
        <v>0</v>
      </c>
      <c r="O13" s="437"/>
      <c r="P13" s="436">
        <f>N13</f>
        <v>0</v>
      </c>
      <c r="Q13" s="437"/>
      <c r="R13" s="436">
        <f>P13</f>
        <v>0</v>
      </c>
      <c r="S13" s="435"/>
      <c r="T13" s="213"/>
      <c r="U13" s="421">
        <f>$F$8</f>
        <v>2024</v>
      </c>
      <c r="V13" s="421">
        <f>$H$8</f>
        <v>2025</v>
      </c>
      <c r="W13" s="421">
        <f>$J$8</f>
        <v>2026</v>
      </c>
      <c r="X13" s="421">
        <f>$L$8</f>
        <v>2027</v>
      </c>
      <c r="Y13" s="421">
        <f>$N$8</f>
        <v>2028</v>
      </c>
      <c r="Z13" s="421">
        <f>$P$8</f>
        <v>2029</v>
      </c>
      <c r="AA13" s="421">
        <f>$R$8</f>
        <v>2030</v>
      </c>
      <c r="AB13" s="420"/>
      <c r="AC13" s="420"/>
      <c r="AD13" s="420"/>
      <c r="AE13" s="420"/>
      <c r="AF13" s="420"/>
      <c r="AG13" s="420"/>
      <c r="AH13" s="575"/>
      <c r="AI13" s="214"/>
      <c r="AJ13" s="214"/>
    </row>
    <row r="14" spans="1:36" s="96" customFormat="1" ht="11.25" customHeight="1" thickBot="1">
      <c r="B14" s="360"/>
      <c r="C14" s="257" t="s">
        <v>56</v>
      </c>
      <c r="D14" s="441">
        <f>IF(D13=0,0,D12/D13)</f>
        <v>0</v>
      </c>
      <c r="E14" s="442"/>
      <c r="F14" s="443">
        <f>D14+D14*U14</f>
        <v>0</v>
      </c>
      <c r="G14" s="437"/>
      <c r="H14" s="443">
        <f>F14+F14*V14</f>
        <v>0</v>
      </c>
      <c r="I14" s="437"/>
      <c r="J14" s="443">
        <f>H14+H14*W14</f>
        <v>0</v>
      </c>
      <c r="K14" s="437"/>
      <c r="L14" s="443">
        <f>J14+J14*X14</f>
        <v>0</v>
      </c>
      <c r="M14" s="437"/>
      <c r="N14" s="443">
        <f>L14+L14*Y14</f>
        <v>0</v>
      </c>
      <c r="O14" s="437"/>
      <c r="P14" s="443">
        <f>N14+N14*Z14</f>
        <v>0</v>
      </c>
      <c r="Q14" s="437"/>
      <c r="R14" s="443">
        <f>P14+P14*AA14</f>
        <v>0</v>
      </c>
      <c r="S14" s="435"/>
      <c r="T14" s="213"/>
      <c r="U14" s="340">
        <v>0.03</v>
      </c>
      <c r="V14" s="340">
        <f t="shared" ref="V14:AA15" si="2">U14</f>
        <v>0.03</v>
      </c>
      <c r="W14" s="340">
        <f t="shared" si="2"/>
        <v>0.03</v>
      </c>
      <c r="X14" s="340">
        <f t="shared" si="2"/>
        <v>0.03</v>
      </c>
      <c r="Y14" s="340">
        <f t="shared" si="2"/>
        <v>0.03</v>
      </c>
      <c r="Z14" s="340">
        <f t="shared" si="2"/>
        <v>0.03</v>
      </c>
      <c r="AA14" s="340">
        <f t="shared" si="2"/>
        <v>0.03</v>
      </c>
      <c r="AB14" s="420"/>
      <c r="AC14" s="420"/>
      <c r="AD14" s="420"/>
      <c r="AE14" s="420"/>
      <c r="AF14" s="420"/>
      <c r="AG14" s="420"/>
      <c r="AH14" s="575"/>
      <c r="AI14" s="214"/>
      <c r="AJ14" s="214"/>
    </row>
    <row r="15" spans="1:36" ht="12" customHeight="1" thickBot="1">
      <c r="A15" s="2"/>
      <c r="B15" s="250" t="s">
        <v>10</v>
      </c>
      <c r="C15" s="243" t="s">
        <v>268</v>
      </c>
      <c r="D15" s="444">
        <v>0</v>
      </c>
      <c r="E15" s="432">
        <f ca="1">IF(D$87=0,0,100*D15/D$87)</f>
        <v>0</v>
      </c>
      <c r="F15" s="445">
        <f>D15+D15*U15</f>
        <v>0</v>
      </c>
      <c r="G15" s="446">
        <f ca="1">IF(F$87=0,0,100*F15/F$87)</f>
        <v>0</v>
      </c>
      <c r="H15" s="445">
        <f>F15+F15*V15</f>
        <v>0</v>
      </c>
      <c r="I15" s="446">
        <f ca="1">IF(H$87=0,0,100*H15/H$87)</f>
        <v>0</v>
      </c>
      <c r="J15" s="445">
        <f>H15+H15*W15</f>
        <v>0</v>
      </c>
      <c r="K15" s="446">
        <f ca="1">IF(J$87=0,0,100*J15/J$87)</f>
        <v>0</v>
      </c>
      <c r="L15" s="445">
        <f>J15+J15*X15</f>
        <v>0</v>
      </c>
      <c r="M15" s="446">
        <f ca="1">IF(L$87=0,0,100*L15/L$87)</f>
        <v>0</v>
      </c>
      <c r="N15" s="445">
        <f>L15+L15*Y15</f>
        <v>0</v>
      </c>
      <c r="O15" s="446">
        <f ca="1">IF(N$87=0,0,100*N15/N$87)</f>
        <v>0</v>
      </c>
      <c r="P15" s="445">
        <f>N15+N15*Z15</f>
        <v>0</v>
      </c>
      <c r="Q15" s="446">
        <f ca="1">IF(P$87=0,0,100*P15/P$87)</f>
        <v>0</v>
      </c>
      <c r="R15" s="445">
        <f>P15+P15*AA15</f>
        <v>0</v>
      </c>
      <c r="S15" s="432">
        <f ca="1">IF(R$87=0,0,100*R15/R$87)</f>
        <v>0</v>
      </c>
      <c r="T15" s="215"/>
      <c r="U15" s="340">
        <v>0.03</v>
      </c>
      <c r="V15" s="340">
        <f t="shared" si="2"/>
        <v>0.03</v>
      </c>
      <c r="W15" s="340">
        <f t="shared" si="2"/>
        <v>0.03</v>
      </c>
      <c r="X15" s="340">
        <f t="shared" si="2"/>
        <v>0.03</v>
      </c>
      <c r="Y15" s="340">
        <f t="shared" si="2"/>
        <v>0.03</v>
      </c>
      <c r="Z15" s="340">
        <f t="shared" si="2"/>
        <v>0.03</v>
      </c>
      <c r="AA15" s="340">
        <f t="shared" si="2"/>
        <v>0.03</v>
      </c>
      <c r="AB15" s="420"/>
      <c r="AC15" s="420"/>
      <c r="AD15" s="420"/>
      <c r="AE15" s="420"/>
      <c r="AF15" s="420"/>
      <c r="AG15" s="420"/>
      <c r="AH15" s="575"/>
      <c r="AI15" s="17"/>
      <c r="AJ15" s="17"/>
    </row>
    <row r="16" spans="1:36" ht="12" customHeight="1">
      <c r="A16" s="2"/>
      <c r="B16" s="248" t="s">
        <v>11</v>
      </c>
      <c r="C16" s="242" t="s">
        <v>269</v>
      </c>
      <c r="D16" s="447">
        <v>0</v>
      </c>
      <c r="E16" s="432">
        <f ca="1">IF(D$87=0,0,100*D16/D$87)</f>
        <v>0</v>
      </c>
      <c r="F16" s="448">
        <f>F17+F20+F23</f>
        <v>0</v>
      </c>
      <c r="G16" s="432">
        <f ca="1">IF(F$87=0,0,100*F16/F$87)</f>
        <v>0</v>
      </c>
      <c r="H16" s="448">
        <f t="shared" ref="H16:P16" si="3">H17+H20+H23</f>
        <v>0</v>
      </c>
      <c r="I16" s="432">
        <f ca="1">IF(H$87=0,0,100*H16/H$87)</f>
        <v>0</v>
      </c>
      <c r="J16" s="448">
        <f t="shared" si="3"/>
        <v>0</v>
      </c>
      <c r="K16" s="432">
        <f ca="1">IF(J$87=0,0,100*J16/J$87)</f>
        <v>0</v>
      </c>
      <c r="L16" s="448">
        <f>L17+L20+L23</f>
        <v>0</v>
      </c>
      <c r="M16" s="432">
        <f ca="1">IF(L$87=0,0,100*L16/L$87)</f>
        <v>0</v>
      </c>
      <c r="N16" s="448">
        <f t="shared" si="3"/>
        <v>0</v>
      </c>
      <c r="O16" s="432">
        <f ca="1">IF(N$87=0,0,100*N16/N$87)</f>
        <v>0</v>
      </c>
      <c r="P16" s="448">
        <f t="shared" si="3"/>
        <v>0</v>
      </c>
      <c r="Q16" s="432">
        <f ca="1">IF(P$87=0,0,100*P16/P$87)</f>
        <v>0</v>
      </c>
      <c r="R16" s="448">
        <f>R17+R20+R23</f>
        <v>0</v>
      </c>
      <c r="S16" s="432">
        <f ca="1">IF(R$87=0,0,100*R16/R$87)</f>
        <v>0</v>
      </c>
      <c r="T16" s="215"/>
      <c r="U16" s="586"/>
      <c r="V16" s="420"/>
      <c r="W16" s="420"/>
      <c r="X16" s="420"/>
      <c r="Y16" s="420"/>
      <c r="Z16" s="420"/>
      <c r="AA16" s="420"/>
      <c r="AB16" s="420"/>
      <c r="AC16" s="420"/>
      <c r="AD16" s="420"/>
      <c r="AE16" s="420"/>
      <c r="AF16" s="420"/>
      <c r="AG16" s="420"/>
      <c r="AH16" s="575"/>
      <c r="AI16" s="17"/>
      <c r="AJ16" s="17"/>
    </row>
    <row r="17" spans="1:36" ht="11.25" customHeight="1">
      <c r="A17" s="96"/>
      <c r="B17" s="357"/>
      <c r="C17" s="827" t="s">
        <v>270</v>
      </c>
      <c r="D17" s="449">
        <v>0</v>
      </c>
      <c r="E17" s="435"/>
      <c r="F17" s="450">
        <f>F18*F19</f>
        <v>0</v>
      </c>
      <c r="G17" s="437"/>
      <c r="H17" s="450">
        <f>H18*H19</f>
        <v>0</v>
      </c>
      <c r="I17" s="437"/>
      <c r="J17" s="450">
        <f>J18*J19</f>
        <v>0</v>
      </c>
      <c r="K17" s="437"/>
      <c r="L17" s="450">
        <f>L18*L19</f>
        <v>0</v>
      </c>
      <c r="M17" s="437"/>
      <c r="N17" s="450">
        <f>N18*N19</f>
        <v>0</v>
      </c>
      <c r="O17" s="437"/>
      <c r="P17" s="450">
        <f>P18*P19</f>
        <v>0</v>
      </c>
      <c r="Q17" s="437"/>
      <c r="R17" s="450">
        <f>R18*R19</f>
        <v>0</v>
      </c>
      <c r="S17" s="435"/>
      <c r="T17" s="213"/>
      <c r="U17" s="586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575"/>
      <c r="AI17" s="17"/>
      <c r="AJ17" s="17"/>
    </row>
    <row r="18" spans="1:36" ht="11.25" customHeight="1">
      <c r="B18" s="357"/>
      <c r="C18" s="255" t="s">
        <v>150</v>
      </c>
      <c r="D18" s="449"/>
      <c r="E18" s="435"/>
      <c r="F18" s="451">
        <v>0</v>
      </c>
      <c r="G18" s="437"/>
      <c r="H18" s="451">
        <f>F18</f>
        <v>0</v>
      </c>
      <c r="I18" s="437"/>
      <c r="J18" s="451">
        <f>H18</f>
        <v>0</v>
      </c>
      <c r="K18" s="437"/>
      <c r="L18" s="451">
        <f>J18</f>
        <v>0</v>
      </c>
      <c r="M18" s="437"/>
      <c r="N18" s="451">
        <f>L18</f>
        <v>0</v>
      </c>
      <c r="O18" s="437"/>
      <c r="P18" s="451">
        <f>N18</f>
        <v>0</v>
      </c>
      <c r="Q18" s="437"/>
      <c r="R18" s="451">
        <f>P18</f>
        <v>0</v>
      </c>
      <c r="S18" s="435"/>
      <c r="T18" s="213"/>
      <c r="U18" s="421">
        <f>$F$8</f>
        <v>2024</v>
      </c>
      <c r="V18" s="421">
        <f>$H$8</f>
        <v>2025</v>
      </c>
      <c r="W18" s="421">
        <f>$J$8</f>
        <v>2026</v>
      </c>
      <c r="X18" s="421">
        <f>$L$8</f>
        <v>2027</v>
      </c>
      <c r="Y18" s="421">
        <f>$N$8</f>
        <v>2028</v>
      </c>
      <c r="Z18" s="421">
        <f>$P$8</f>
        <v>2029</v>
      </c>
      <c r="AA18" s="421">
        <f>$R$8</f>
        <v>2030</v>
      </c>
      <c r="AB18" s="420"/>
      <c r="AC18" s="420"/>
      <c r="AD18" s="420"/>
      <c r="AE18" s="420"/>
      <c r="AF18" s="420"/>
      <c r="AG18" s="420"/>
      <c r="AH18" s="575"/>
      <c r="AI18" s="17"/>
      <c r="AJ18" s="17"/>
    </row>
    <row r="19" spans="1:36" ht="11.25" customHeight="1">
      <c r="A19" s="96"/>
      <c r="B19" s="357"/>
      <c r="C19" s="255" t="s">
        <v>146</v>
      </c>
      <c r="D19" s="449"/>
      <c r="E19" s="435"/>
      <c r="F19" s="436">
        <v>0</v>
      </c>
      <c r="G19" s="437"/>
      <c r="H19" s="436">
        <f>F19+F19*V19</f>
        <v>0</v>
      </c>
      <c r="I19" s="437"/>
      <c r="J19" s="436">
        <f>H19+H19*W19</f>
        <v>0</v>
      </c>
      <c r="K19" s="437"/>
      <c r="L19" s="436">
        <f>J19+J19*X19</f>
        <v>0</v>
      </c>
      <c r="M19" s="437"/>
      <c r="N19" s="436">
        <f>L19+L19*Y19</f>
        <v>0</v>
      </c>
      <c r="O19" s="437"/>
      <c r="P19" s="436">
        <f>N19+N19*Z19</f>
        <v>0</v>
      </c>
      <c r="Q19" s="437"/>
      <c r="R19" s="436">
        <f>P19+P19*AA19</f>
        <v>0</v>
      </c>
      <c r="S19" s="435"/>
      <c r="T19" s="213"/>
      <c r="U19" s="587"/>
      <c r="V19" s="340">
        <v>0.03</v>
      </c>
      <c r="W19" s="340">
        <f>V19</f>
        <v>0.03</v>
      </c>
      <c r="X19" s="340">
        <f>W19</f>
        <v>0.03</v>
      </c>
      <c r="Y19" s="340">
        <f>X19</f>
        <v>0.03</v>
      </c>
      <c r="Z19" s="340">
        <f>Y19</f>
        <v>0.03</v>
      </c>
      <c r="AA19" s="340">
        <f>Z19</f>
        <v>0.03</v>
      </c>
      <c r="AB19" s="420"/>
      <c r="AC19" s="420"/>
      <c r="AD19" s="420"/>
      <c r="AE19" s="420"/>
      <c r="AF19" s="420"/>
      <c r="AG19" s="420"/>
      <c r="AH19" s="575"/>
      <c r="AI19" s="17"/>
      <c r="AJ19" s="17"/>
    </row>
    <row r="20" spans="1:36" ht="11.25" customHeight="1">
      <c r="A20" s="2"/>
      <c r="B20" s="357"/>
      <c r="C20" s="827" t="s">
        <v>271</v>
      </c>
      <c r="D20" s="449"/>
      <c r="E20" s="435"/>
      <c r="F20" s="450">
        <f>F21*F22</f>
        <v>0</v>
      </c>
      <c r="G20" s="437"/>
      <c r="H20" s="450">
        <f>F20</f>
        <v>0</v>
      </c>
      <c r="I20" s="437"/>
      <c r="J20" s="450">
        <f>H20</f>
        <v>0</v>
      </c>
      <c r="K20" s="437"/>
      <c r="L20" s="450">
        <f>J20</f>
        <v>0</v>
      </c>
      <c r="M20" s="437"/>
      <c r="N20" s="450">
        <f>L20</f>
        <v>0</v>
      </c>
      <c r="O20" s="437"/>
      <c r="P20" s="450">
        <f>N20</f>
        <v>0</v>
      </c>
      <c r="Q20" s="437"/>
      <c r="R20" s="450">
        <f>P20</f>
        <v>0</v>
      </c>
      <c r="S20" s="435"/>
      <c r="T20" s="213"/>
      <c r="U20" s="586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575"/>
      <c r="AI20" s="17"/>
      <c r="AJ20" s="17"/>
    </row>
    <row r="21" spans="1:36" ht="11.25" customHeight="1">
      <c r="B21" s="357"/>
      <c r="C21" s="255" t="s">
        <v>147</v>
      </c>
      <c r="D21" s="449"/>
      <c r="E21" s="435"/>
      <c r="F21" s="451">
        <v>0</v>
      </c>
      <c r="G21" s="437"/>
      <c r="H21" s="451">
        <f>F21</f>
        <v>0</v>
      </c>
      <c r="I21" s="437"/>
      <c r="J21" s="451">
        <f>H21</f>
        <v>0</v>
      </c>
      <c r="K21" s="437"/>
      <c r="L21" s="451">
        <f>J21</f>
        <v>0</v>
      </c>
      <c r="M21" s="437"/>
      <c r="N21" s="451">
        <f>L21</f>
        <v>0</v>
      </c>
      <c r="O21" s="437"/>
      <c r="P21" s="451">
        <f>N21</f>
        <v>0</v>
      </c>
      <c r="Q21" s="437"/>
      <c r="R21" s="451">
        <f>P21</f>
        <v>0</v>
      </c>
      <c r="S21" s="435"/>
      <c r="T21" s="213"/>
      <c r="U21" s="421">
        <f>$F$8</f>
        <v>2024</v>
      </c>
      <c r="V21" s="421">
        <f>$H$8</f>
        <v>2025</v>
      </c>
      <c r="W21" s="421">
        <f>$J$8</f>
        <v>2026</v>
      </c>
      <c r="X21" s="421">
        <f>$L$8</f>
        <v>2027</v>
      </c>
      <c r="Y21" s="421">
        <f>$N$8</f>
        <v>2028</v>
      </c>
      <c r="Z21" s="421">
        <f>$P$8</f>
        <v>2029</v>
      </c>
      <c r="AA21" s="421">
        <f>$R$8</f>
        <v>2030</v>
      </c>
      <c r="AB21" s="420"/>
      <c r="AC21" s="420"/>
      <c r="AD21" s="420"/>
      <c r="AE21" s="420"/>
      <c r="AF21" s="420"/>
      <c r="AG21" s="420"/>
      <c r="AH21" s="575"/>
      <c r="AI21" s="17"/>
      <c r="AJ21" s="17"/>
    </row>
    <row r="22" spans="1:36" ht="11.25" customHeight="1">
      <c r="A22" s="96"/>
      <c r="B22" s="357"/>
      <c r="C22" s="255" t="s">
        <v>146</v>
      </c>
      <c r="D22" s="449"/>
      <c r="E22" s="435"/>
      <c r="F22" s="436">
        <v>0</v>
      </c>
      <c r="G22" s="437"/>
      <c r="H22" s="436">
        <f>F22+F22*V22</f>
        <v>0</v>
      </c>
      <c r="I22" s="437"/>
      <c r="J22" s="436">
        <f>H22+H22*W22</f>
        <v>0</v>
      </c>
      <c r="K22" s="437"/>
      <c r="L22" s="436">
        <f>J22+J22*X22</f>
        <v>0</v>
      </c>
      <c r="M22" s="437"/>
      <c r="N22" s="436">
        <f>L22+L22*Y22</f>
        <v>0</v>
      </c>
      <c r="O22" s="437"/>
      <c r="P22" s="436">
        <f>N22+N22*Z22</f>
        <v>0</v>
      </c>
      <c r="Q22" s="437"/>
      <c r="R22" s="436">
        <f>P22+P22*AA22</f>
        <v>0</v>
      </c>
      <c r="S22" s="435"/>
      <c r="T22" s="213"/>
      <c r="U22" s="587"/>
      <c r="V22" s="340">
        <v>0.03</v>
      </c>
      <c r="W22" s="340">
        <f>V22</f>
        <v>0.03</v>
      </c>
      <c r="X22" s="340">
        <f>W22</f>
        <v>0.03</v>
      </c>
      <c r="Y22" s="340">
        <f>X22</f>
        <v>0.03</v>
      </c>
      <c r="Z22" s="340">
        <f>Y22</f>
        <v>0.03</v>
      </c>
      <c r="AA22" s="340">
        <f>Z22</f>
        <v>0.03</v>
      </c>
      <c r="AB22" s="420"/>
      <c r="AC22" s="420"/>
      <c r="AD22" s="420"/>
      <c r="AE22" s="420"/>
      <c r="AF22" s="420"/>
      <c r="AG22" s="420"/>
      <c r="AH22" s="575"/>
      <c r="AI22" s="17"/>
      <c r="AJ22" s="17"/>
    </row>
    <row r="23" spans="1:36" ht="11.25" customHeight="1">
      <c r="B23" s="357"/>
      <c r="C23" s="828" t="s">
        <v>272</v>
      </c>
      <c r="D23" s="449"/>
      <c r="E23" s="435"/>
      <c r="F23" s="450">
        <f>F24*F25</f>
        <v>0</v>
      </c>
      <c r="G23" s="437"/>
      <c r="H23" s="450">
        <f>H24*H25</f>
        <v>0</v>
      </c>
      <c r="I23" s="437"/>
      <c r="J23" s="450">
        <f>J24*J25</f>
        <v>0</v>
      </c>
      <c r="K23" s="437"/>
      <c r="L23" s="450">
        <f>L24*L25</f>
        <v>0</v>
      </c>
      <c r="M23" s="437"/>
      <c r="N23" s="450">
        <f>N24*N25</f>
        <v>0</v>
      </c>
      <c r="O23" s="437"/>
      <c r="P23" s="450">
        <f>P24*P25</f>
        <v>0</v>
      </c>
      <c r="Q23" s="437"/>
      <c r="R23" s="450">
        <f>R24*R25</f>
        <v>0</v>
      </c>
      <c r="S23" s="435"/>
      <c r="T23" s="213"/>
      <c r="U23" s="586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575"/>
      <c r="AI23" s="17"/>
      <c r="AJ23" s="17"/>
    </row>
    <row r="24" spans="1:36" ht="11.25" customHeight="1">
      <c r="A24" s="96"/>
      <c r="B24" s="357"/>
      <c r="C24" s="336" t="s">
        <v>162</v>
      </c>
      <c r="D24" s="449"/>
      <c r="E24" s="435"/>
      <c r="F24" s="451">
        <v>0</v>
      </c>
      <c r="G24" s="437"/>
      <c r="H24" s="451">
        <f>F24</f>
        <v>0</v>
      </c>
      <c r="I24" s="437"/>
      <c r="J24" s="451">
        <f>H24</f>
        <v>0</v>
      </c>
      <c r="K24" s="437"/>
      <c r="L24" s="451">
        <f>J24</f>
        <v>0</v>
      </c>
      <c r="M24" s="437"/>
      <c r="N24" s="451">
        <f>L24</f>
        <v>0</v>
      </c>
      <c r="O24" s="437"/>
      <c r="P24" s="451">
        <f>N24</f>
        <v>0</v>
      </c>
      <c r="Q24" s="437"/>
      <c r="R24" s="451">
        <f>P24</f>
        <v>0</v>
      </c>
      <c r="S24" s="435"/>
      <c r="T24" s="213"/>
      <c r="U24" s="421">
        <f>$F$8</f>
        <v>2024</v>
      </c>
      <c r="V24" s="421">
        <f>$H$8</f>
        <v>2025</v>
      </c>
      <c r="W24" s="421">
        <f>$J$8</f>
        <v>2026</v>
      </c>
      <c r="X24" s="421">
        <f>$L$8</f>
        <v>2027</v>
      </c>
      <c r="Y24" s="421">
        <f>$N$8</f>
        <v>2028</v>
      </c>
      <c r="Z24" s="421">
        <f>$P$8</f>
        <v>2029</v>
      </c>
      <c r="AA24" s="421">
        <f>$R$8</f>
        <v>2030</v>
      </c>
      <c r="AB24" s="420"/>
      <c r="AC24" s="420"/>
      <c r="AD24" s="420"/>
      <c r="AE24" s="420"/>
      <c r="AF24" s="420"/>
      <c r="AG24" s="420"/>
      <c r="AH24" s="575"/>
      <c r="AI24" s="17"/>
      <c r="AJ24" s="17"/>
    </row>
    <row r="25" spans="1:36" ht="11.25" customHeight="1" thickBot="1">
      <c r="B25" s="357"/>
      <c r="C25" s="336" t="s">
        <v>146</v>
      </c>
      <c r="D25" s="452"/>
      <c r="E25" s="453"/>
      <c r="F25" s="454">
        <v>0</v>
      </c>
      <c r="G25" s="455"/>
      <c r="H25" s="436">
        <f>F25+F25*V25</f>
        <v>0</v>
      </c>
      <c r="I25" s="437"/>
      <c r="J25" s="436">
        <f>H25+H25*W25</f>
        <v>0</v>
      </c>
      <c r="K25" s="437"/>
      <c r="L25" s="436">
        <f>J25+J25*X25</f>
        <v>0</v>
      </c>
      <c r="M25" s="437"/>
      <c r="N25" s="436">
        <f>L25+L25*Y25</f>
        <v>0</v>
      </c>
      <c r="O25" s="437"/>
      <c r="P25" s="436">
        <f>N25+N25*Z25</f>
        <v>0</v>
      </c>
      <c r="Q25" s="437"/>
      <c r="R25" s="436">
        <f>P25+P25*AA25</f>
        <v>0</v>
      </c>
      <c r="S25" s="453"/>
      <c r="T25" s="213"/>
      <c r="U25" s="587"/>
      <c r="V25" s="340">
        <v>0.03</v>
      </c>
      <c r="W25" s="340">
        <f>V25</f>
        <v>0.03</v>
      </c>
      <c r="X25" s="340">
        <f>W25</f>
        <v>0.03</v>
      </c>
      <c r="Y25" s="340">
        <f>X25</f>
        <v>0.03</v>
      </c>
      <c r="Z25" s="340">
        <f>Y25</f>
        <v>0.03</v>
      </c>
      <c r="AA25" s="340">
        <f>Z25</f>
        <v>0.03</v>
      </c>
      <c r="AB25" s="420"/>
      <c r="AC25" s="420"/>
      <c r="AD25" s="420"/>
      <c r="AE25" s="420"/>
      <c r="AF25" s="420"/>
      <c r="AG25" s="420"/>
      <c r="AH25" s="575"/>
      <c r="AI25" s="17"/>
      <c r="AJ25" s="17"/>
    </row>
    <row r="26" spans="1:36" ht="12" customHeight="1">
      <c r="B26" s="361" t="s">
        <v>12</v>
      </c>
      <c r="C26" s="244" t="s">
        <v>273</v>
      </c>
      <c r="D26" s="456">
        <v>0</v>
      </c>
      <c r="E26" s="457">
        <f ca="1">IF(D$87=0,0,100*D26/D$87)</f>
        <v>0</v>
      </c>
      <c r="F26" s="463">
        <f>F27*F28</f>
        <v>0</v>
      </c>
      <c r="G26" s="457">
        <f ca="1">IF(F$87=0,0,100*F26/F$87)</f>
        <v>0</v>
      </c>
      <c r="H26" s="463">
        <f>H27*H28</f>
        <v>0</v>
      </c>
      <c r="I26" s="457">
        <f ca="1">IF(H$87=0,0,100*H26/H$87)</f>
        <v>0</v>
      </c>
      <c r="J26" s="463">
        <f>J27*J28</f>
        <v>0</v>
      </c>
      <c r="K26" s="457">
        <f ca="1">IF(J$87=0,0,100*J26/J$87)</f>
        <v>0</v>
      </c>
      <c r="L26" s="463">
        <f>L27*L28</f>
        <v>0</v>
      </c>
      <c r="M26" s="457">
        <f ca="1">IF(L$87=0,0,100*L26/L$87)</f>
        <v>0</v>
      </c>
      <c r="N26" s="463">
        <f>N27*N28</f>
        <v>0</v>
      </c>
      <c r="O26" s="457">
        <f ca="1">IF(N$87=0,0,100*N26/N$87)</f>
        <v>0</v>
      </c>
      <c r="P26" s="463">
        <f>P27*P28</f>
        <v>0</v>
      </c>
      <c r="Q26" s="457">
        <f ca="1">IF(P$87=0,0,100*P26/P$87)</f>
        <v>0</v>
      </c>
      <c r="R26" s="463">
        <f>R27*R28</f>
        <v>0</v>
      </c>
      <c r="S26" s="457">
        <f ca="1">IF(R$87=0,0,100*R26/R$87)</f>
        <v>0</v>
      </c>
      <c r="T26" s="215"/>
      <c r="U26" s="586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575"/>
      <c r="AI26" s="17"/>
      <c r="AJ26" s="17"/>
    </row>
    <row r="27" spans="1:36" ht="11.25" customHeight="1">
      <c r="A27" s="80"/>
      <c r="B27" s="362"/>
      <c r="C27" s="258" t="s">
        <v>148</v>
      </c>
      <c r="D27" s="458"/>
      <c r="E27" s="459"/>
      <c r="F27" s="460">
        <v>0</v>
      </c>
      <c r="G27" s="461"/>
      <c r="H27" s="460">
        <f>F27</f>
        <v>0</v>
      </c>
      <c r="I27" s="461"/>
      <c r="J27" s="460">
        <f>H27</f>
        <v>0</v>
      </c>
      <c r="K27" s="461"/>
      <c r="L27" s="460">
        <f>J27</f>
        <v>0</v>
      </c>
      <c r="M27" s="461"/>
      <c r="N27" s="460">
        <f>L27</f>
        <v>0</v>
      </c>
      <c r="O27" s="461"/>
      <c r="P27" s="460">
        <f>N27</f>
        <v>0</v>
      </c>
      <c r="Q27" s="461"/>
      <c r="R27" s="460">
        <f>P27</f>
        <v>0</v>
      </c>
      <c r="S27" s="459"/>
      <c r="T27" s="213"/>
      <c r="U27" s="421">
        <f>$F$8</f>
        <v>2024</v>
      </c>
      <c r="V27" s="421">
        <f>$H$8</f>
        <v>2025</v>
      </c>
      <c r="W27" s="421">
        <f>$J$8</f>
        <v>2026</v>
      </c>
      <c r="X27" s="421">
        <f>$L$8</f>
        <v>2027</v>
      </c>
      <c r="Y27" s="421">
        <f>$N$8</f>
        <v>2028</v>
      </c>
      <c r="Z27" s="421">
        <f>$P$8</f>
        <v>2029</v>
      </c>
      <c r="AA27" s="421">
        <f>$R$8</f>
        <v>2030</v>
      </c>
      <c r="AB27" s="420"/>
      <c r="AC27" s="420"/>
      <c r="AD27" s="420"/>
      <c r="AE27" s="420"/>
      <c r="AF27" s="420"/>
      <c r="AG27" s="420"/>
      <c r="AH27" s="575"/>
      <c r="AI27" s="17"/>
      <c r="AJ27" s="17"/>
    </row>
    <row r="28" spans="1:36" ht="11.25" customHeight="1" thickBot="1">
      <c r="A28" s="80"/>
      <c r="B28" s="357"/>
      <c r="C28" s="255" t="s">
        <v>149</v>
      </c>
      <c r="D28" s="449"/>
      <c r="E28" s="435"/>
      <c r="F28" s="454">
        <v>0</v>
      </c>
      <c r="G28" s="455"/>
      <c r="H28" s="454">
        <f>F28+F28*V28</f>
        <v>0</v>
      </c>
      <c r="I28" s="455"/>
      <c r="J28" s="454">
        <f>H28+H28*W28</f>
        <v>0</v>
      </c>
      <c r="K28" s="455"/>
      <c r="L28" s="454">
        <f>J28+J28*X28</f>
        <v>0</v>
      </c>
      <c r="M28" s="455"/>
      <c r="N28" s="454">
        <f>L28+L28*Y28</f>
        <v>0</v>
      </c>
      <c r="O28" s="455"/>
      <c r="P28" s="454">
        <f>N28+N28*Z28</f>
        <v>0</v>
      </c>
      <c r="Q28" s="455"/>
      <c r="R28" s="454">
        <f>P28+P28*AA28</f>
        <v>0</v>
      </c>
      <c r="S28" s="435"/>
      <c r="T28" s="213"/>
      <c r="U28" s="587"/>
      <c r="V28" s="340">
        <v>0.03</v>
      </c>
      <c r="W28" s="340">
        <f>V28</f>
        <v>0.03</v>
      </c>
      <c r="X28" s="340">
        <f>W28</f>
        <v>0.03</v>
      </c>
      <c r="Y28" s="340">
        <f>X28</f>
        <v>0.03</v>
      </c>
      <c r="Z28" s="340">
        <f>Y28</f>
        <v>0.03</v>
      </c>
      <c r="AA28" s="340">
        <f>Z28</f>
        <v>0.03</v>
      </c>
      <c r="AB28" s="420"/>
      <c r="AC28" s="420"/>
      <c r="AD28" s="420"/>
      <c r="AE28" s="420"/>
      <c r="AF28" s="420"/>
      <c r="AG28" s="420"/>
      <c r="AH28" s="575"/>
      <c r="AI28" s="17"/>
      <c r="AJ28" s="17"/>
    </row>
    <row r="29" spans="1:36" ht="12" customHeight="1">
      <c r="B29" s="363" t="s">
        <v>13</v>
      </c>
      <c r="C29" s="338" t="s">
        <v>274</v>
      </c>
      <c r="D29" s="462">
        <v>0</v>
      </c>
      <c r="E29" s="457">
        <f ca="1">IF(D$87=0,0,100*D29/D$87)</f>
        <v>0</v>
      </c>
      <c r="F29" s="463">
        <f>F30*F31</f>
        <v>0</v>
      </c>
      <c r="G29" s="457">
        <f ca="1">IF(F$87=0,0,100*F29/F$87)</f>
        <v>0</v>
      </c>
      <c r="H29" s="463">
        <f>H30*H31</f>
        <v>0</v>
      </c>
      <c r="I29" s="457">
        <f ca="1">IF(H$87=0,0,100*H29/H$87)</f>
        <v>0</v>
      </c>
      <c r="J29" s="463">
        <f>J30*J31</f>
        <v>0</v>
      </c>
      <c r="K29" s="457">
        <f ca="1">IF(J$87=0,0,100*J29/J$87)</f>
        <v>0</v>
      </c>
      <c r="L29" s="463">
        <f>L30*L31</f>
        <v>0</v>
      </c>
      <c r="M29" s="457">
        <f ca="1">IF(L$87=0,0,100*L29/L$87)</f>
        <v>0</v>
      </c>
      <c r="N29" s="463">
        <f>N30*N31</f>
        <v>0</v>
      </c>
      <c r="O29" s="457">
        <f ca="1">IF(N$87=0,0,100*N29/N$87)</f>
        <v>0</v>
      </c>
      <c r="P29" s="463">
        <f>P30*P31</f>
        <v>0</v>
      </c>
      <c r="Q29" s="457">
        <f ca="1">IF(P$87=0,0,100*P29/P$87)</f>
        <v>0</v>
      </c>
      <c r="R29" s="463">
        <f>R30*R31</f>
        <v>0</v>
      </c>
      <c r="S29" s="457">
        <f ca="1">IF(R$87=0,0,100*R29/R$87)</f>
        <v>0</v>
      </c>
      <c r="T29" s="215"/>
      <c r="U29" s="586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575"/>
      <c r="AI29" s="17"/>
      <c r="AJ29" s="17"/>
    </row>
    <row r="30" spans="1:36" ht="11.25" customHeight="1">
      <c r="A30" s="80"/>
      <c r="B30" s="362"/>
      <c r="C30" s="337" t="s">
        <v>164</v>
      </c>
      <c r="D30" s="458"/>
      <c r="E30" s="459"/>
      <c r="F30" s="460">
        <v>0</v>
      </c>
      <c r="G30" s="461"/>
      <c r="H30" s="460">
        <f>F30</f>
        <v>0</v>
      </c>
      <c r="I30" s="461"/>
      <c r="J30" s="460">
        <f>H30</f>
        <v>0</v>
      </c>
      <c r="K30" s="461"/>
      <c r="L30" s="460">
        <f>J30</f>
        <v>0</v>
      </c>
      <c r="M30" s="461"/>
      <c r="N30" s="460">
        <f>L30</f>
        <v>0</v>
      </c>
      <c r="O30" s="461"/>
      <c r="P30" s="460">
        <f>N30</f>
        <v>0</v>
      </c>
      <c r="Q30" s="461"/>
      <c r="R30" s="460">
        <f>P30</f>
        <v>0</v>
      </c>
      <c r="S30" s="459"/>
      <c r="T30" s="213"/>
      <c r="U30" s="421">
        <f>$F$8</f>
        <v>2024</v>
      </c>
      <c r="V30" s="421">
        <f>$H$8</f>
        <v>2025</v>
      </c>
      <c r="W30" s="421">
        <f>$J$8</f>
        <v>2026</v>
      </c>
      <c r="X30" s="421">
        <f>$L$8</f>
        <v>2027</v>
      </c>
      <c r="Y30" s="421">
        <f>$N$8</f>
        <v>2028</v>
      </c>
      <c r="Z30" s="421">
        <f>$P$8</f>
        <v>2029</v>
      </c>
      <c r="AA30" s="421">
        <f>$R$8</f>
        <v>2030</v>
      </c>
      <c r="AB30" s="420"/>
      <c r="AC30" s="420"/>
      <c r="AD30" s="420"/>
      <c r="AE30" s="420"/>
      <c r="AF30" s="420"/>
      <c r="AG30" s="420"/>
      <c r="AH30" s="575"/>
      <c r="AI30" s="17"/>
      <c r="AJ30" s="17"/>
    </row>
    <row r="31" spans="1:36" ht="11.25" customHeight="1" thickBot="1">
      <c r="A31" s="80"/>
      <c r="B31" s="357"/>
      <c r="C31" s="336" t="s">
        <v>165</v>
      </c>
      <c r="D31" s="449"/>
      <c r="E31" s="435"/>
      <c r="F31" s="454">
        <v>0</v>
      </c>
      <c r="G31" s="455"/>
      <c r="H31" s="454">
        <f>F31+F31*V31</f>
        <v>0</v>
      </c>
      <c r="I31" s="455"/>
      <c r="J31" s="454">
        <f>H31+H31*W31</f>
        <v>0</v>
      </c>
      <c r="K31" s="455"/>
      <c r="L31" s="454">
        <f>J31+J31*X31</f>
        <v>0</v>
      </c>
      <c r="M31" s="455"/>
      <c r="N31" s="454">
        <f>L31+L31*Y31</f>
        <v>0</v>
      </c>
      <c r="O31" s="455"/>
      <c r="P31" s="454">
        <f>N31+N31*Z31</f>
        <v>0</v>
      </c>
      <c r="Q31" s="455"/>
      <c r="R31" s="454">
        <f>P31+P31*AA31</f>
        <v>0</v>
      </c>
      <c r="S31" s="435"/>
      <c r="T31" s="213"/>
      <c r="U31" s="587"/>
      <c r="V31" s="340">
        <v>0.03</v>
      </c>
      <c r="W31" s="340">
        <f>V31</f>
        <v>0.03</v>
      </c>
      <c r="X31" s="340">
        <f>W31</f>
        <v>0.03</v>
      </c>
      <c r="Y31" s="340">
        <f>X31</f>
        <v>0.03</v>
      </c>
      <c r="Z31" s="340">
        <f>Y31</f>
        <v>0.03</v>
      </c>
      <c r="AA31" s="340">
        <f>Z31</f>
        <v>0.03</v>
      </c>
      <c r="AB31" s="420"/>
      <c r="AC31" s="420"/>
      <c r="AD31" s="420"/>
      <c r="AE31" s="420"/>
      <c r="AF31" s="420"/>
      <c r="AG31" s="420"/>
      <c r="AH31" s="575"/>
      <c r="AI31" s="17"/>
      <c r="AJ31" s="17"/>
    </row>
    <row r="32" spans="1:36" ht="12" customHeight="1">
      <c r="A32" s="96"/>
      <c r="B32" s="361" t="s">
        <v>14</v>
      </c>
      <c r="C32" s="254" t="s">
        <v>275</v>
      </c>
      <c r="D32" s="456">
        <v>0</v>
      </c>
      <c r="E32" s="457">
        <f ca="1">IF(D$87=0,0,100*D32/D$87)</f>
        <v>0</v>
      </c>
      <c r="F32" s="463">
        <f>F33*F34</f>
        <v>0</v>
      </c>
      <c r="G32" s="457">
        <f ca="1">IF(F$87=0,0,100*F32/F$87)</f>
        <v>0</v>
      </c>
      <c r="H32" s="463">
        <f>H33*H34</f>
        <v>0</v>
      </c>
      <c r="I32" s="457">
        <f ca="1">IF(H$87=0,0,100*H32/H$87)</f>
        <v>0</v>
      </c>
      <c r="J32" s="463">
        <f>J33*J34</f>
        <v>0</v>
      </c>
      <c r="K32" s="457">
        <f ca="1">IF(J$87=0,0,100*J32/J$87)</f>
        <v>0</v>
      </c>
      <c r="L32" s="463">
        <f>L33*L34</f>
        <v>0</v>
      </c>
      <c r="M32" s="457">
        <f ca="1">IF(L$87=0,0,100*L32/L$87)</f>
        <v>0</v>
      </c>
      <c r="N32" s="463">
        <f>N33*N34</f>
        <v>0</v>
      </c>
      <c r="O32" s="457">
        <f ca="1">IF(N$87=0,0,100*N32/N$87)</f>
        <v>0</v>
      </c>
      <c r="P32" s="463">
        <f>P33*P34</f>
        <v>0</v>
      </c>
      <c r="Q32" s="457">
        <f ca="1">IF(P$87=0,0,100*P32/P$87)</f>
        <v>0</v>
      </c>
      <c r="R32" s="463">
        <f>R33*R34</f>
        <v>0</v>
      </c>
      <c r="S32" s="457">
        <f ca="1">IF(R$87=0,0,100*R32/R$87)</f>
        <v>0</v>
      </c>
      <c r="T32" s="215"/>
      <c r="U32" s="586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575"/>
      <c r="AI32" s="17"/>
      <c r="AJ32" s="17"/>
    </row>
    <row r="33" spans="1:36" ht="11.25" customHeight="1">
      <c r="A33" s="80"/>
      <c r="B33" s="357"/>
      <c r="C33" s="336" t="s">
        <v>167</v>
      </c>
      <c r="D33" s="449"/>
      <c r="E33" s="435"/>
      <c r="F33" s="451">
        <v>0</v>
      </c>
      <c r="G33" s="437"/>
      <c r="H33" s="451">
        <f>F33</f>
        <v>0</v>
      </c>
      <c r="I33" s="437"/>
      <c r="J33" s="451">
        <f>H33</f>
        <v>0</v>
      </c>
      <c r="K33" s="437"/>
      <c r="L33" s="451">
        <f>J33</f>
        <v>0</v>
      </c>
      <c r="M33" s="437"/>
      <c r="N33" s="451">
        <f>L33</f>
        <v>0</v>
      </c>
      <c r="O33" s="437"/>
      <c r="P33" s="451">
        <f>N33</f>
        <v>0</v>
      </c>
      <c r="Q33" s="437"/>
      <c r="R33" s="451">
        <f>P33</f>
        <v>0</v>
      </c>
      <c r="S33" s="435"/>
      <c r="T33" s="213"/>
      <c r="U33" s="421">
        <f>$F$8</f>
        <v>2024</v>
      </c>
      <c r="V33" s="421">
        <f>$H$8</f>
        <v>2025</v>
      </c>
      <c r="W33" s="421">
        <f>$J$8</f>
        <v>2026</v>
      </c>
      <c r="X33" s="421">
        <f>$L$8</f>
        <v>2027</v>
      </c>
      <c r="Y33" s="421">
        <f>$N$8</f>
        <v>2028</v>
      </c>
      <c r="Z33" s="421">
        <f>$P$8</f>
        <v>2029</v>
      </c>
      <c r="AA33" s="421">
        <f>$R$8</f>
        <v>2030</v>
      </c>
      <c r="AB33" s="420"/>
      <c r="AC33" s="420"/>
      <c r="AD33" s="420"/>
      <c r="AE33" s="420"/>
      <c r="AF33" s="420"/>
      <c r="AG33" s="420"/>
      <c r="AH33" s="575"/>
      <c r="AI33" s="17"/>
      <c r="AJ33" s="17"/>
    </row>
    <row r="34" spans="1:36" ht="11.25" customHeight="1" thickBot="1">
      <c r="A34" s="80"/>
      <c r="B34" s="364"/>
      <c r="C34" s="339" t="s">
        <v>166</v>
      </c>
      <c r="D34" s="464"/>
      <c r="E34" s="465"/>
      <c r="F34" s="466">
        <v>0</v>
      </c>
      <c r="G34" s="467"/>
      <c r="H34" s="466">
        <f>F34+F34*V34</f>
        <v>0</v>
      </c>
      <c r="I34" s="467"/>
      <c r="J34" s="466">
        <f>H34+H34*W34</f>
        <v>0</v>
      </c>
      <c r="K34" s="467"/>
      <c r="L34" s="466">
        <f>J34+J34*X34</f>
        <v>0</v>
      </c>
      <c r="M34" s="467"/>
      <c r="N34" s="466">
        <f>L34+L34*Y34</f>
        <v>0</v>
      </c>
      <c r="O34" s="467"/>
      <c r="P34" s="466">
        <f>N34+N34*Z34</f>
        <v>0</v>
      </c>
      <c r="Q34" s="467"/>
      <c r="R34" s="466">
        <f>P34+P34*AA34</f>
        <v>0</v>
      </c>
      <c r="S34" s="465"/>
      <c r="T34" s="213"/>
      <c r="U34" s="587"/>
      <c r="V34" s="340">
        <v>0.03</v>
      </c>
      <c r="W34" s="340">
        <f>V34</f>
        <v>0.03</v>
      </c>
      <c r="X34" s="340">
        <f>W34</f>
        <v>0.03</v>
      </c>
      <c r="Y34" s="340">
        <f>X34</f>
        <v>0.03</v>
      </c>
      <c r="Z34" s="340">
        <f>Y34</f>
        <v>0.03</v>
      </c>
      <c r="AA34" s="340">
        <f>Z34</f>
        <v>0.03</v>
      </c>
      <c r="AB34" s="420"/>
      <c r="AC34" s="420"/>
      <c r="AD34" s="420"/>
      <c r="AE34" s="420"/>
      <c r="AF34" s="420"/>
      <c r="AG34" s="420"/>
      <c r="AH34" s="575"/>
      <c r="AI34" s="17"/>
      <c r="AJ34" s="17"/>
    </row>
    <row r="35" spans="1:36" ht="12" customHeight="1">
      <c r="A35" s="96"/>
      <c r="B35" s="245" t="s">
        <v>15</v>
      </c>
      <c r="C35" s="246" t="s">
        <v>307</v>
      </c>
      <c r="D35" s="468">
        <v>0</v>
      </c>
      <c r="E35" s="469">
        <f ca="1">IF(D$87=0,0,100*D35/D$87)</f>
        <v>0</v>
      </c>
      <c r="F35" s="513">
        <f>F36*F37*F38*F39+F36*F37*F38*F39*F40</f>
        <v>0</v>
      </c>
      <c r="G35" s="469">
        <f ca="1">IF(F$87=0,0,100*F35/F$87)</f>
        <v>0</v>
      </c>
      <c r="H35" s="513">
        <f>H36*H37*H38*H39+H36*H37*H38*H39*H40</f>
        <v>0</v>
      </c>
      <c r="I35" s="469">
        <f ca="1">IF(H$87=0,0,100*H35/H$87)</f>
        <v>0</v>
      </c>
      <c r="J35" s="513">
        <f>J36*J37*J38*J39+J36*J37*J38*J39*J40</f>
        <v>0</v>
      </c>
      <c r="K35" s="469">
        <f ca="1">IF(J$87=0,0,100*J35/J$87)</f>
        <v>0</v>
      </c>
      <c r="L35" s="513">
        <f>L36*L37*L38*L39+L36*L37*L38*L39*L40</f>
        <v>0</v>
      </c>
      <c r="M35" s="469">
        <f ca="1">IF(L$87=0,0,100*L35/L$87)</f>
        <v>0</v>
      </c>
      <c r="N35" s="513">
        <f>N36*N37*N38*N39+N36*N37*N38*N39*N40</f>
        <v>0</v>
      </c>
      <c r="O35" s="469">
        <f ca="1">IF(N$87=0,0,100*N35/N$87)</f>
        <v>0</v>
      </c>
      <c r="P35" s="513">
        <f>P36*P37*P38*P39+P36*P37*P38*P39*P40</f>
        <v>0</v>
      </c>
      <c r="Q35" s="469">
        <f ca="1">IF(P$87=0,0,100*P35/P$87)</f>
        <v>0</v>
      </c>
      <c r="R35" s="513">
        <f>R36*R37*R38*R39+R36*R37*R38*R39*R40</f>
        <v>0</v>
      </c>
      <c r="S35" s="469">
        <f ca="1">IF(R$87=0,0,100*R35/R$87)</f>
        <v>0</v>
      </c>
      <c r="T35" s="215"/>
      <c r="U35" s="421">
        <f>$F$8</f>
        <v>2024</v>
      </c>
      <c r="V35" s="421">
        <f>$H$8</f>
        <v>2025</v>
      </c>
      <c r="W35" s="421">
        <f>$J$8</f>
        <v>2026</v>
      </c>
      <c r="X35" s="421">
        <f>$L$8</f>
        <v>2027</v>
      </c>
      <c r="Y35" s="421">
        <f>$N$8</f>
        <v>2028</v>
      </c>
      <c r="Z35" s="421">
        <f>$P$8</f>
        <v>2029</v>
      </c>
      <c r="AA35" s="421">
        <f>$R$8</f>
        <v>2030</v>
      </c>
      <c r="AB35" s="420"/>
      <c r="AC35" s="420"/>
      <c r="AD35" s="420"/>
      <c r="AE35" s="420"/>
      <c r="AF35" s="420"/>
      <c r="AG35" s="420"/>
      <c r="AH35" s="575"/>
      <c r="AI35" s="17"/>
      <c r="AJ35" s="17"/>
    </row>
    <row r="36" spans="1:36" ht="11.25" customHeight="1">
      <c r="A36" s="96"/>
      <c r="B36" s="365"/>
      <c r="C36" s="255" t="s">
        <v>157</v>
      </c>
      <c r="D36" s="470"/>
      <c r="E36" s="435"/>
      <c r="F36" s="471">
        <v>0</v>
      </c>
      <c r="G36" s="472"/>
      <c r="H36" s="471">
        <f>F36+F36*V36</f>
        <v>0</v>
      </c>
      <c r="I36" s="472"/>
      <c r="J36" s="471">
        <f>H36+H36*W36</f>
        <v>0</v>
      </c>
      <c r="K36" s="472"/>
      <c r="L36" s="471">
        <f>J36+J36*X36</f>
        <v>0</v>
      </c>
      <c r="M36" s="472"/>
      <c r="N36" s="471">
        <f>L36+L36*Y36</f>
        <v>0</v>
      </c>
      <c r="O36" s="472"/>
      <c r="P36" s="471">
        <f>N36+N36*Z36</f>
        <v>0</v>
      </c>
      <c r="Q36" s="472"/>
      <c r="R36" s="471">
        <f>P36+P36*AA36</f>
        <v>0</v>
      </c>
      <c r="S36" s="473"/>
      <c r="T36" s="215"/>
      <c r="U36" s="587"/>
      <c r="V36" s="340">
        <v>0.03</v>
      </c>
      <c r="W36" s="340">
        <f>V36</f>
        <v>0.03</v>
      </c>
      <c r="X36" s="340">
        <f>W36</f>
        <v>0.03</v>
      </c>
      <c r="Y36" s="340">
        <f>X36</f>
        <v>0.03</v>
      </c>
      <c r="Z36" s="340">
        <f>Y36</f>
        <v>0.03</v>
      </c>
      <c r="AA36" s="340">
        <f>Z36</f>
        <v>0.03</v>
      </c>
      <c r="AB36" s="420"/>
      <c r="AC36" s="420"/>
      <c r="AD36" s="420"/>
      <c r="AE36" s="420"/>
      <c r="AF36" s="420"/>
      <c r="AG36" s="420"/>
      <c r="AH36" s="575"/>
      <c r="AI36" s="17"/>
      <c r="AJ36" s="17"/>
    </row>
    <row r="37" spans="1:36" ht="11.25" customHeight="1">
      <c r="A37" s="96"/>
      <c r="B37" s="365"/>
      <c r="C37" s="255" t="s">
        <v>152</v>
      </c>
      <c r="D37" s="470"/>
      <c r="E37" s="474"/>
      <c r="F37" s="475">
        <v>0</v>
      </c>
      <c r="G37" s="476"/>
      <c r="H37" s="475">
        <f>F37</f>
        <v>0</v>
      </c>
      <c r="I37" s="461"/>
      <c r="J37" s="475">
        <f>H37</f>
        <v>0</v>
      </c>
      <c r="K37" s="461"/>
      <c r="L37" s="475">
        <f>J37</f>
        <v>0</v>
      </c>
      <c r="M37" s="461"/>
      <c r="N37" s="475">
        <f>L37</f>
        <v>0</v>
      </c>
      <c r="O37" s="461"/>
      <c r="P37" s="475">
        <f>N37</f>
        <v>0</v>
      </c>
      <c r="Q37" s="476"/>
      <c r="R37" s="475">
        <f>P37</f>
        <v>0</v>
      </c>
      <c r="S37" s="477"/>
      <c r="T37" s="215"/>
      <c r="U37" s="586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575"/>
      <c r="AI37" s="17"/>
      <c r="AJ37" s="17"/>
    </row>
    <row r="38" spans="1:36" ht="11.25" customHeight="1">
      <c r="A38" s="96"/>
      <c r="B38" s="365"/>
      <c r="C38" s="255" t="s">
        <v>153</v>
      </c>
      <c r="D38" s="470"/>
      <c r="E38" s="474"/>
      <c r="F38" s="436">
        <v>0</v>
      </c>
      <c r="G38" s="478"/>
      <c r="H38" s="475">
        <f>F38</f>
        <v>0</v>
      </c>
      <c r="I38" s="478"/>
      <c r="J38" s="475">
        <f>H38</f>
        <v>0</v>
      </c>
      <c r="K38" s="478"/>
      <c r="L38" s="475">
        <f>J38</f>
        <v>0</v>
      </c>
      <c r="M38" s="478"/>
      <c r="N38" s="475">
        <f>L38</f>
        <v>0</v>
      </c>
      <c r="O38" s="478"/>
      <c r="P38" s="475">
        <f>N38</f>
        <v>0</v>
      </c>
      <c r="Q38" s="478"/>
      <c r="R38" s="475">
        <f>P38</f>
        <v>0</v>
      </c>
      <c r="S38" s="479"/>
      <c r="T38" s="215"/>
      <c r="U38" s="586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575"/>
      <c r="AI38" s="17"/>
      <c r="AJ38" s="17"/>
    </row>
    <row r="39" spans="1:36" ht="11.25" customHeight="1">
      <c r="A39" s="96"/>
      <c r="B39" s="365"/>
      <c r="C39" s="255" t="s">
        <v>154</v>
      </c>
      <c r="D39" s="470"/>
      <c r="E39" s="435"/>
      <c r="F39" s="480">
        <v>0</v>
      </c>
      <c r="G39" s="481"/>
      <c r="H39" s="482">
        <f>F39</f>
        <v>0</v>
      </c>
      <c r="I39" s="483"/>
      <c r="J39" s="482">
        <f>H39</f>
        <v>0</v>
      </c>
      <c r="K39" s="483"/>
      <c r="L39" s="482">
        <f>J39</f>
        <v>0</v>
      </c>
      <c r="M39" s="483"/>
      <c r="N39" s="482">
        <f>L39</f>
        <v>0</v>
      </c>
      <c r="O39" s="483"/>
      <c r="P39" s="482">
        <f>N39</f>
        <v>0</v>
      </c>
      <c r="Q39" s="481"/>
      <c r="R39" s="482">
        <f>P39</f>
        <v>0</v>
      </c>
      <c r="S39" s="484"/>
      <c r="T39" s="215"/>
      <c r="U39" s="745" t="s">
        <v>171</v>
      </c>
      <c r="V39" s="746"/>
      <c r="W39" s="746"/>
      <c r="X39" s="746"/>
      <c r="Y39" s="746"/>
      <c r="Z39" s="746"/>
      <c r="AA39" s="746"/>
      <c r="AB39" s="420"/>
      <c r="AC39" s="420"/>
      <c r="AD39" s="420"/>
      <c r="AE39" s="420"/>
      <c r="AF39" s="420"/>
      <c r="AG39" s="420"/>
      <c r="AH39" s="575"/>
      <c r="AI39" s="17"/>
      <c r="AJ39" s="17"/>
    </row>
    <row r="40" spans="1:36" ht="11.25" customHeight="1">
      <c r="A40" s="96"/>
      <c r="B40" s="365"/>
      <c r="C40" s="255" t="s">
        <v>155</v>
      </c>
      <c r="D40" s="470"/>
      <c r="E40" s="435"/>
      <c r="F40" s="500">
        <v>0.20150000000000001</v>
      </c>
      <c r="G40" s="474"/>
      <c r="H40" s="595">
        <f>F40</f>
        <v>0.20150000000000001</v>
      </c>
      <c r="I40" s="596"/>
      <c r="J40" s="595">
        <f>H40</f>
        <v>0.20150000000000001</v>
      </c>
      <c r="K40" s="596"/>
      <c r="L40" s="595">
        <f>J40</f>
        <v>0.20150000000000001</v>
      </c>
      <c r="M40" s="596"/>
      <c r="N40" s="595">
        <f>L40</f>
        <v>0.20150000000000001</v>
      </c>
      <c r="O40" s="596"/>
      <c r="P40" s="595">
        <f>N40</f>
        <v>0.20150000000000001</v>
      </c>
      <c r="Q40" s="504"/>
      <c r="R40" s="595">
        <f>P40</f>
        <v>0.20150000000000001</v>
      </c>
      <c r="S40" s="486"/>
      <c r="T40" s="215"/>
      <c r="U40" s="421">
        <f>$F$8</f>
        <v>2024</v>
      </c>
      <c r="V40" s="421">
        <f>$H$8</f>
        <v>2025</v>
      </c>
      <c r="W40" s="421">
        <f>$J$8</f>
        <v>2026</v>
      </c>
      <c r="X40" s="421">
        <f>$L$8</f>
        <v>2027</v>
      </c>
      <c r="Y40" s="421">
        <f>$N$8</f>
        <v>2028</v>
      </c>
      <c r="Z40" s="421">
        <f>$P$8</f>
        <v>2029</v>
      </c>
      <c r="AA40" s="421">
        <f>$R$8</f>
        <v>2030</v>
      </c>
      <c r="AB40" s="420"/>
      <c r="AC40" s="420"/>
      <c r="AD40" s="420"/>
      <c r="AE40" s="420"/>
      <c r="AF40" s="420"/>
      <c r="AG40" s="420"/>
      <c r="AH40" s="575"/>
      <c r="AI40" s="17"/>
      <c r="AJ40" s="17"/>
    </row>
    <row r="41" spans="1:36" ht="11.25" customHeight="1" thickBot="1">
      <c r="A41" s="96"/>
      <c r="B41" s="366"/>
      <c r="C41" s="258" t="s">
        <v>156</v>
      </c>
      <c r="D41" s="487"/>
      <c r="E41" s="485"/>
      <c r="F41" s="488">
        <v>0</v>
      </c>
      <c r="G41" s="489"/>
      <c r="H41" s="454">
        <f>F41+F41*V41</f>
        <v>0</v>
      </c>
      <c r="I41" s="455"/>
      <c r="J41" s="454">
        <f>H41+H41*W41</f>
        <v>0</v>
      </c>
      <c r="K41" s="455"/>
      <c r="L41" s="454">
        <f>J41+J41*X41</f>
        <v>0</v>
      </c>
      <c r="M41" s="490"/>
      <c r="N41" s="466">
        <f>L41+L41*Y41</f>
        <v>0</v>
      </c>
      <c r="O41" s="467"/>
      <c r="P41" s="466">
        <f>N41+N41*Z41</f>
        <v>0</v>
      </c>
      <c r="Q41" s="467"/>
      <c r="R41" s="466">
        <f>P41+P41*AA41</f>
        <v>0</v>
      </c>
      <c r="S41" s="465"/>
      <c r="T41" s="215"/>
      <c r="U41" s="587"/>
      <c r="V41" s="340">
        <v>0.03</v>
      </c>
      <c r="W41" s="340">
        <f>V41</f>
        <v>0.03</v>
      </c>
      <c r="X41" s="340">
        <f>W41</f>
        <v>0.03</v>
      </c>
      <c r="Y41" s="340">
        <f>X41</f>
        <v>0.03</v>
      </c>
      <c r="Z41" s="340">
        <f>Y41</f>
        <v>0.03</v>
      </c>
      <c r="AA41" s="340">
        <f>Z41</f>
        <v>0.03</v>
      </c>
      <c r="AB41" s="420"/>
      <c r="AC41" s="420"/>
      <c r="AD41" s="420"/>
      <c r="AE41" s="420"/>
      <c r="AF41" s="420"/>
      <c r="AG41" s="420"/>
      <c r="AH41" s="575"/>
      <c r="AI41" s="17"/>
      <c r="AJ41" s="17"/>
    </row>
    <row r="42" spans="1:36" ht="12" customHeight="1">
      <c r="A42" s="96"/>
      <c r="B42" s="248" t="s">
        <v>16</v>
      </c>
      <c r="C42" s="242" t="s">
        <v>306</v>
      </c>
      <c r="D42" s="463">
        <f>D43+D45+D47</f>
        <v>0</v>
      </c>
      <c r="E42" s="432">
        <f ca="1">IF(D$87=0,0,100*D42/D$87)</f>
        <v>0</v>
      </c>
      <c r="F42" s="433">
        <f>F43+F45+F47</f>
        <v>0</v>
      </c>
      <c r="G42" s="432">
        <f ca="1">IF(F$87=0,0,100*F42/F$87)</f>
        <v>0</v>
      </c>
      <c r="H42" s="433">
        <f>H43+H45+H47</f>
        <v>0</v>
      </c>
      <c r="I42" s="432">
        <f ca="1">IF(H$87=0,0,100*H42/H$87)</f>
        <v>0</v>
      </c>
      <c r="J42" s="433">
        <f>J43+J45+J47</f>
        <v>0</v>
      </c>
      <c r="K42" s="432">
        <f ca="1">IF(J$87=0,0,100*J42/J$87)</f>
        <v>0</v>
      </c>
      <c r="L42" s="433">
        <f>L43+L45+L47</f>
        <v>0</v>
      </c>
      <c r="M42" s="432">
        <f ca="1">IF(L$87=0,0,100*L42/L$87)</f>
        <v>0</v>
      </c>
      <c r="N42" s="433">
        <f>N43+N45+N47</f>
        <v>0</v>
      </c>
      <c r="O42" s="457">
        <f ca="1">IF(N$87=0,0,100*N42/N$87)</f>
        <v>0</v>
      </c>
      <c r="P42" s="463">
        <f>P43+P45+P47</f>
        <v>0</v>
      </c>
      <c r="Q42" s="457">
        <f ca="1">IF(P$87=0,0,100*P42/P$87)</f>
        <v>0</v>
      </c>
      <c r="R42" s="463">
        <f>R43+R45+R47</f>
        <v>0</v>
      </c>
      <c r="S42" s="457">
        <f ca="1">IF(R$87=0,0,100*R42/R$87)</f>
        <v>0</v>
      </c>
      <c r="T42" s="215"/>
      <c r="U42" s="586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575"/>
      <c r="AI42" s="17"/>
      <c r="AJ42" s="17"/>
    </row>
    <row r="43" spans="1:36" ht="11.25" customHeight="1">
      <c r="A43" s="96"/>
      <c r="B43" s="357"/>
      <c r="C43" s="827" t="s">
        <v>160</v>
      </c>
      <c r="D43" s="491">
        <v>0</v>
      </c>
      <c r="E43" s="435"/>
      <c r="F43" s="492">
        <f>(F44)*(F35+F41)</f>
        <v>0</v>
      </c>
      <c r="G43" s="453"/>
      <c r="H43" s="492">
        <f>(H44)*(H35+H41)</f>
        <v>0</v>
      </c>
      <c r="I43" s="493"/>
      <c r="J43" s="492">
        <f>(J44)*(J35+J41)</f>
        <v>0</v>
      </c>
      <c r="K43" s="453"/>
      <c r="L43" s="492">
        <f>(L44)*(L35+L41)</f>
        <v>0</v>
      </c>
      <c r="M43" s="453"/>
      <c r="N43" s="492">
        <f>(N44)*(N35+N41)</f>
        <v>0</v>
      </c>
      <c r="O43" s="494"/>
      <c r="P43" s="492">
        <f>(P44)*(P35+P41)</f>
        <v>0</v>
      </c>
      <c r="Q43" s="494"/>
      <c r="R43" s="492">
        <f>(R44)*(R35+R41)</f>
        <v>0</v>
      </c>
      <c r="S43" s="494"/>
      <c r="T43" s="215"/>
      <c r="U43" s="586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575"/>
      <c r="AI43" s="17"/>
      <c r="AJ43" s="17"/>
    </row>
    <row r="44" spans="1:36" ht="11.25" customHeight="1">
      <c r="A44" s="96"/>
      <c r="B44" s="357"/>
      <c r="C44" s="255" t="s">
        <v>158</v>
      </c>
      <c r="D44" s="470"/>
      <c r="E44" s="474"/>
      <c r="F44" s="495">
        <v>0.17399999999999999</v>
      </c>
      <c r="G44" s="474"/>
      <c r="H44" s="496">
        <f>F44</f>
        <v>0.17399999999999999</v>
      </c>
      <c r="I44" s="342"/>
      <c r="J44" s="496">
        <f>H44</f>
        <v>0.17399999999999999</v>
      </c>
      <c r="K44" s="474"/>
      <c r="L44" s="496">
        <f>J44</f>
        <v>0.17399999999999999</v>
      </c>
      <c r="M44" s="474"/>
      <c r="N44" s="496">
        <f>L44</f>
        <v>0.17399999999999999</v>
      </c>
      <c r="O44" s="479"/>
      <c r="P44" s="496">
        <f>N44</f>
        <v>0.17399999999999999</v>
      </c>
      <c r="Q44" s="479"/>
      <c r="R44" s="496">
        <f>P44</f>
        <v>0.17399999999999999</v>
      </c>
      <c r="S44" s="479"/>
      <c r="T44" s="215"/>
      <c r="U44" s="586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575"/>
      <c r="AI44" s="17"/>
      <c r="AJ44" s="17"/>
    </row>
    <row r="45" spans="1:36" ht="11.25" customHeight="1">
      <c r="A45" s="96"/>
      <c r="B45" s="365"/>
      <c r="C45" s="827" t="s">
        <v>276</v>
      </c>
      <c r="D45" s="491">
        <v>0</v>
      </c>
      <c r="E45" s="435"/>
      <c r="F45" s="497">
        <f>(F35+F41)*(F46)</f>
        <v>0</v>
      </c>
      <c r="G45" s="435"/>
      <c r="H45" s="497">
        <f>(H35+H41)*(H46)</f>
        <v>0</v>
      </c>
      <c r="I45" s="498"/>
      <c r="J45" s="497">
        <f>(J35+J41)*(J46)</f>
        <v>0</v>
      </c>
      <c r="K45" s="435"/>
      <c r="L45" s="497">
        <f>(L35+L41)*(L46)</f>
        <v>0</v>
      </c>
      <c r="M45" s="479"/>
      <c r="N45" s="497">
        <f>(N35+N41)*(N46)</f>
        <v>0</v>
      </c>
      <c r="O45" s="479"/>
      <c r="P45" s="497">
        <f>(P35+P41)*(P46)</f>
        <v>0</v>
      </c>
      <c r="Q45" s="479"/>
      <c r="R45" s="497">
        <f>(R35+R41)*(R46)</f>
        <v>0</v>
      </c>
      <c r="S45" s="479"/>
      <c r="T45" s="215"/>
      <c r="U45" s="745" t="s">
        <v>171</v>
      </c>
      <c r="V45" s="746"/>
      <c r="W45" s="746"/>
      <c r="X45" s="746"/>
      <c r="Y45" s="746"/>
      <c r="Z45" s="746"/>
      <c r="AA45" s="746"/>
      <c r="AB45" s="420"/>
      <c r="AC45" s="420"/>
      <c r="AD45" s="420"/>
      <c r="AE45" s="420"/>
      <c r="AF45" s="420"/>
      <c r="AG45" s="420"/>
      <c r="AH45" s="575"/>
      <c r="AI45" s="17"/>
      <c r="AJ45" s="17"/>
    </row>
    <row r="46" spans="1:36" ht="11.25" customHeight="1">
      <c r="A46" s="96"/>
      <c r="B46" s="365"/>
      <c r="C46" s="255" t="s">
        <v>309</v>
      </c>
      <c r="D46" s="499"/>
      <c r="E46" s="474"/>
      <c r="F46" s="500">
        <v>2.1299999999999999E-2</v>
      </c>
      <c r="G46" s="501"/>
      <c r="H46" s="502">
        <f>F46</f>
        <v>2.1299999999999999E-2</v>
      </c>
      <c r="I46" s="503"/>
      <c r="J46" s="502">
        <f>H46</f>
        <v>2.1299999999999999E-2</v>
      </c>
      <c r="K46" s="501"/>
      <c r="L46" s="502">
        <f>J46</f>
        <v>2.1299999999999999E-2</v>
      </c>
      <c r="M46" s="504"/>
      <c r="N46" s="502">
        <f>L46</f>
        <v>2.1299999999999999E-2</v>
      </c>
      <c r="O46" s="504"/>
      <c r="P46" s="502">
        <f>N46</f>
        <v>2.1299999999999999E-2</v>
      </c>
      <c r="Q46" s="504"/>
      <c r="R46" s="502">
        <f>P46</f>
        <v>2.1299999999999999E-2</v>
      </c>
      <c r="S46" s="479"/>
      <c r="T46" s="215"/>
      <c r="U46" s="421">
        <f>$F$8</f>
        <v>2024</v>
      </c>
      <c r="V46" s="421">
        <f>$H$8</f>
        <v>2025</v>
      </c>
      <c r="W46" s="421">
        <f>$J$8</f>
        <v>2026</v>
      </c>
      <c r="X46" s="421">
        <f>$L$8</f>
        <v>2027</v>
      </c>
      <c r="Y46" s="421">
        <f>$N$8</f>
        <v>2028</v>
      </c>
      <c r="Z46" s="421">
        <f>$P$8</f>
        <v>2029</v>
      </c>
      <c r="AA46" s="421">
        <f>$R$8</f>
        <v>2030</v>
      </c>
      <c r="AB46" s="420"/>
      <c r="AC46" s="420"/>
      <c r="AD46" s="420"/>
      <c r="AE46" s="420"/>
      <c r="AF46" s="420"/>
      <c r="AG46" s="420"/>
      <c r="AH46" s="575"/>
      <c r="AI46" s="17"/>
      <c r="AJ46" s="17"/>
    </row>
    <row r="47" spans="1:36" ht="11.25" customHeight="1">
      <c r="A47" s="96"/>
      <c r="B47" s="365"/>
      <c r="C47" s="827" t="s">
        <v>277</v>
      </c>
      <c r="D47" s="434">
        <v>0</v>
      </c>
      <c r="E47" s="435"/>
      <c r="F47" s="436">
        <f>D47+D47*U47</f>
        <v>0</v>
      </c>
      <c r="G47" s="437"/>
      <c r="H47" s="436">
        <f>F47+F47*V47</f>
        <v>0</v>
      </c>
      <c r="I47" s="505"/>
      <c r="J47" s="436">
        <f>H47+H47*W47</f>
        <v>0</v>
      </c>
      <c r="K47" s="505"/>
      <c r="L47" s="436">
        <f>J47+J47*X47</f>
        <v>0</v>
      </c>
      <c r="M47" s="505"/>
      <c r="N47" s="436">
        <f>L47+L47*Y47</f>
        <v>0</v>
      </c>
      <c r="O47" s="505"/>
      <c r="P47" s="436">
        <f>N47+N47*Z47</f>
        <v>0</v>
      </c>
      <c r="Q47" s="505"/>
      <c r="R47" s="436">
        <f>P47+P47*AA47</f>
        <v>0</v>
      </c>
      <c r="S47" s="506"/>
      <c r="T47" s="215"/>
      <c r="U47" s="341">
        <v>0.03</v>
      </c>
      <c r="V47" s="341">
        <f t="shared" ref="V47:AA47" si="4">U47</f>
        <v>0.03</v>
      </c>
      <c r="W47" s="341">
        <f t="shared" si="4"/>
        <v>0.03</v>
      </c>
      <c r="X47" s="341">
        <f t="shared" si="4"/>
        <v>0.03</v>
      </c>
      <c r="Y47" s="341">
        <f t="shared" si="4"/>
        <v>0.03</v>
      </c>
      <c r="Z47" s="341">
        <f t="shared" si="4"/>
        <v>0.03</v>
      </c>
      <c r="AA47" s="341">
        <f t="shared" si="4"/>
        <v>0.03</v>
      </c>
      <c r="AB47" s="420"/>
      <c r="AC47" s="420"/>
      <c r="AD47" s="420"/>
      <c r="AE47" s="420"/>
      <c r="AF47" s="420"/>
      <c r="AG47" s="420"/>
      <c r="AH47" s="575"/>
      <c r="AI47" s="17"/>
      <c r="AJ47" s="17"/>
    </row>
    <row r="48" spans="1:36" ht="12" customHeight="1" thickBot="1">
      <c r="A48" s="96"/>
      <c r="B48" s="367"/>
      <c r="C48" s="253" t="s">
        <v>278</v>
      </c>
      <c r="D48" s="507">
        <f>D35+D42</f>
        <v>0</v>
      </c>
      <c r="E48" s="508"/>
      <c r="F48" s="507">
        <f>F35+F42</f>
        <v>0</v>
      </c>
      <c r="G48" s="509"/>
      <c r="H48" s="507">
        <f>H35+H42</f>
        <v>0</v>
      </c>
      <c r="I48" s="509"/>
      <c r="J48" s="507">
        <f>J35+J42</f>
        <v>0</v>
      </c>
      <c r="K48" s="509"/>
      <c r="L48" s="507">
        <f>L35+L42</f>
        <v>0</v>
      </c>
      <c r="M48" s="510"/>
      <c r="N48" s="507">
        <f>N35+N42</f>
        <v>0</v>
      </c>
      <c r="O48" s="510"/>
      <c r="P48" s="507">
        <f>P35+P42</f>
        <v>0</v>
      </c>
      <c r="Q48" s="510"/>
      <c r="R48" s="507">
        <f>R35+R42</f>
        <v>0</v>
      </c>
      <c r="S48" s="511"/>
      <c r="T48" s="215"/>
      <c r="U48" s="591">
        <f>$F$8</f>
        <v>2024</v>
      </c>
      <c r="V48" s="592">
        <f>$H$8</f>
        <v>2025</v>
      </c>
      <c r="W48" s="592">
        <f>$J$8</f>
        <v>2026</v>
      </c>
      <c r="X48" s="592">
        <f>$L$8</f>
        <v>2027</v>
      </c>
      <c r="Y48" s="592">
        <f>$N$8</f>
        <v>2028</v>
      </c>
      <c r="Z48" s="592">
        <f>$P$8</f>
        <v>2029</v>
      </c>
      <c r="AA48" s="592">
        <f>$R$8</f>
        <v>2030</v>
      </c>
      <c r="AB48" s="420"/>
      <c r="AC48" s="420"/>
      <c r="AD48" s="420"/>
      <c r="AE48" s="420"/>
      <c r="AF48" s="420"/>
      <c r="AG48" s="420"/>
      <c r="AH48" s="575"/>
      <c r="AI48" s="17"/>
      <c r="AJ48" s="17"/>
    </row>
    <row r="49" spans="1:36" ht="12" customHeight="1" thickBot="1">
      <c r="A49" s="2"/>
      <c r="B49" s="250" t="s">
        <v>17</v>
      </c>
      <c r="C49" s="243" t="s">
        <v>279</v>
      </c>
      <c r="D49" s="444">
        <v>0</v>
      </c>
      <c r="E49" s="432">
        <f ca="1">IF(D$87=0,0,100*D49/D$87)</f>
        <v>0</v>
      </c>
      <c r="F49" s="445">
        <f t="shared" ref="F49:F54" si="5">D49+D49*U49</f>
        <v>0</v>
      </c>
      <c r="G49" s="446">
        <f t="shared" ref="G49:G56" ca="1" si="6">IF(F$87=0,0,100*F49/F$87)</f>
        <v>0</v>
      </c>
      <c r="H49" s="445">
        <f>F49+F49*V49</f>
        <v>0</v>
      </c>
      <c r="I49" s="446">
        <f ca="1">IF(H$87=0,0,100*H49/H$87)</f>
        <v>0</v>
      </c>
      <c r="J49" s="445">
        <f>H49+H49*W49</f>
        <v>0</v>
      </c>
      <c r="K49" s="446">
        <f ca="1">IF(J$87=0,0,100*J49/J$87)</f>
        <v>0</v>
      </c>
      <c r="L49" s="445">
        <f>J49+J49*X49</f>
        <v>0</v>
      </c>
      <c r="M49" s="446">
        <f ca="1">IF(L$87=0,0,100*L49/L$87)</f>
        <v>0</v>
      </c>
      <c r="N49" s="445">
        <f>L49+L49*Y49</f>
        <v>0</v>
      </c>
      <c r="O49" s="446">
        <f ca="1">IF(N$87=0,0,100*N49/N$87)</f>
        <v>0</v>
      </c>
      <c r="P49" s="445">
        <f>N49+N49*Z49</f>
        <v>0</v>
      </c>
      <c r="Q49" s="446">
        <f ca="1">IF(P$87=0,0,100*P49/P$87)</f>
        <v>0</v>
      </c>
      <c r="R49" s="445">
        <f>P49+P49*AA49</f>
        <v>0</v>
      </c>
      <c r="S49" s="432">
        <f ca="1">IF(R$87=0,0,100*R49/R$87)</f>
        <v>0</v>
      </c>
      <c r="T49" s="215"/>
      <c r="U49" s="340">
        <v>0.03</v>
      </c>
      <c r="V49" s="340">
        <f t="shared" ref="V49:AA49" si="7">U49</f>
        <v>0.03</v>
      </c>
      <c r="W49" s="340">
        <f t="shared" si="7"/>
        <v>0.03</v>
      </c>
      <c r="X49" s="340">
        <f t="shared" si="7"/>
        <v>0.03</v>
      </c>
      <c r="Y49" s="340">
        <f t="shared" si="7"/>
        <v>0.03</v>
      </c>
      <c r="Z49" s="340">
        <f t="shared" si="7"/>
        <v>0.03</v>
      </c>
      <c r="AA49" s="340">
        <f t="shared" si="7"/>
        <v>0.03</v>
      </c>
      <c r="AB49" s="593"/>
      <c r="AC49" s="593"/>
      <c r="AD49" s="593"/>
      <c r="AE49" s="593"/>
      <c r="AF49" s="593"/>
      <c r="AG49" s="593"/>
      <c r="AH49" s="594"/>
      <c r="AI49" s="17"/>
      <c r="AJ49" s="17"/>
    </row>
    <row r="50" spans="1:36" ht="12" customHeight="1" thickBot="1">
      <c r="B50" s="250" t="s">
        <v>86</v>
      </c>
      <c r="C50" s="243" t="s">
        <v>280</v>
      </c>
      <c r="D50" s="444">
        <v>0</v>
      </c>
      <c r="E50" s="512">
        <f ca="1">IF(D$87=0,0,100*D50/D$87)</f>
        <v>0</v>
      </c>
      <c r="F50" s="445">
        <f t="shared" si="5"/>
        <v>0</v>
      </c>
      <c r="G50" s="446">
        <f ca="1">IF(F$87=0,0,100*F50/F$87)</f>
        <v>0</v>
      </c>
      <c r="H50" s="445">
        <f>F50+F50*V50</f>
        <v>0</v>
      </c>
      <c r="I50" s="446">
        <f ca="1">IF(H$87=0,0,100*H50/H$87)</f>
        <v>0</v>
      </c>
      <c r="J50" s="445">
        <f>H50+H50*W50</f>
        <v>0</v>
      </c>
      <c r="K50" s="446">
        <f ca="1">IF(J$87=0,0,100*J50/J$87)</f>
        <v>0</v>
      </c>
      <c r="L50" s="445">
        <f>J50+J50*X50</f>
        <v>0</v>
      </c>
      <c r="M50" s="446">
        <f ca="1">IF(L$87=0,0,100*L50/L$87)</f>
        <v>0</v>
      </c>
      <c r="N50" s="445">
        <f>L50+L50*Y50</f>
        <v>0</v>
      </c>
      <c r="O50" s="446">
        <f ca="1">IF(N$87=0,0,100*N50/N$87)</f>
        <v>0</v>
      </c>
      <c r="P50" s="445">
        <f>N50+N50*Z50</f>
        <v>0</v>
      </c>
      <c r="Q50" s="446">
        <f ca="1">IF(P$87=0,0,100*P50/P$87)</f>
        <v>0</v>
      </c>
      <c r="R50" s="445">
        <f>P50+P50*AA50</f>
        <v>0</v>
      </c>
      <c r="S50" s="512">
        <f ca="1">IF(R$87=0,0,100*R50/R$87)</f>
        <v>0</v>
      </c>
      <c r="T50" s="215"/>
      <c r="U50" s="340">
        <v>0.03</v>
      </c>
      <c r="V50" s="340">
        <f t="shared" ref="V50:AA50" si="8">U50</f>
        <v>0.03</v>
      </c>
      <c r="W50" s="340">
        <f t="shared" si="8"/>
        <v>0.03</v>
      </c>
      <c r="X50" s="340">
        <f t="shared" si="8"/>
        <v>0.03</v>
      </c>
      <c r="Y50" s="340">
        <f t="shared" si="8"/>
        <v>0.03</v>
      </c>
      <c r="Z50" s="340">
        <f t="shared" si="8"/>
        <v>0.03</v>
      </c>
      <c r="AA50" s="340">
        <f t="shared" si="8"/>
        <v>0.03</v>
      </c>
      <c r="AB50" s="420"/>
      <c r="AC50" s="420"/>
      <c r="AD50" s="420"/>
      <c r="AE50" s="420"/>
      <c r="AF50" s="420"/>
      <c r="AG50" s="420"/>
      <c r="AH50" s="575"/>
      <c r="AI50" s="17"/>
      <c r="AJ50" s="17"/>
    </row>
    <row r="51" spans="1:36" ht="12" customHeight="1">
      <c r="B51" s="245" t="s">
        <v>87</v>
      </c>
      <c r="C51" s="246" t="s">
        <v>281</v>
      </c>
      <c r="D51" s="513">
        <f t="shared" ref="D51:R51" si="9">D52+D53+D54</f>
        <v>0</v>
      </c>
      <c r="E51" s="432">
        <f ca="1">IF(D$87=0,0,100*D51/D$87)</f>
        <v>0</v>
      </c>
      <c r="F51" s="513">
        <f>F52+F53+F54</f>
        <v>0</v>
      </c>
      <c r="G51" s="511">
        <f t="shared" ca="1" si="6"/>
        <v>0</v>
      </c>
      <c r="H51" s="513">
        <f>H52+H53+H54</f>
        <v>0</v>
      </c>
      <c r="I51" s="511">
        <f ca="1">IF(H$87=0,0,100*H51/H$87)</f>
        <v>0</v>
      </c>
      <c r="J51" s="513">
        <f t="shared" si="9"/>
        <v>0</v>
      </c>
      <c r="K51" s="511">
        <f ca="1">IF(J$87=0,0,100*J51/J$87)</f>
        <v>0</v>
      </c>
      <c r="L51" s="513">
        <f t="shared" si="9"/>
        <v>0</v>
      </c>
      <c r="M51" s="511">
        <f ca="1">IF(L$87=0,0,100*L51/L$87)</f>
        <v>0</v>
      </c>
      <c r="N51" s="513">
        <f>N52+N53+N54</f>
        <v>0</v>
      </c>
      <c r="O51" s="511">
        <f ca="1">IF(N$87=0,0,100*N51/N$87)</f>
        <v>0</v>
      </c>
      <c r="P51" s="513">
        <f t="shared" si="9"/>
        <v>0</v>
      </c>
      <c r="Q51" s="511">
        <f ca="1">IF(P$87=0,0,100*P51/P$87)</f>
        <v>0</v>
      </c>
      <c r="R51" s="513">
        <f t="shared" si="9"/>
        <v>0</v>
      </c>
      <c r="S51" s="432">
        <f ca="1">IF(R$87=0,0,100*R51/R$87)</f>
        <v>0</v>
      </c>
      <c r="T51" s="215"/>
      <c r="U51" s="421">
        <f>$F$8</f>
        <v>2024</v>
      </c>
      <c r="V51" s="421">
        <f>$H$8</f>
        <v>2025</v>
      </c>
      <c r="W51" s="421">
        <f>$J$8</f>
        <v>2026</v>
      </c>
      <c r="X51" s="421">
        <f>$L$8</f>
        <v>2027</v>
      </c>
      <c r="Y51" s="421">
        <f>$N$8</f>
        <v>2028</v>
      </c>
      <c r="Z51" s="421">
        <f>$P$8</f>
        <v>2029</v>
      </c>
      <c r="AA51" s="421">
        <f>$R$8</f>
        <v>2030</v>
      </c>
      <c r="AB51" s="420"/>
      <c r="AC51" s="420"/>
      <c r="AD51" s="420"/>
      <c r="AE51" s="420"/>
      <c r="AF51" s="420" t="s">
        <v>0</v>
      </c>
      <c r="AG51" s="420"/>
      <c r="AH51" s="575"/>
      <c r="AI51" s="17"/>
      <c r="AJ51" s="17"/>
    </row>
    <row r="52" spans="1:36" ht="11.25" customHeight="1">
      <c r="A52" s="96"/>
      <c r="B52" s="357"/>
      <c r="C52" s="255" t="s">
        <v>1</v>
      </c>
      <c r="D52" s="434">
        <v>0</v>
      </c>
      <c r="E52" s="514"/>
      <c r="F52" s="436">
        <f t="shared" si="5"/>
        <v>0</v>
      </c>
      <c r="G52" s="515"/>
      <c r="H52" s="436">
        <f>F52+F52*V52</f>
        <v>0</v>
      </c>
      <c r="I52" s="437"/>
      <c r="J52" s="436">
        <f>H52+H52*W52</f>
        <v>0</v>
      </c>
      <c r="K52" s="437"/>
      <c r="L52" s="436">
        <f>J52+J52*X52</f>
        <v>0</v>
      </c>
      <c r="M52" s="437"/>
      <c r="N52" s="436">
        <f>L52+L52*Y52</f>
        <v>0</v>
      </c>
      <c r="O52" s="437"/>
      <c r="P52" s="436">
        <f>N52+N52*Z52</f>
        <v>0</v>
      </c>
      <c r="Q52" s="437"/>
      <c r="R52" s="436">
        <f>P52+P52*AA52</f>
        <v>0</v>
      </c>
      <c r="S52" s="437"/>
      <c r="T52" s="216"/>
      <c r="U52" s="340">
        <v>0.03</v>
      </c>
      <c r="V52" s="340">
        <f t="shared" ref="V52:AA52" si="10">U52</f>
        <v>0.03</v>
      </c>
      <c r="W52" s="340">
        <f t="shared" si="10"/>
        <v>0.03</v>
      </c>
      <c r="X52" s="340">
        <f t="shared" si="10"/>
        <v>0.03</v>
      </c>
      <c r="Y52" s="340">
        <f t="shared" si="10"/>
        <v>0.03</v>
      </c>
      <c r="Z52" s="340">
        <f t="shared" si="10"/>
        <v>0.03</v>
      </c>
      <c r="AA52" s="340">
        <f t="shared" si="10"/>
        <v>0.03</v>
      </c>
      <c r="AB52" s="420"/>
      <c r="AC52" s="420"/>
      <c r="AD52" s="420"/>
      <c r="AE52" s="420"/>
      <c r="AF52" s="420"/>
      <c r="AG52" s="420"/>
      <c r="AH52" s="575"/>
      <c r="AI52" s="17"/>
      <c r="AJ52" s="17"/>
    </row>
    <row r="53" spans="1:36" ht="11.25" customHeight="1">
      <c r="B53" s="357"/>
      <c r="C53" s="255" t="s">
        <v>2</v>
      </c>
      <c r="D53" s="434">
        <v>0</v>
      </c>
      <c r="E53" s="514"/>
      <c r="F53" s="436">
        <f t="shared" si="5"/>
        <v>0</v>
      </c>
      <c r="G53" s="515"/>
      <c r="H53" s="436">
        <f>F53+F53*V53</f>
        <v>0</v>
      </c>
      <c r="I53" s="437"/>
      <c r="J53" s="436">
        <f>H53+H53*W53</f>
        <v>0</v>
      </c>
      <c r="K53" s="437"/>
      <c r="L53" s="436">
        <f>J53+J53*X53</f>
        <v>0</v>
      </c>
      <c r="M53" s="437"/>
      <c r="N53" s="436">
        <f>L53+L53*Y53</f>
        <v>0</v>
      </c>
      <c r="O53" s="437"/>
      <c r="P53" s="436">
        <f>N53+N53*Z53</f>
        <v>0</v>
      </c>
      <c r="Q53" s="437"/>
      <c r="R53" s="436">
        <f>P53+P53*AA53</f>
        <v>0</v>
      </c>
      <c r="S53" s="437"/>
      <c r="T53" s="216"/>
      <c r="U53" s="340">
        <v>0.03</v>
      </c>
      <c r="V53" s="340">
        <f t="shared" ref="V53:AA53" si="11">U53</f>
        <v>0.03</v>
      </c>
      <c r="W53" s="340">
        <f t="shared" si="11"/>
        <v>0.03</v>
      </c>
      <c r="X53" s="340">
        <f t="shared" si="11"/>
        <v>0.03</v>
      </c>
      <c r="Y53" s="340">
        <f t="shared" si="11"/>
        <v>0.03</v>
      </c>
      <c r="Z53" s="340">
        <f t="shared" si="11"/>
        <v>0.03</v>
      </c>
      <c r="AA53" s="340">
        <f t="shared" si="11"/>
        <v>0.03</v>
      </c>
      <c r="AB53" s="420"/>
      <c r="AC53" s="420"/>
      <c r="AD53" s="420"/>
      <c r="AE53" s="420"/>
      <c r="AF53" s="420"/>
      <c r="AG53" s="420"/>
      <c r="AH53" s="575"/>
      <c r="AI53" s="17"/>
      <c r="AJ53" s="17"/>
    </row>
    <row r="54" spans="1:36" ht="11.25" customHeight="1" thickBot="1">
      <c r="B54" s="368"/>
      <c r="C54" s="260" t="s">
        <v>3</v>
      </c>
      <c r="D54" s="491">
        <v>0</v>
      </c>
      <c r="E54" s="516"/>
      <c r="F54" s="436">
        <f t="shared" si="5"/>
        <v>0</v>
      </c>
      <c r="G54" s="517"/>
      <c r="H54" s="436">
        <f>F54+F54*V54</f>
        <v>0</v>
      </c>
      <c r="I54" s="437"/>
      <c r="J54" s="436">
        <f>H54+H54*W54</f>
        <v>0</v>
      </c>
      <c r="K54" s="437"/>
      <c r="L54" s="436">
        <f>J54+J54*X54</f>
        <v>0</v>
      </c>
      <c r="M54" s="437"/>
      <c r="N54" s="436">
        <f>L54+L54*Y54</f>
        <v>0</v>
      </c>
      <c r="O54" s="437"/>
      <c r="P54" s="436">
        <f>N54+N54*Z54</f>
        <v>0</v>
      </c>
      <c r="Q54" s="437"/>
      <c r="R54" s="436">
        <f>P54+P54*AA54</f>
        <v>0</v>
      </c>
      <c r="S54" s="467"/>
      <c r="T54" s="216"/>
      <c r="U54" s="340">
        <v>0.03</v>
      </c>
      <c r="V54" s="340">
        <f t="shared" ref="V54:AA54" si="12">U54</f>
        <v>0.03</v>
      </c>
      <c r="W54" s="340">
        <f t="shared" si="12"/>
        <v>0.03</v>
      </c>
      <c r="X54" s="340">
        <f t="shared" si="12"/>
        <v>0.03</v>
      </c>
      <c r="Y54" s="340">
        <f t="shared" si="12"/>
        <v>0.03</v>
      </c>
      <c r="Z54" s="340">
        <f t="shared" si="12"/>
        <v>0.03</v>
      </c>
      <c r="AA54" s="340">
        <f t="shared" si="12"/>
        <v>0.03</v>
      </c>
      <c r="AB54" s="420"/>
      <c r="AC54" s="420"/>
      <c r="AD54" s="420"/>
      <c r="AE54" s="420"/>
      <c r="AF54" s="420"/>
      <c r="AG54" s="420"/>
      <c r="AH54" s="575"/>
      <c r="AI54" s="17"/>
      <c r="AJ54" s="17"/>
    </row>
    <row r="55" spans="1:36" s="3" customFormat="1" ht="12" customHeight="1" thickBot="1">
      <c r="A55"/>
      <c r="B55" s="250" t="s">
        <v>114</v>
      </c>
      <c r="C55" s="247" t="s">
        <v>282</v>
      </c>
      <c r="D55" s="444">
        <v>0</v>
      </c>
      <c r="E55" s="512">
        <f ca="1">IF(D$87=0,0,100*D55/D$87)</f>
        <v>0</v>
      </c>
      <c r="F55" s="445">
        <f>D55</f>
        <v>0</v>
      </c>
      <c r="G55" s="446">
        <f t="shared" ca="1" si="6"/>
        <v>0</v>
      </c>
      <c r="H55" s="445">
        <f>F55</f>
        <v>0</v>
      </c>
      <c r="I55" s="446">
        <f ca="1">IF(H$87=0,0,100*H55/H$87)</f>
        <v>0</v>
      </c>
      <c r="J55" s="445">
        <f>H55</f>
        <v>0</v>
      </c>
      <c r="K55" s="446">
        <f ca="1">IF(J$87=0,0,100*J55/J$87)</f>
        <v>0</v>
      </c>
      <c r="L55" s="445">
        <f>J55</f>
        <v>0</v>
      </c>
      <c r="M55" s="446">
        <f ca="1">IF(L$87=0,0,100*L55/L$87)</f>
        <v>0</v>
      </c>
      <c r="N55" s="445">
        <f>L55</f>
        <v>0</v>
      </c>
      <c r="O55" s="446">
        <f ca="1">IF(N$87=0,0,100*N55/N$87)</f>
        <v>0</v>
      </c>
      <c r="P55" s="445">
        <f>N55</f>
        <v>0</v>
      </c>
      <c r="Q55" s="446">
        <f ca="1">IF(P$87=0,0,100*P55/P$87)</f>
        <v>0</v>
      </c>
      <c r="R55" s="445">
        <f>P55</f>
        <v>0</v>
      </c>
      <c r="S55" s="518">
        <f ca="1">IF(R$87=0,0,100*R55/R$87)</f>
        <v>0</v>
      </c>
      <c r="T55" s="238"/>
      <c r="U55" s="745" t="s">
        <v>171</v>
      </c>
      <c r="V55" s="746"/>
      <c r="W55" s="746"/>
      <c r="X55" s="746"/>
      <c r="Y55" s="746"/>
      <c r="Z55" s="746"/>
      <c r="AA55" s="746"/>
      <c r="AB55" s="420"/>
      <c r="AC55" s="420"/>
      <c r="AD55" s="420"/>
      <c r="AE55" s="420"/>
      <c r="AF55" s="420"/>
      <c r="AG55" s="420"/>
      <c r="AH55" s="575"/>
      <c r="AI55" s="239"/>
      <c r="AJ55" s="239"/>
    </row>
    <row r="56" spans="1:36" ht="12" customHeight="1">
      <c r="A56" s="96"/>
      <c r="B56" s="248" t="s">
        <v>92</v>
      </c>
      <c r="C56" s="242" t="s">
        <v>283</v>
      </c>
      <c r="D56" s="431">
        <v>0</v>
      </c>
      <c r="E56" s="432">
        <f ca="1">IF(D$87=0,0,100*D56/D$87)</f>
        <v>0</v>
      </c>
      <c r="F56" s="433">
        <f t="shared" ref="F56:R56" si="13">F58*F57</f>
        <v>0</v>
      </c>
      <c r="G56" s="432">
        <f t="shared" ca="1" si="6"/>
        <v>0</v>
      </c>
      <c r="H56" s="433">
        <f t="shared" si="13"/>
        <v>0</v>
      </c>
      <c r="I56" s="432">
        <f ca="1">IF(H$87=0,0,100*H56/H$87)</f>
        <v>0</v>
      </c>
      <c r="J56" s="433">
        <f t="shared" si="13"/>
        <v>0</v>
      </c>
      <c r="K56" s="432">
        <f ca="1">IF(J$87=0,0,100*J56/J$87)</f>
        <v>0</v>
      </c>
      <c r="L56" s="433">
        <f t="shared" si="13"/>
        <v>0</v>
      </c>
      <c r="M56" s="432">
        <f ca="1">IF(L$87=0,0,100*L56/L$87)</f>
        <v>0</v>
      </c>
      <c r="N56" s="433">
        <f>N58*N57</f>
        <v>0</v>
      </c>
      <c r="O56" s="432">
        <f ca="1">IF(N$87=0,0,100*N56/N$87)</f>
        <v>0</v>
      </c>
      <c r="P56" s="433">
        <f t="shared" si="13"/>
        <v>0</v>
      </c>
      <c r="Q56" s="432">
        <f ca="1">IF(P$87=0,0,100*P56/P$87)</f>
        <v>0</v>
      </c>
      <c r="R56" s="433">
        <f t="shared" si="13"/>
        <v>0</v>
      </c>
      <c r="S56" s="432">
        <f ca="1">IF(R$87=0,0,100*R56/R$87)</f>
        <v>0</v>
      </c>
      <c r="T56" s="215"/>
      <c r="U56" s="421">
        <f>$F$8</f>
        <v>2024</v>
      </c>
      <c r="V56" s="421">
        <f>$H$8</f>
        <v>2025</v>
      </c>
      <c r="W56" s="421">
        <f>$J$8</f>
        <v>2026</v>
      </c>
      <c r="X56" s="421">
        <f>$L$8</f>
        <v>2027</v>
      </c>
      <c r="Y56" s="421">
        <f>$N$8</f>
        <v>2028</v>
      </c>
      <c r="Z56" s="421">
        <f>$P$8</f>
        <v>2029</v>
      </c>
      <c r="AA56" s="421">
        <f>$R$8</f>
        <v>2030</v>
      </c>
      <c r="AB56" s="420"/>
      <c r="AC56" s="420"/>
      <c r="AD56" s="420"/>
      <c r="AE56" s="420"/>
      <c r="AF56" s="420"/>
      <c r="AG56" s="420"/>
      <c r="AH56" s="575"/>
      <c r="AI56" s="17"/>
      <c r="AJ56" s="17"/>
    </row>
    <row r="57" spans="1:36" ht="11.25" customHeight="1">
      <c r="A57" s="212"/>
      <c r="B57" s="357"/>
      <c r="C57" s="255" t="s">
        <v>50</v>
      </c>
      <c r="D57" s="520">
        <f>IF(D58=0,0,D56/D58)</f>
        <v>0</v>
      </c>
      <c r="E57" s="435"/>
      <c r="F57" s="436">
        <f>D57+D57*U57</f>
        <v>0</v>
      </c>
      <c r="G57" s="437"/>
      <c r="H57" s="436">
        <f>F57+F57*V57</f>
        <v>0</v>
      </c>
      <c r="I57" s="437"/>
      <c r="J57" s="436">
        <f>H57+H57*W57</f>
        <v>0</v>
      </c>
      <c r="K57" s="437"/>
      <c r="L57" s="436">
        <f>J57+J57*X57</f>
        <v>0</v>
      </c>
      <c r="M57" s="437"/>
      <c r="N57" s="436">
        <f>L57+L57*Y57</f>
        <v>0</v>
      </c>
      <c r="O57" s="437"/>
      <c r="P57" s="436">
        <f>N57+N57*Z57</f>
        <v>0</v>
      </c>
      <c r="Q57" s="437"/>
      <c r="R57" s="436">
        <f>P57+P57*AA57</f>
        <v>0</v>
      </c>
      <c r="S57" s="437"/>
      <c r="T57" s="216"/>
      <c r="U57" s="340">
        <v>0.03</v>
      </c>
      <c r="V57" s="340">
        <f t="shared" ref="V57:AA57" si="14">U57</f>
        <v>0.03</v>
      </c>
      <c r="W57" s="340">
        <f t="shared" si="14"/>
        <v>0.03</v>
      </c>
      <c r="X57" s="340">
        <f t="shared" si="14"/>
        <v>0.03</v>
      </c>
      <c r="Y57" s="340">
        <f t="shared" si="14"/>
        <v>0.03</v>
      </c>
      <c r="Z57" s="340">
        <f t="shared" si="14"/>
        <v>0.03</v>
      </c>
      <c r="AA57" s="340">
        <f t="shared" si="14"/>
        <v>0.03</v>
      </c>
      <c r="AB57" s="420"/>
      <c r="AC57" s="420"/>
      <c r="AD57" s="420"/>
      <c r="AE57" s="420"/>
      <c r="AF57" s="420"/>
      <c r="AG57" s="420"/>
      <c r="AH57" s="575"/>
      <c r="AI57" s="17"/>
      <c r="AJ57" s="17"/>
    </row>
    <row r="58" spans="1:36" ht="11.25" customHeight="1" thickBot="1">
      <c r="A58" s="96"/>
      <c r="B58" s="364"/>
      <c r="C58" s="259" t="s">
        <v>49</v>
      </c>
      <c r="D58" s="521">
        <v>0</v>
      </c>
      <c r="E58" s="522"/>
      <c r="F58" s="523">
        <f>D58</f>
        <v>0</v>
      </c>
      <c r="G58" s="524"/>
      <c r="H58" s="523">
        <f>F58</f>
        <v>0</v>
      </c>
      <c r="I58" s="524"/>
      <c r="J58" s="523">
        <f>H58</f>
        <v>0</v>
      </c>
      <c r="K58" s="524"/>
      <c r="L58" s="523">
        <f>J58</f>
        <v>0</v>
      </c>
      <c r="M58" s="524"/>
      <c r="N58" s="523">
        <f>L58</f>
        <v>0</v>
      </c>
      <c r="O58" s="524"/>
      <c r="P58" s="523">
        <f>N58</f>
        <v>0</v>
      </c>
      <c r="Q58" s="524"/>
      <c r="R58" s="523">
        <f>P58</f>
        <v>0</v>
      </c>
      <c r="S58" s="467"/>
      <c r="T58" s="218"/>
      <c r="U58" s="586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575"/>
      <c r="AI58" s="17"/>
      <c r="AJ58" s="17"/>
    </row>
    <row r="59" spans="1:36" ht="12" customHeight="1" thickBot="1">
      <c r="A59" s="96"/>
      <c r="B59" s="250" t="s">
        <v>93</v>
      </c>
      <c r="C59" s="249" t="s">
        <v>284</v>
      </c>
      <c r="D59" s="431">
        <v>0</v>
      </c>
      <c r="E59" s="432">
        <f ca="1">IF(D$87=0,0,100*D59/D$87)</f>
        <v>0</v>
      </c>
      <c r="F59" s="525">
        <f>D59</f>
        <v>0</v>
      </c>
      <c r="G59" s="519">
        <f t="shared" ref="G59:G65" ca="1" si="15">IF(F$87=0,0,100*F59/F$87)</f>
        <v>0</v>
      </c>
      <c r="H59" s="525">
        <f>F59</f>
        <v>0</v>
      </c>
      <c r="I59" s="519">
        <f ca="1">IF(H$87=0,0,100*H59/H$87)</f>
        <v>0</v>
      </c>
      <c r="J59" s="525">
        <f>H59</f>
        <v>0</v>
      </c>
      <c r="K59" s="519">
        <f ca="1">IF(J$87=0,0,100*J59/J$87)</f>
        <v>0</v>
      </c>
      <c r="L59" s="525">
        <f>J59</f>
        <v>0</v>
      </c>
      <c r="M59" s="519">
        <f ca="1">IF(L$87=0,0,100*L59/L$87)</f>
        <v>0</v>
      </c>
      <c r="N59" s="525">
        <f>L59</f>
        <v>0</v>
      </c>
      <c r="O59" s="519">
        <f ca="1">IF(N$87=0,0,100*N59/N$87)</f>
        <v>0</v>
      </c>
      <c r="P59" s="525">
        <f>N59</f>
        <v>0</v>
      </c>
      <c r="Q59" s="519">
        <f ca="1">IF(P$87=0,0,100*P59/P$87)</f>
        <v>0</v>
      </c>
      <c r="R59" s="525">
        <f>P59</f>
        <v>0</v>
      </c>
      <c r="S59" s="519">
        <f ca="1">IF(R$87=0,0,100*R59/R$87)</f>
        <v>0</v>
      </c>
      <c r="T59" s="217"/>
      <c r="U59" s="586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575"/>
      <c r="AI59" s="17"/>
      <c r="AJ59" s="17"/>
    </row>
    <row r="60" spans="1:36" ht="12" customHeight="1" thickBot="1">
      <c r="B60" s="250" t="s">
        <v>296</v>
      </c>
      <c r="C60" s="247" t="s">
        <v>285</v>
      </c>
      <c r="D60" s="444">
        <v>0</v>
      </c>
      <c r="E60" s="432">
        <f ca="1">IF(D$87=0,0,100*D60/D$87)</f>
        <v>0</v>
      </c>
      <c r="F60" s="445">
        <f>D60</f>
        <v>0</v>
      </c>
      <c r="G60" s="519">
        <f t="shared" ca="1" si="15"/>
        <v>0</v>
      </c>
      <c r="H60" s="445">
        <f>F60</f>
        <v>0</v>
      </c>
      <c r="I60" s="519">
        <f ca="1">IF(H$87=0,0,100*H60/H$87)</f>
        <v>0</v>
      </c>
      <c r="J60" s="445">
        <f>H60</f>
        <v>0</v>
      </c>
      <c r="K60" s="519">
        <f ca="1">IF(J$87=0,0,100*J60/J$87)</f>
        <v>0</v>
      </c>
      <c r="L60" s="445">
        <f>J60</f>
        <v>0</v>
      </c>
      <c r="M60" s="519">
        <f ca="1">IF(L$87=0,0,100*L60/L$87)</f>
        <v>0</v>
      </c>
      <c r="N60" s="445">
        <f>L60</f>
        <v>0</v>
      </c>
      <c r="O60" s="519">
        <f ca="1">IF(N$87=0,0,100*N60/N$87)</f>
        <v>0</v>
      </c>
      <c r="P60" s="445">
        <f>N60</f>
        <v>0</v>
      </c>
      <c r="Q60" s="519">
        <f ca="1">IF(P$87=0,0,100*P60/P$87)</f>
        <v>0</v>
      </c>
      <c r="R60" s="445">
        <f>P60</f>
        <v>0</v>
      </c>
      <c r="S60" s="519">
        <f ca="1">IF(R$87=0,0,100*R60/R$87)</f>
        <v>0</v>
      </c>
      <c r="T60" s="217"/>
      <c r="U60" s="745" t="s">
        <v>171</v>
      </c>
      <c r="V60" s="746"/>
      <c r="W60" s="746"/>
      <c r="X60" s="746"/>
      <c r="Y60" s="746"/>
      <c r="Z60" s="746"/>
      <c r="AA60" s="746"/>
      <c r="AB60" s="420"/>
      <c r="AC60" s="420"/>
      <c r="AD60" s="420"/>
      <c r="AE60" s="420"/>
      <c r="AF60" s="420"/>
      <c r="AG60" s="420"/>
      <c r="AH60" s="575"/>
      <c r="AI60" s="17"/>
      <c r="AJ60" s="17"/>
    </row>
    <row r="61" spans="1:36" s="2" customFormat="1" ht="12" customHeight="1">
      <c r="A61" s="96"/>
      <c r="B61" s="248" t="s">
        <v>297</v>
      </c>
      <c r="C61" s="249" t="s">
        <v>286</v>
      </c>
      <c r="D61" s="448">
        <f>D62+D63+D64</f>
        <v>0</v>
      </c>
      <c r="E61" s="432">
        <f ca="1">IF(D$87=0,0,100*D61/D$87)</f>
        <v>0</v>
      </c>
      <c r="F61" s="448">
        <f t="shared" ref="F61:R61" si="16">F62+F63+F64</f>
        <v>0</v>
      </c>
      <c r="G61" s="432">
        <f t="shared" ca="1" si="15"/>
        <v>0</v>
      </c>
      <c r="H61" s="448">
        <f t="shared" si="16"/>
        <v>0</v>
      </c>
      <c r="I61" s="432">
        <f ca="1">IF(H$87=0,0,100*H61/H$87)</f>
        <v>0</v>
      </c>
      <c r="J61" s="448">
        <f t="shared" si="16"/>
        <v>0</v>
      </c>
      <c r="K61" s="432">
        <f ca="1">IF(J$87=0,0,100*J61/J$87)</f>
        <v>0</v>
      </c>
      <c r="L61" s="448">
        <f t="shared" si="16"/>
        <v>0</v>
      </c>
      <c r="M61" s="432">
        <f ca="1">IF(L$87=0,0,100*L61/L$87)</f>
        <v>0</v>
      </c>
      <c r="N61" s="448">
        <f>N62+N63+N64</f>
        <v>0</v>
      </c>
      <c r="O61" s="432">
        <f ca="1">IF(N$87=0,0,100*N61/N$87)</f>
        <v>0</v>
      </c>
      <c r="P61" s="448">
        <f t="shared" si="16"/>
        <v>0</v>
      </c>
      <c r="Q61" s="432">
        <f ca="1">IF(P$87=0,0,100*P61/P$87)</f>
        <v>0</v>
      </c>
      <c r="R61" s="448">
        <f t="shared" si="16"/>
        <v>0</v>
      </c>
      <c r="S61" s="432">
        <f ca="1">IF(R$87=0,0,100*R61/R$87)</f>
        <v>0</v>
      </c>
      <c r="T61" s="215"/>
      <c r="U61" s="421">
        <f>$F$8</f>
        <v>2024</v>
      </c>
      <c r="V61" s="421">
        <f>$H$8</f>
        <v>2025</v>
      </c>
      <c r="W61" s="421">
        <f>$J$8</f>
        <v>2026</v>
      </c>
      <c r="X61" s="421">
        <f>$L$8</f>
        <v>2027</v>
      </c>
      <c r="Y61" s="421">
        <f>$N$8</f>
        <v>2028</v>
      </c>
      <c r="Z61" s="421">
        <f>$P$8</f>
        <v>2029</v>
      </c>
      <c r="AA61" s="421">
        <f>$R$8</f>
        <v>2030</v>
      </c>
      <c r="AB61" s="420"/>
      <c r="AC61" s="420"/>
      <c r="AD61" s="420"/>
      <c r="AE61" s="420"/>
      <c r="AF61" s="420"/>
      <c r="AG61" s="420"/>
      <c r="AH61" s="575"/>
      <c r="AI61" s="17"/>
      <c r="AJ61" s="17"/>
    </row>
    <row r="62" spans="1:36" s="2" customFormat="1" ht="11.25" customHeight="1">
      <c r="A62" s="96"/>
      <c r="B62" s="357"/>
      <c r="C62" s="88" t="s">
        <v>191</v>
      </c>
      <c r="D62" s="434">
        <v>0</v>
      </c>
      <c r="E62" s="435"/>
      <c r="F62" s="436">
        <f>D62+D62*U62</f>
        <v>0</v>
      </c>
      <c r="G62" s="515"/>
      <c r="H62" s="436">
        <f>F62+F62*V62</f>
        <v>0</v>
      </c>
      <c r="I62" s="437"/>
      <c r="J62" s="436">
        <f>H62+H62*W62</f>
        <v>0</v>
      </c>
      <c r="K62" s="437"/>
      <c r="L62" s="436">
        <f>J62+J62*X62</f>
        <v>0</v>
      </c>
      <c r="M62" s="437"/>
      <c r="N62" s="436">
        <f>L62+L62*Y62</f>
        <v>0</v>
      </c>
      <c r="O62" s="437"/>
      <c r="P62" s="436">
        <f>N62+N62*Z62</f>
        <v>0</v>
      </c>
      <c r="Q62" s="437"/>
      <c r="R62" s="436">
        <f>P62+P62*AA62</f>
        <v>0</v>
      </c>
      <c r="S62" s="437"/>
      <c r="T62" s="215"/>
      <c r="U62" s="340">
        <v>0.03</v>
      </c>
      <c r="V62" s="340">
        <f t="shared" ref="V62:AA62" si="17">U62</f>
        <v>0.03</v>
      </c>
      <c r="W62" s="340">
        <f t="shared" si="17"/>
        <v>0.03</v>
      </c>
      <c r="X62" s="340">
        <f t="shared" si="17"/>
        <v>0.03</v>
      </c>
      <c r="Y62" s="340">
        <f t="shared" si="17"/>
        <v>0.03</v>
      </c>
      <c r="Z62" s="340">
        <f t="shared" si="17"/>
        <v>0.03</v>
      </c>
      <c r="AA62" s="340">
        <f t="shared" si="17"/>
        <v>0.03</v>
      </c>
      <c r="AB62" s="420"/>
      <c r="AC62" s="420"/>
      <c r="AD62" s="420"/>
      <c r="AE62" s="420"/>
      <c r="AF62" s="420"/>
      <c r="AG62" s="420"/>
      <c r="AH62" s="575"/>
      <c r="AI62" s="17"/>
      <c r="AJ62" s="17"/>
    </row>
    <row r="63" spans="1:36" s="2" customFormat="1" ht="11.25" customHeight="1">
      <c r="A63" s="96"/>
      <c r="B63" s="357"/>
      <c r="C63" s="88" t="s">
        <v>54</v>
      </c>
      <c r="D63" s="434">
        <v>0</v>
      </c>
      <c r="E63" s="435"/>
      <c r="F63" s="436">
        <f>D63+D63*U63</f>
        <v>0</v>
      </c>
      <c r="G63" s="515"/>
      <c r="H63" s="436">
        <f>F63+F63*V63</f>
        <v>0</v>
      </c>
      <c r="I63" s="437"/>
      <c r="J63" s="436">
        <f>H63+H63*W63</f>
        <v>0</v>
      </c>
      <c r="K63" s="437"/>
      <c r="L63" s="436">
        <f>J63+J63*X63</f>
        <v>0</v>
      </c>
      <c r="M63" s="437"/>
      <c r="N63" s="436">
        <f>L63+L63*Y63</f>
        <v>0</v>
      </c>
      <c r="O63" s="437"/>
      <c r="P63" s="436">
        <f>N63+N63*Z63</f>
        <v>0</v>
      </c>
      <c r="Q63" s="437"/>
      <c r="R63" s="436">
        <f>P63+P63*AA63</f>
        <v>0</v>
      </c>
      <c r="S63" s="437"/>
      <c r="T63" s="215"/>
      <c r="U63" s="340">
        <v>0.03</v>
      </c>
      <c r="V63" s="340">
        <f t="shared" ref="V63:AA63" si="18">U63</f>
        <v>0.03</v>
      </c>
      <c r="W63" s="340">
        <f t="shared" si="18"/>
        <v>0.03</v>
      </c>
      <c r="X63" s="340">
        <f t="shared" si="18"/>
        <v>0.03</v>
      </c>
      <c r="Y63" s="340">
        <f t="shared" si="18"/>
        <v>0.03</v>
      </c>
      <c r="Z63" s="340">
        <f t="shared" si="18"/>
        <v>0.03</v>
      </c>
      <c r="AA63" s="340">
        <f t="shared" si="18"/>
        <v>0.03</v>
      </c>
      <c r="AB63" s="420"/>
      <c r="AC63" s="420"/>
      <c r="AD63" s="420"/>
      <c r="AE63" s="420"/>
      <c r="AF63" s="420"/>
      <c r="AG63" s="420"/>
      <c r="AH63" s="575"/>
      <c r="AI63" s="17"/>
      <c r="AJ63" s="17"/>
    </row>
    <row r="64" spans="1:36" s="2" customFormat="1" ht="11.25" customHeight="1" thickBot="1">
      <c r="B64" s="358"/>
      <c r="C64" s="256" t="s">
        <v>192</v>
      </c>
      <c r="D64" s="526">
        <v>0</v>
      </c>
      <c r="E64" s="439"/>
      <c r="F64" s="436">
        <f>D64+D64*U64</f>
        <v>0</v>
      </c>
      <c r="G64" s="515"/>
      <c r="H64" s="436">
        <f>F64+F64*V64</f>
        <v>0</v>
      </c>
      <c r="I64" s="437"/>
      <c r="J64" s="436">
        <f>H64+H64*W64</f>
        <v>0</v>
      </c>
      <c r="K64" s="437"/>
      <c r="L64" s="436">
        <f>J64+J64*X64</f>
        <v>0</v>
      </c>
      <c r="M64" s="437"/>
      <c r="N64" s="436">
        <f>L64+L64*Y64</f>
        <v>0</v>
      </c>
      <c r="O64" s="437"/>
      <c r="P64" s="436">
        <f>N64+N64*Z64</f>
        <v>0</v>
      </c>
      <c r="Q64" s="437"/>
      <c r="R64" s="436">
        <f>P64+P64*AA64</f>
        <v>0</v>
      </c>
      <c r="S64" s="527"/>
      <c r="T64" s="213"/>
      <c r="U64" s="340">
        <v>0.03</v>
      </c>
      <c r="V64" s="340">
        <f t="shared" ref="V64:AA64" si="19">U64</f>
        <v>0.03</v>
      </c>
      <c r="W64" s="340">
        <f t="shared" si="19"/>
        <v>0.03</v>
      </c>
      <c r="X64" s="340">
        <f t="shared" si="19"/>
        <v>0.03</v>
      </c>
      <c r="Y64" s="340">
        <f t="shared" si="19"/>
        <v>0.03</v>
      </c>
      <c r="Z64" s="340">
        <f t="shared" si="19"/>
        <v>0.03</v>
      </c>
      <c r="AA64" s="340">
        <f t="shared" si="19"/>
        <v>0.03</v>
      </c>
      <c r="AB64" s="420"/>
      <c r="AC64" s="420"/>
      <c r="AD64" s="420"/>
      <c r="AE64" s="420"/>
      <c r="AF64" s="420"/>
      <c r="AG64" s="420"/>
      <c r="AH64" s="575"/>
      <c r="AI64" s="17"/>
      <c r="AJ64" s="17"/>
    </row>
    <row r="65" spans="1:36" s="2" customFormat="1" ht="12" customHeight="1">
      <c r="B65" s="248" t="s">
        <v>298</v>
      </c>
      <c r="C65" s="249" t="s">
        <v>287</v>
      </c>
      <c r="D65" s="528">
        <f>D66*D67</f>
        <v>0</v>
      </c>
      <c r="E65" s="529">
        <f ca="1">IF(D$87=0,0,100*D65/D$87)</f>
        <v>0</v>
      </c>
      <c r="F65" s="433">
        <f>F66*F67</f>
        <v>0</v>
      </c>
      <c r="G65" s="529">
        <f t="shared" ca="1" si="15"/>
        <v>0</v>
      </c>
      <c r="H65" s="433">
        <f>H66*H67</f>
        <v>0</v>
      </c>
      <c r="I65" s="529">
        <f ca="1">IF(H$87=0,0,100*H65/H$87)</f>
        <v>0</v>
      </c>
      <c r="J65" s="433">
        <f>J66*J67</f>
        <v>0</v>
      </c>
      <c r="K65" s="529">
        <f ca="1">IF(J$87=0,0,100*J65/J$87)</f>
        <v>0</v>
      </c>
      <c r="L65" s="433">
        <f>L66*L67</f>
        <v>0</v>
      </c>
      <c r="M65" s="529">
        <f ca="1">IF(L$87=0,0,100*L65/L$87)</f>
        <v>0</v>
      </c>
      <c r="N65" s="433">
        <f>N66*N67</f>
        <v>0</v>
      </c>
      <c r="O65" s="529">
        <f ca="1">IF(N$87=0,0,100*N65/N$87)</f>
        <v>0</v>
      </c>
      <c r="P65" s="433">
        <f>P66*P67</f>
        <v>0</v>
      </c>
      <c r="Q65" s="529">
        <f ca="1">IF(P$87=0,0,100*P65/P$87)</f>
        <v>0</v>
      </c>
      <c r="R65" s="433">
        <f>R66*R67</f>
        <v>0</v>
      </c>
      <c r="S65" s="432">
        <f ca="1">IF(R$87=0,0,100*R65/R$87)</f>
        <v>0</v>
      </c>
      <c r="T65" s="213"/>
      <c r="U65" s="421">
        <f>$F$8</f>
        <v>2024</v>
      </c>
      <c r="V65" s="421">
        <f>$H$8</f>
        <v>2025</v>
      </c>
      <c r="W65" s="421">
        <f>$J$8</f>
        <v>2026</v>
      </c>
      <c r="X65" s="421">
        <f>$L$8</f>
        <v>2027</v>
      </c>
      <c r="Y65" s="421">
        <f>$N$8</f>
        <v>2028</v>
      </c>
      <c r="Z65" s="421">
        <f>$P$8</f>
        <v>2029</v>
      </c>
      <c r="AA65" s="421">
        <f>$R$8</f>
        <v>2030</v>
      </c>
      <c r="AB65" s="420"/>
      <c r="AC65" s="420"/>
      <c r="AD65" s="420"/>
      <c r="AE65" s="420"/>
      <c r="AF65" s="420"/>
      <c r="AG65" s="420"/>
      <c r="AH65" s="575"/>
      <c r="AI65" s="17"/>
      <c r="AJ65" s="17"/>
    </row>
    <row r="66" spans="1:36" s="2" customFormat="1" ht="11.25" customHeight="1">
      <c r="A66" s="96"/>
      <c r="B66" s="357"/>
      <c r="C66" s="88" t="s">
        <v>159</v>
      </c>
      <c r="D66" s="434">
        <v>0</v>
      </c>
      <c r="E66" s="514"/>
      <c r="F66" s="436">
        <f>D66+D66*U66</f>
        <v>0</v>
      </c>
      <c r="G66" s="515"/>
      <c r="H66" s="436">
        <f>F66+F66*V66</f>
        <v>0</v>
      </c>
      <c r="I66" s="437"/>
      <c r="J66" s="436">
        <f>H66+H66*W66</f>
        <v>0</v>
      </c>
      <c r="K66" s="437"/>
      <c r="L66" s="436">
        <f>J66+J66*X66</f>
        <v>0</v>
      </c>
      <c r="M66" s="437"/>
      <c r="N66" s="436">
        <f>L66+L66*Y66</f>
        <v>0</v>
      </c>
      <c r="O66" s="437"/>
      <c r="P66" s="436">
        <f>N66+N66*Z66</f>
        <v>0</v>
      </c>
      <c r="Q66" s="437"/>
      <c r="R66" s="436">
        <f>P66+P66*AA66</f>
        <v>0</v>
      </c>
      <c r="S66" s="435"/>
      <c r="T66" s="213"/>
      <c r="U66" s="340">
        <v>0.03</v>
      </c>
      <c r="V66" s="340">
        <f t="shared" ref="V66:AA66" si="20">U66</f>
        <v>0.03</v>
      </c>
      <c r="W66" s="340">
        <f t="shared" si="20"/>
        <v>0.03</v>
      </c>
      <c r="X66" s="340">
        <f t="shared" si="20"/>
        <v>0.03</v>
      </c>
      <c r="Y66" s="340">
        <f t="shared" si="20"/>
        <v>0.03</v>
      </c>
      <c r="Z66" s="340">
        <f t="shared" si="20"/>
        <v>0.03</v>
      </c>
      <c r="AA66" s="340">
        <f t="shared" si="20"/>
        <v>0.03</v>
      </c>
      <c r="AB66" s="420"/>
      <c r="AC66" s="420"/>
      <c r="AD66" s="420"/>
      <c r="AE66" s="420"/>
      <c r="AF66" s="420"/>
      <c r="AG66" s="420"/>
      <c r="AH66" s="575"/>
      <c r="AI66" s="17"/>
      <c r="AJ66" s="17"/>
    </row>
    <row r="67" spans="1:36" s="2" customFormat="1" ht="11.25" customHeight="1" thickBot="1">
      <c r="A67" s="96"/>
      <c r="B67" s="369"/>
      <c r="C67" s="113" t="s">
        <v>188</v>
      </c>
      <c r="D67" s="530">
        <v>0</v>
      </c>
      <c r="E67" s="514"/>
      <c r="F67" s="530">
        <f>D67</f>
        <v>0</v>
      </c>
      <c r="G67" s="514"/>
      <c r="H67" s="530">
        <f>F67</f>
        <v>0</v>
      </c>
      <c r="I67" s="514"/>
      <c r="J67" s="530">
        <f>H67</f>
        <v>0</v>
      </c>
      <c r="K67" s="514"/>
      <c r="L67" s="530">
        <f>J67</f>
        <v>0</v>
      </c>
      <c r="M67" s="514"/>
      <c r="N67" s="530">
        <f>L67</f>
        <v>0</v>
      </c>
      <c r="O67" s="514"/>
      <c r="P67" s="530">
        <f>N67</f>
        <v>0</v>
      </c>
      <c r="Q67" s="514"/>
      <c r="R67" s="530">
        <f>P67</f>
        <v>0</v>
      </c>
      <c r="S67" s="435"/>
      <c r="T67" s="213"/>
      <c r="U67" s="586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575"/>
      <c r="AI67" s="17"/>
      <c r="AJ67" s="17"/>
    </row>
    <row r="68" spans="1:36" ht="12" customHeight="1">
      <c r="B68" s="248" t="s">
        <v>299</v>
      </c>
      <c r="C68" s="242" t="s">
        <v>288</v>
      </c>
      <c r="D68" s="528">
        <f>D69*D70+D71+D72+D73</f>
        <v>0</v>
      </c>
      <c r="E68" s="432">
        <f ca="1">IF(D$87=0,0,100*D68/D$87)</f>
        <v>0</v>
      </c>
      <c r="F68" s="433">
        <f>F69*F70+F71+F72+F73</f>
        <v>0</v>
      </c>
      <c r="G68" s="432">
        <f ca="1">IF(F$87=0,0,100*F68/F$87)</f>
        <v>0</v>
      </c>
      <c r="H68" s="433">
        <f>H69*H70+H71+H72+H73</f>
        <v>0</v>
      </c>
      <c r="I68" s="432">
        <f ca="1">IF(H$87=0,0,100*H68/H$87)</f>
        <v>0</v>
      </c>
      <c r="J68" s="433">
        <f>J69*J70+J71+J72+J73</f>
        <v>0</v>
      </c>
      <c r="K68" s="432">
        <f ca="1">IF(J$87=0,0,100*J68/J$87)</f>
        <v>0</v>
      </c>
      <c r="L68" s="433">
        <f>L69*L70+L71+L72+L73</f>
        <v>0</v>
      </c>
      <c r="M68" s="432">
        <f ca="1">IF(L$87=0,0,100*L68/L$87)</f>
        <v>0</v>
      </c>
      <c r="N68" s="433">
        <f>N69*N70+N71+N72+N73</f>
        <v>0</v>
      </c>
      <c r="O68" s="432">
        <f ca="1">IF(N$87=0,0,100*N68/N$87)</f>
        <v>0</v>
      </c>
      <c r="P68" s="433">
        <f>P69*P70+P71+P72+P73</f>
        <v>0</v>
      </c>
      <c r="Q68" s="432">
        <f ca="1">IF(P$87=0,0,100*P68/P$87)</f>
        <v>0</v>
      </c>
      <c r="R68" s="433">
        <f>R69*R70+R71+R72+R73</f>
        <v>0</v>
      </c>
      <c r="S68" s="432">
        <f ca="1">IF(R$87=0,0,100*R68/R$87)</f>
        <v>0</v>
      </c>
      <c r="T68" s="215"/>
      <c r="U68" s="421">
        <f>$F$8</f>
        <v>2024</v>
      </c>
      <c r="V68" s="421">
        <f>$H$8</f>
        <v>2025</v>
      </c>
      <c r="W68" s="421">
        <f>$J$8</f>
        <v>2026</v>
      </c>
      <c r="X68" s="421">
        <f>$L$8</f>
        <v>2027</v>
      </c>
      <c r="Y68" s="421">
        <f>$N$8</f>
        <v>2028</v>
      </c>
      <c r="Z68" s="421">
        <f>$P$8</f>
        <v>2029</v>
      </c>
      <c r="AA68" s="421">
        <f>$R$8</f>
        <v>2030</v>
      </c>
      <c r="AB68" s="420"/>
      <c r="AC68" s="420"/>
      <c r="AD68" s="420"/>
      <c r="AE68" s="420"/>
      <c r="AF68" s="420" t="s">
        <v>0</v>
      </c>
      <c r="AG68" s="420"/>
      <c r="AH68" s="575"/>
      <c r="AI68" s="17"/>
      <c r="AJ68" s="17"/>
    </row>
    <row r="69" spans="1:36" ht="11.25" customHeight="1">
      <c r="A69" s="96"/>
      <c r="B69" s="357"/>
      <c r="C69" s="255" t="s">
        <v>161</v>
      </c>
      <c r="D69" s="434">
        <v>0</v>
      </c>
      <c r="E69" s="514"/>
      <c r="F69" s="436">
        <f>D69+D69*U69</f>
        <v>0</v>
      </c>
      <c r="G69" s="515"/>
      <c r="H69" s="436">
        <f>F69+F69*V69</f>
        <v>0</v>
      </c>
      <c r="I69" s="437"/>
      <c r="J69" s="436">
        <f>H69+H69*W69</f>
        <v>0</v>
      </c>
      <c r="K69" s="437"/>
      <c r="L69" s="436">
        <f>J69+J69*X69</f>
        <v>0</v>
      </c>
      <c r="M69" s="437"/>
      <c r="N69" s="436">
        <f>L69+L69*Y69</f>
        <v>0</v>
      </c>
      <c r="O69" s="437"/>
      <c r="P69" s="436">
        <f>N69+N69*Z69</f>
        <v>0</v>
      </c>
      <c r="Q69" s="437"/>
      <c r="R69" s="436">
        <f>P69+P69*AA69</f>
        <v>0</v>
      </c>
      <c r="S69" s="435"/>
      <c r="T69" s="216"/>
      <c r="U69" s="340">
        <v>0.03</v>
      </c>
      <c r="V69" s="340">
        <f t="shared" ref="V69:X76" si="21">U69</f>
        <v>0.03</v>
      </c>
      <c r="W69" s="340">
        <f t="shared" si="21"/>
        <v>0.03</v>
      </c>
      <c r="X69" s="340">
        <f t="shared" si="21"/>
        <v>0.03</v>
      </c>
      <c r="Y69" s="340">
        <f t="shared" ref="Y69:AA76" si="22">X69</f>
        <v>0.03</v>
      </c>
      <c r="Z69" s="340">
        <f t="shared" si="22"/>
        <v>0.03</v>
      </c>
      <c r="AA69" s="340">
        <f t="shared" si="22"/>
        <v>0.03</v>
      </c>
      <c r="AB69" s="420"/>
      <c r="AC69" s="420"/>
      <c r="AD69" s="420"/>
      <c r="AE69" s="420"/>
      <c r="AF69" s="420"/>
      <c r="AG69" s="420"/>
      <c r="AH69" s="575"/>
      <c r="AI69" s="17"/>
      <c r="AJ69" s="17"/>
    </row>
    <row r="70" spans="1:36" s="2" customFormat="1" ht="11.25" customHeight="1">
      <c r="A70" s="96"/>
      <c r="B70" s="369"/>
      <c r="C70" s="113" t="s">
        <v>189</v>
      </c>
      <c r="D70" s="530">
        <v>0</v>
      </c>
      <c r="E70" s="514"/>
      <c r="F70" s="530">
        <f>D70</f>
        <v>0</v>
      </c>
      <c r="G70" s="514"/>
      <c r="H70" s="530">
        <f>F70</f>
        <v>0</v>
      </c>
      <c r="I70" s="514"/>
      <c r="J70" s="530">
        <f>H70</f>
        <v>0</v>
      </c>
      <c r="K70" s="514"/>
      <c r="L70" s="530">
        <f>J70</f>
        <v>0</v>
      </c>
      <c r="M70" s="514"/>
      <c r="N70" s="530">
        <f>L70</f>
        <v>0</v>
      </c>
      <c r="O70" s="514"/>
      <c r="P70" s="530">
        <f>N70</f>
        <v>0</v>
      </c>
      <c r="Q70" s="514"/>
      <c r="R70" s="530">
        <f>P70</f>
        <v>0</v>
      </c>
      <c r="S70" s="435"/>
      <c r="T70" s="213"/>
      <c r="U70" s="586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575"/>
      <c r="AI70" s="17"/>
      <c r="AJ70" s="17"/>
    </row>
    <row r="71" spans="1:36" ht="11.25" customHeight="1">
      <c r="A71" s="2"/>
      <c r="B71" s="357"/>
      <c r="C71" s="255" t="s">
        <v>7</v>
      </c>
      <c r="D71" s="434">
        <v>0</v>
      </c>
      <c r="E71" s="514"/>
      <c r="F71" s="436">
        <f t="shared" ref="F71:F76" si="23">D71+D71*U71</f>
        <v>0</v>
      </c>
      <c r="G71" s="515"/>
      <c r="H71" s="436">
        <f t="shared" ref="H71:H76" si="24">F71+F71*V71</f>
        <v>0</v>
      </c>
      <c r="I71" s="437"/>
      <c r="J71" s="436">
        <f t="shared" ref="J71:J76" si="25">H71+H71*W71</f>
        <v>0</v>
      </c>
      <c r="K71" s="437"/>
      <c r="L71" s="436">
        <f t="shared" ref="L71:L76" si="26">J71+J71*X71</f>
        <v>0</v>
      </c>
      <c r="M71" s="437"/>
      <c r="N71" s="436">
        <f t="shared" ref="N71:N76" si="27">L71+L71*Y71</f>
        <v>0</v>
      </c>
      <c r="O71" s="437"/>
      <c r="P71" s="436">
        <f t="shared" ref="P71:P76" si="28">N71+N71*Z71</f>
        <v>0</v>
      </c>
      <c r="Q71" s="437"/>
      <c r="R71" s="436">
        <f t="shared" ref="R71:R76" si="29">P71+P71*AA71</f>
        <v>0</v>
      </c>
      <c r="S71" s="435"/>
      <c r="T71" s="216"/>
      <c r="U71" s="340">
        <v>0.03</v>
      </c>
      <c r="V71" s="340">
        <f t="shared" si="21"/>
        <v>0.03</v>
      </c>
      <c r="W71" s="340">
        <f t="shared" si="21"/>
        <v>0.03</v>
      </c>
      <c r="X71" s="340">
        <f t="shared" si="21"/>
        <v>0.03</v>
      </c>
      <c r="Y71" s="340">
        <f t="shared" si="22"/>
        <v>0.03</v>
      </c>
      <c r="Z71" s="340">
        <f t="shared" si="22"/>
        <v>0.03</v>
      </c>
      <c r="AA71" s="340">
        <f t="shared" si="22"/>
        <v>0.03</v>
      </c>
      <c r="AB71" s="420"/>
      <c r="AC71" s="420"/>
      <c r="AD71" s="420"/>
      <c r="AE71" s="420"/>
      <c r="AF71" s="420"/>
      <c r="AG71" s="420"/>
      <c r="AH71" s="575"/>
      <c r="AI71" s="17"/>
      <c r="AJ71" s="17"/>
    </row>
    <row r="72" spans="1:36" ht="11.25" customHeight="1">
      <c r="A72" s="2"/>
      <c r="B72" s="357"/>
      <c r="C72" s="255" t="s">
        <v>6</v>
      </c>
      <c r="D72" s="434">
        <v>0</v>
      </c>
      <c r="E72" s="514"/>
      <c r="F72" s="436">
        <f t="shared" si="23"/>
        <v>0</v>
      </c>
      <c r="G72" s="515"/>
      <c r="H72" s="436">
        <f t="shared" si="24"/>
        <v>0</v>
      </c>
      <c r="I72" s="437"/>
      <c r="J72" s="436">
        <f t="shared" si="25"/>
        <v>0</v>
      </c>
      <c r="K72" s="437"/>
      <c r="L72" s="436">
        <f t="shared" si="26"/>
        <v>0</v>
      </c>
      <c r="M72" s="437"/>
      <c r="N72" s="436">
        <f t="shared" si="27"/>
        <v>0</v>
      </c>
      <c r="O72" s="437"/>
      <c r="P72" s="436">
        <f t="shared" si="28"/>
        <v>0</v>
      </c>
      <c r="Q72" s="437"/>
      <c r="R72" s="436">
        <f t="shared" si="29"/>
        <v>0</v>
      </c>
      <c r="S72" s="435"/>
      <c r="T72" s="216"/>
      <c r="U72" s="340">
        <v>0.03</v>
      </c>
      <c r="V72" s="340">
        <f t="shared" si="21"/>
        <v>0.03</v>
      </c>
      <c r="W72" s="340">
        <f t="shared" si="21"/>
        <v>0.03</v>
      </c>
      <c r="X72" s="340">
        <f t="shared" si="21"/>
        <v>0.03</v>
      </c>
      <c r="Y72" s="340">
        <f t="shared" si="22"/>
        <v>0.03</v>
      </c>
      <c r="Z72" s="340">
        <f t="shared" si="22"/>
        <v>0.03</v>
      </c>
      <c r="AA72" s="340">
        <f t="shared" si="22"/>
        <v>0.03</v>
      </c>
      <c r="AB72" s="420"/>
      <c r="AC72" s="420"/>
      <c r="AD72" s="420"/>
      <c r="AE72" s="420"/>
      <c r="AF72" s="420"/>
      <c r="AG72" s="420"/>
      <c r="AH72" s="575"/>
      <c r="AI72" s="17"/>
      <c r="AJ72" s="17"/>
    </row>
    <row r="73" spans="1:36" ht="11.25" customHeight="1" thickBot="1">
      <c r="A73" s="96"/>
      <c r="B73" s="358"/>
      <c r="C73" s="256" t="s">
        <v>53</v>
      </c>
      <c r="D73" s="526">
        <v>0</v>
      </c>
      <c r="E73" s="531"/>
      <c r="F73" s="454">
        <f t="shared" si="23"/>
        <v>0</v>
      </c>
      <c r="G73" s="532"/>
      <c r="H73" s="454">
        <f t="shared" si="24"/>
        <v>0</v>
      </c>
      <c r="I73" s="455"/>
      <c r="J73" s="454">
        <f t="shared" si="25"/>
        <v>0</v>
      </c>
      <c r="K73" s="455"/>
      <c r="L73" s="454">
        <f t="shared" si="26"/>
        <v>0</v>
      </c>
      <c r="M73" s="455"/>
      <c r="N73" s="454">
        <f t="shared" si="27"/>
        <v>0</v>
      </c>
      <c r="O73" s="455"/>
      <c r="P73" s="454">
        <f t="shared" si="28"/>
        <v>0</v>
      </c>
      <c r="Q73" s="455"/>
      <c r="R73" s="454">
        <f t="shared" si="29"/>
        <v>0</v>
      </c>
      <c r="S73" s="442"/>
      <c r="T73" s="216"/>
      <c r="U73" s="340">
        <v>0.03</v>
      </c>
      <c r="V73" s="340">
        <f t="shared" si="21"/>
        <v>0.03</v>
      </c>
      <c r="W73" s="340">
        <f t="shared" si="21"/>
        <v>0.03</v>
      </c>
      <c r="X73" s="340">
        <f t="shared" si="21"/>
        <v>0.03</v>
      </c>
      <c r="Y73" s="340">
        <f t="shared" si="22"/>
        <v>0.03</v>
      </c>
      <c r="Z73" s="340">
        <f t="shared" si="22"/>
        <v>0.03</v>
      </c>
      <c r="AA73" s="340">
        <f t="shared" si="22"/>
        <v>0.03</v>
      </c>
      <c r="AB73" s="420"/>
      <c r="AC73" s="420"/>
      <c r="AD73" s="420"/>
      <c r="AE73" s="420"/>
      <c r="AF73" s="420"/>
      <c r="AG73" s="420"/>
      <c r="AH73" s="575"/>
      <c r="AI73" s="17"/>
      <c r="AJ73" s="17"/>
    </row>
    <row r="74" spans="1:36" ht="12" customHeight="1" thickBot="1">
      <c r="B74" s="248" t="s">
        <v>300</v>
      </c>
      <c r="C74" s="242" t="s">
        <v>289</v>
      </c>
      <c r="D74" s="431">
        <v>0</v>
      </c>
      <c r="E74" s="432">
        <f ca="1">IF(D$87=0,0,100*D74/D$87)</f>
        <v>0</v>
      </c>
      <c r="F74" s="445">
        <f t="shared" si="23"/>
        <v>0</v>
      </c>
      <c r="G74" s="446">
        <f ca="1">IF(F$87=0,0,100*F74/F$87)</f>
        <v>0</v>
      </c>
      <c r="H74" s="445">
        <f t="shared" si="24"/>
        <v>0</v>
      </c>
      <c r="I74" s="446">
        <f ca="1">IF(H$87=0,0,100*H74/H$87)</f>
        <v>0</v>
      </c>
      <c r="J74" s="445">
        <f t="shared" si="25"/>
        <v>0</v>
      </c>
      <c r="K74" s="446">
        <f ca="1">IF(J$87=0,0,100*J74/J$87)</f>
        <v>0</v>
      </c>
      <c r="L74" s="445">
        <f t="shared" si="26"/>
        <v>0</v>
      </c>
      <c r="M74" s="446">
        <f ca="1">IF(L$87=0,0,100*L74/L$87)</f>
        <v>0</v>
      </c>
      <c r="N74" s="445">
        <f t="shared" si="27"/>
        <v>0</v>
      </c>
      <c r="O74" s="446">
        <f ca="1">IF(N$87=0,0,100*N74/N$87)</f>
        <v>0</v>
      </c>
      <c r="P74" s="445">
        <f t="shared" si="28"/>
        <v>0</v>
      </c>
      <c r="Q74" s="446">
        <f ca="1">IF(P$87=0,0,100*P74/P$87)</f>
        <v>0</v>
      </c>
      <c r="R74" s="445">
        <f t="shared" si="29"/>
        <v>0</v>
      </c>
      <c r="S74" s="512">
        <f ca="1">IF(R$87=0,0,100*R74/R$87)</f>
        <v>0</v>
      </c>
      <c r="T74" s="215"/>
      <c r="U74" s="340">
        <v>0.03</v>
      </c>
      <c r="V74" s="340">
        <f t="shared" si="21"/>
        <v>0.03</v>
      </c>
      <c r="W74" s="340">
        <f t="shared" si="21"/>
        <v>0.03</v>
      </c>
      <c r="X74" s="340">
        <f t="shared" si="21"/>
        <v>0.03</v>
      </c>
      <c r="Y74" s="340">
        <f t="shared" si="22"/>
        <v>0.03</v>
      </c>
      <c r="Z74" s="340">
        <f t="shared" si="22"/>
        <v>0.03</v>
      </c>
      <c r="AA74" s="340">
        <f t="shared" si="22"/>
        <v>0.03</v>
      </c>
      <c r="AB74" s="420"/>
      <c r="AC74" s="420"/>
      <c r="AD74" s="420"/>
      <c r="AE74" s="420"/>
      <c r="AF74" s="420"/>
      <c r="AG74" s="420"/>
      <c r="AH74" s="575"/>
      <c r="AI74" s="17"/>
      <c r="AJ74" s="17"/>
    </row>
    <row r="75" spans="1:36" ht="12" customHeight="1" thickBot="1">
      <c r="A75" s="96"/>
      <c r="B75" s="250" t="s">
        <v>301</v>
      </c>
      <c r="C75" s="243" t="s">
        <v>290</v>
      </c>
      <c r="D75" s="445">
        <v>0</v>
      </c>
      <c r="E75" s="432">
        <f ca="1">IF(D$87=0,0,100*D75/D$87)</f>
        <v>0</v>
      </c>
      <c r="F75" s="445">
        <f t="shared" si="23"/>
        <v>0</v>
      </c>
      <c r="G75" s="446">
        <f ca="1">IF(F$87=0,0,100*F75/F$87)</f>
        <v>0</v>
      </c>
      <c r="H75" s="445">
        <f t="shared" si="24"/>
        <v>0</v>
      </c>
      <c r="I75" s="446">
        <f ca="1">IF(H$87=0,0,100*H75/H$87)</f>
        <v>0</v>
      </c>
      <c r="J75" s="445">
        <f t="shared" si="25"/>
        <v>0</v>
      </c>
      <c r="K75" s="446">
        <f ca="1">IF(J$87=0,0,100*J75/J$87)</f>
        <v>0</v>
      </c>
      <c r="L75" s="445">
        <f t="shared" si="26"/>
        <v>0</v>
      </c>
      <c r="M75" s="446">
        <f ca="1">IF(L$87=0,0,100*L75/L$87)</f>
        <v>0</v>
      </c>
      <c r="N75" s="445">
        <f t="shared" si="27"/>
        <v>0</v>
      </c>
      <c r="O75" s="446">
        <f ca="1">IF(N$87=0,0,100*N75/N$87)</f>
        <v>0</v>
      </c>
      <c r="P75" s="445">
        <f t="shared" si="28"/>
        <v>0</v>
      </c>
      <c r="Q75" s="446">
        <f ca="1">IF(P$87=0,0,100*P75/P$87)</f>
        <v>0</v>
      </c>
      <c r="R75" s="445">
        <f t="shared" si="29"/>
        <v>0</v>
      </c>
      <c r="S75" s="512">
        <f ca="1">IF(R$87=0,0,100*R75/R$87)</f>
        <v>0</v>
      </c>
      <c r="T75" s="217"/>
      <c r="U75" s="340">
        <v>0.03</v>
      </c>
      <c r="V75" s="340">
        <f t="shared" si="21"/>
        <v>0.03</v>
      </c>
      <c r="W75" s="340">
        <f t="shared" si="21"/>
        <v>0.03</v>
      </c>
      <c r="X75" s="340">
        <f t="shared" si="21"/>
        <v>0.03</v>
      </c>
      <c r="Y75" s="340">
        <f t="shared" si="22"/>
        <v>0.03</v>
      </c>
      <c r="Z75" s="340">
        <f t="shared" si="22"/>
        <v>0.03</v>
      </c>
      <c r="AA75" s="340">
        <f t="shared" si="22"/>
        <v>0.03</v>
      </c>
      <c r="AB75" s="420"/>
      <c r="AC75" s="420"/>
      <c r="AD75" s="420"/>
      <c r="AE75" s="420"/>
      <c r="AF75" s="420"/>
      <c r="AG75" s="420"/>
      <c r="AH75" s="575"/>
      <c r="AI75" s="17"/>
      <c r="AJ75" s="17"/>
    </row>
    <row r="76" spans="1:36" ht="12" customHeight="1" thickBot="1">
      <c r="A76" s="2"/>
      <c r="B76" s="250" t="s">
        <v>302</v>
      </c>
      <c r="C76" s="243" t="s">
        <v>291</v>
      </c>
      <c r="D76" s="445">
        <v>0</v>
      </c>
      <c r="E76" s="432">
        <f ca="1">IF(D$87=0,0,100*D76/D$87)</f>
        <v>0</v>
      </c>
      <c r="F76" s="445">
        <f t="shared" si="23"/>
        <v>0</v>
      </c>
      <c r="G76" s="446">
        <f ca="1">IF(F$87=0,0,100*F76/F$87)</f>
        <v>0</v>
      </c>
      <c r="H76" s="445">
        <f t="shared" si="24"/>
        <v>0</v>
      </c>
      <c r="I76" s="446">
        <f ca="1">IF(H$87=0,0,100*H76/H$87)</f>
        <v>0</v>
      </c>
      <c r="J76" s="445">
        <f t="shared" si="25"/>
        <v>0</v>
      </c>
      <c r="K76" s="446">
        <f ca="1">IF(J$87=0,0,100*J76/J$87)</f>
        <v>0</v>
      </c>
      <c r="L76" s="445">
        <f t="shared" si="26"/>
        <v>0</v>
      </c>
      <c r="M76" s="446">
        <f ca="1">IF(L$87=0,0,100*L76/L$87)</f>
        <v>0</v>
      </c>
      <c r="N76" s="445">
        <f t="shared" si="27"/>
        <v>0</v>
      </c>
      <c r="O76" s="446">
        <f ca="1">IF(N$87=0,0,100*N76/N$87)</f>
        <v>0</v>
      </c>
      <c r="P76" s="445">
        <f t="shared" si="28"/>
        <v>0</v>
      </c>
      <c r="Q76" s="446">
        <f ca="1">IF(P$87=0,0,100*P76/P$87)</f>
        <v>0</v>
      </c>
      <c r="R76" s="445">
        <f t="shared" si="29"/>
        <v>0</v>
      </c>
      <c r="S76" s="512">
        <f ca="1">IF(R$87=0,0,100*R76/R$87)</f>
        <v>0</v>
      </c>
      <c r="T76" s="217"/>
      <c r="U76" s="340">
        <v>0.03</v>
      </c>
      <c r="V76" s="340">
        <f t="shared" si="21"/>
        <v>0.03</v>
      </c>
      <c r="W76" s="340">
        <f t="shared" si="21"/>
        <v>0.03</v>
      </c>
      <c r="X76" s="340">
        <f t="shared" si="21"/>
        <v>0.03</v>
      </c>
      <c r="Y76" s="340">
        <f t="shared" si="22"/>
        <v>0.03</v>
      </c>
      <c r="Z76" s="340">
        <f t="shared" si="22"/>
        <v>0.03</v>
      </c>
      <c r="AA76" s="340">
        <f t="shared" si="22"/>
        <v>0.03</v>
      </c>
      <c r="AB76" s="420"/>
      <c r="AC76" s="420"/>
      <c r="AD76" s="420"/>
      <c r="AE76" s="420"/>
      <c r="AF76" s="420"/>
      <c r="AG76" s="420"/>
      <c r="AH76" s="575"/>
      <c r="AI76" s="17"/>
      <c r="AJ76" s="17"/>
    </row>
    <row r="77" spans="1:36" ht="12" customHeight="1">
      <c r="B77" s="248" t="s">
        <v>303</v>
      </c>
      <c r="C77" s="242" t="s">
        <v>292</v>
      </c>
      <c r="D77" s="433">
        <f>SUM(D78:D86)</f>
        <v>0</v>
      </c>
      <c r="E77" s="432">
        <f ca="1">IF(D$87=0,0,100*D77/D$87)</f>
        <v>0</v>
      </c>
      <c r="F77" s="433">
        <f>SUM(F78:F86)</f>
        <v>0</v>
      </c>
      <c r="G77" s="432">
        <f t="shared" ref="G77" ca="1" si="30">IF(F$87=0,0,100*F77/F$87)</f>
        <v>0</v>
      </c>
      <c r="H77" s="433">
        <f>SUM(H78:H86)</f>
        <v>0</v>
      </c>
      <c r="I77" s="432">
        <f ca="1">IF(H$87=0,0,100*H77/H$87)</f>
        <v>0</v>
      </c>
      <c r="J77" s="433">
        <f>SUM(J78:J86)</f>
        <v>0</v>
      </c>
      <c r="K77" s="432">
        <f ca="1">IF(J$87=0,0,100*J77/J$87)</f>
        <v>0</v>
      </c>
      <c r="L77" s="433">
        <f>SUM(L78:L86)</f>
        <v>0</v>
      </c>
      <c r="M77" s="432">
        <f ca="1">IF(L$87=0,0,100*L77/L$87)</f>
        <v>0</v>
      </c>
      <c r="N77" s="433">
        <f>SUM(N78:N86)</f>
        <v>0</v>
      </c>
      <c r="O77" s="432">
        <f ca="1">IF(N$87=0,0,100*N77/N$87)</f>
        <v>0</v>
      </c>
      <c r="P77" s="433">
        <f>SUM(P78:P86)</f>
        <v>0</v>
      </c>
      <c r="Q77" s="432">
        <f ca="1">IF(P$87=0,0,100*P77/P$87)</f>
        <v>0</v>
      </c>
      <c r="R77" s="433">
        <f>SUM(R78:R86)</f>
        <v>0</v>
      </c>
      <c r="S77" s="432">
        <f ca="1">IF(R$87=0,0,100*R77/R$87)</f>
        <v>0</v>
      </c>
      <c r="T77" s="215"/>
      <c r="U77" s="586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575"/>
      <c r="AI77" s="17"/>
      <c r="AJ77" s="17"/>
    </row>
    <row r="78" spans="1:36" ht="11.25" customHeight="1">
      <c r="A78" s="96"/>
      <c r="B78" s="357"/>
      <c r="C78" s="255" t="s">
        <v>57</v>
      </c>
      <c r="D78" s="436">
        <v>0</v>
      </c>
      <c r="E78" s="435"/>
      <c r="F78" s="436">
        <f>D78+D78*U78</f>
        <v>0</v>
      </c>
      <c r="G78" s="437"/>
      <c r="H78" s="436">
        <f>F78+F78*V78</f>
        <v>0</v>
      </c>
      <c r="I78" s="437"/>
      <c r="J78" s="436">
        <f>H78+H78*W78</f>
        <v>0</v>
      </c>
      <c r="K78" s="437"/>
      <c r="L78" s="436">
        <f>J78+J78*X78</f>
        <v>0</v>
      </c>
      <c r="M78" s="437"/>
      <c r="N78" s="436">
        <f>L78+L78*Y78</f>
        <v>0</v>
      </c>
      <c r="O78" s="437"/>
      <c r="P78" s="436">
        <f>N78+N78*Z78</f>
        <v>0</v>
      </c>
      <c r="Q78" s="437"/>
      <c r="R78" s="436">
        <f>P78+P78*AA78</f>
        <v>0</v>
      </c>
      <c r="S78" s="435"/>
      <c r="T78" s="213"/>
      <c r="U78" s="340">
        <v>0.03</v>
      </c>
      <c r="V78" s="340">
        <f t="shared" ref="V78" si="31">U78</f>
        <v>0.03</v>
      </c>
      <c r="W78" s="340">
        <f t="shared" ref="W78" si="32">V78</f>
        <v>0.03</v>
      </c>
      <c r="X78" s="340">
        <f t="shared" ref="X78" si="33">W78</f>
        <v>0.03</v>
      </c>
      <c r="Y78" s="340">
        <f t="shared" ref="Y78" si="34">X78</f>
        <v>0.03</v>
      </c>
      <c r="Z78" s="340">
        <f t="shared" ref="Z78" si="35">Y78</f>
        <v>0.03</v>
      </c>
      <c r="AA78" s="340">
        <f t="shared" ref="AA78" si="36">Z78</f>
        <v>0.03</v>
      </c>
      <c r="AB78" s="420"/>
      <c r="AC78" s="420"/>
      <c r="AD78" s="420"/>
      <c r="AE78" s="420"/>
      <c r="AF78" s="420" t="s">
        <v>0</v>
      </c>
      <c r="AG78" s="420"/>
      <c r="AH78" s="575"/>
      <c r="AI78" s="17"/>
      <c r="AJ78" s="17"/>
    </row>
    <row r="79" spans="1:36" ht="11.25" customHeight="1">
      <c r="B79" s="357"/>
      <c r="C79" s="255" t="s">
        <v>190</v>
      </c>
      <c r="D79" s="436">
        <v>0</v>
      </c>
      <c r="E79" s="435"/>
      <c r="F79" s="436">
        <f t="shared" ref="F79:R85" si="37">D79</f>
        <v>0</v>
      </c>
      <c r="G79" s="437"/>
      <c r="H79" s="436">
        <f t="shared" si="37"/>
        <v>0</v>
      </c>
      <c r="I79" s="437"/>
      <c r="J79" s="436">
        <f t="shared" si="37"/>
        <v>0</v>
      </c>
      <c r="K79" s="437"/>
      <c r="L79" s="436">
        <f t="shared" si="37"/>
        <v>0</v>
      </c>
      <c r="M79" s="437"/>
      <c r="N79" s="436">
        <f t="shared" si="37"/>
        <v>0</v>
      </c>
      <c r="O79" s="437"/>
      <c r="P79" s="436">
        <f t="shared" si="37"/>
        <v>0</v>
      </c>
      <c r="Q79" s="437"/>
      <c r="R79" s="436">
        <f t="shared" si="37"/>
        <v>0</v>
      </c>
      <c r="S79" s="435"/>
      <c r="T79" s="213"/>
      <c r="U79" s="586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575"/>
      <c r="AI79" s="17"/>
      <c r="AJ79" s="17"/>
    </row>
    <row r="80" spans="1:36" ht="11.25" customHeight="1">
      <c r="A80" s="96"/>
      <c r="B80" s="357"/>
      <c r="C80" s="381"/>
      <c r="D80" s="436">
        <v>0</v>
      </c>
      <c r="E80" s="435"/>
      <c r="F80" s="436">
        <f t="shared" si="37"/>
        <v>0</v>
      </c>
      <c r="G80" s="437"/>
      <c r="H80" s="436">
        <f t="shared" si="37"/>
        <v>0</v>
      </c>
      <c r="I80" s="437"/>
      <c r="J80" s="436">
        <f t="shared" si="37"/>
        <v>0</v>
      </c>
      <c r="K80" s="437"/>
      <c r="L80" s="436">
        <f t="shared" si="37"/>
        <v>0</v>
      </c>
      <c r="M80" s="437"/>
      <c r="N80" s="436">
        <f t="shared" si="37"/>
        <v>0</v>
      </c>
      <c r="O80" s="437"/>
      <c r="P80" s="436">
        <f t="shared" si="37"/>
        <v>0</v>
      </c>
      <c r="Q80" s="437"/>
      <c r="R80" s="436">
        <f t="shared" si="37"/>
        <v>0</v>
      </c>
      <c r="S80" s="435"/>
      <c r="T80" s="213"/>
      <c r="U80" s="586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575"/>
      <c r="AI80" s="17"/>
      <c r="AJ80" s="17"/>
    </row>
    <row r="81" spans="1:36" ht="11.25" customHeight="1">
      <c r="B81" s="357"/>
      <c r="C81" s="381"/>
      <c r="D81" s="436"/>
      <c r="E81" s="435"/>
      <c r="F81" s="436">
        <f t="shared" si="37"/>
        <v>0</v>
      </c>
      <c r="G81" s="437"/>
      <c r="H81" s="436">
        <f t="shared" si="37"/>
        <v>0</v>
      </c>
      <c r="I81" s="437"/>
      <c r="J81" s="436">
        <f t="shared" si="37"/>
        <v>0</v>
      </c>
      <c r="K81" s="437"/>
      <c r="L81" s="436">
        <f t="shared" si="37"/>
        <v>0</v>
      </c>
      <c r="M81" s="437"/>
      <c r="N81" s="436">
        <f t="shared" si="37"/>
        <v>0</v>
      </c>
      <c r="O81" s="437"/>
      <c r="P81" s="436">
        <f t="shared" si="37"/>
        <v>0</v>
      </c>
      <c r="Q81" s="437"/>
      <c r="R81" s="436">
        <f t="shared" si="37"/>
        <v>0</v>
      </c>
      <c r="S81" s="435"/>
      <c r="T81" s="213"/>
      <c r="U81" s="586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575"/>
      <c r="AI81" s="17"/>
      <c r="AJ81" s="17"/>
    </row>
    <row r="82" spans="1:36" ht="11.25" customHeight="1">
      <c r="B82" s="357"/>
      <c r="C82" s="381"/>
      <c r="D82" s="436"/>
      <c r="E82" s="435"/>
      <c r="F82" s="436">
        <f t="shared" si="37"/>
        <v>0</v>
      </c>
      <c r="G82" s="437"/>
      <c r="H82" s="436">
        <f t="shared" si="37"/>
        <v>0</v>
      </c>
      <c r="I82" s="437"/>
      <c r="J82" s="436">
        <f t="shared" si="37"/>
        <v>0</v>
      </c>
      <c r="K82" s="437"/>
      <c r="L82" s="436">
        <f t="shared" si="37"/>
        <v>0</v>
      </c>
      <c r="M82" s="437"/>
      <c r="N82" s="436">
        <f t="shared" si="37"/>
        <v>0</v>
      </c>
      <c r="O82" s="437"/>
      <c r="P82" s="436">
        <f t="shared" si="37"/>
        <v>0</v>
      </c>
      <c r="Q82" s="437"/>
      <c r="R82" s="436">
        <f t="shared" si="37"/>
        <v>0</v>
      </c>
      <c r="S82" s="435"/>
      <c r="T82" s="213"/>
      <c r="U82" s="586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575"/>
      <c r="AI82" s="17"/>
      <c r="AJ82" s="17"/>
    </row>
    <row r="83" spans="1:36" ht="11.25" customHeight="1">
      <c r="A83" s="80"/>
      <c r="B83" s="357"/>
      <c r="C83" s="381"/>
      <c r="D83" s="436">
        <v>0</v>
      </c>
      <c r="E83" s="435"/>
      <c r="F83" s="436">
        <f t="shared" si="37"/>
        <v>0</v>
      </c>
      <c r="G83" s="437"/>
      <c r="H83" s="436">
        <f t="shared" si="37"/>
        <v>0</v>
      </c>
      <c r="I83" s="437"/>
      <c r="J83" s="436">
        <f t="shared" si="37"/>
        <v>0</v>
      </c>
      <c r="K83" s="437"/>
      <c r="L83" s="436">
        <f t="shared" si="37"/>
        <v>0</v>
      </c>
      <c r="M83" s="437"/>
      <c r="N83" s="436">
        <f t="shared" si="37"/>
        <v>0</v>
      </c>
      <c r="O83" s="437"/>
      <c r="P83" s="436">
        <f t="shared" si="37"/>
        <v>0</v>
      </c>
      <c r="Q83" s="437"/>
      <c r="R83" s="436">
        <f t="shared" si="37"/>
        <v>0</v>
      </c>
      <c r="S83" s="435"/>
      <c r="T83" s="213"/>
      <c r="U83" s="586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575"/>
      <c r="AI83" s="17"/>
      <c r="AJ83" s="17"/>
    </row>
    <row r="84" spans="1:36" ht="11.25" customHeight="1">
      <c r="A84" s="80"/>
      <c r="B84" s="357"/>
      <c r="C84" s="381"/>
      <c r="D84" s="436"/>
      <c r="E84" s="435"/>
      <c r="F84" s="436">
        <f t="shared" si="37"/>
        <v>0</v>
      </c>
      <c r="G84" s="437"/>
      <c r="H84" s="436">
        <f t="shared" si="37"/>
        <v>0</v>
      </c>
      <c r="I84" s="437"/>
      <c r="J84" s="436">
        <f t="shared" si="37"/>
        <v>0</v>
      </c>
      <c r="K84" s="437"/>
      <c r="L84" s="436">
        <f t="shared" si="37"/>
        <v>0</v>
      </c>
      <c r="M84" s="437"/>
      <c r="N84" s="436">
        <f t="shared" si="37"/>
        <v>0</v>
      </c>
      <c r="O84" s="437"/>
      <c r="P84" s="436">
        <f t="shared" si="37"/>
        <v>0</v>
      </c>
      <c r="Q84" s="437"/>
      <c r="R84" s="436">
        <f t="shared" si="37"/>
        <v>0</v>
      </c>
      <c r="S84" s="435"/>
      <c r="T84" s="213"/>
      <c r="U84" s="586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575"/>
      <c r="AI84" s="17"/>
      <c r="AJ84" s="17"/>
    </row>
    <row r="85" spans="1:36" ht="11.25" customHeight="1">
      <c r="B85" s="357"/>
      <c r="C85" s="381"/>
      <c r="D85" s="436">
        <v>0</v>
      </c>
      <c r="E85" s="435"/>
      <c r="F85" s="436">
        <f t="shared" si="37"/>
        <v>0</v>
      </c>
      <c r="G85" s="437"/>
      <c r="H85" s="436">
        <f t="shared" si="37"/>
        <v>0</v>
      </c>
      <c r="I85" s="437"/>
      <c r="J85" s="436">
        <f t="shared" si="37"/>
        <v>0</v>
      </c>
      <c r="K85" s="437"/>
      <c r="L85" s="436">
        <f t="shared" si="37"/>
        <v>0</v>
      </c>
      <c r="M85" s="437"/>
      <c r="N85" s="436">
        <f t="shared" si="37"/>
        <v>0</v>
      </c>
      <c r="O85" s="437"/>
      <c r="P85" s="436">
        <f t="shared" si="37"/>
        <v>0</v>
      </c>
      <c r="Q85" s="437"/>
      <c r="R85" s="436">
        <f>P85</f>
        <v>0</v>
      </c>
      <c r="S85" s="435"/>
      <c r="T85" s="213"/>
      <c r="U85" s="586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575"/>
      <c r="AI85" s="17"/>
      <c r="AJ85" s="17"/>
    </row>
    <row r="86" spans="1:36" ht="11.25" customHeight="1" thickBot="1">
      <c r="B86" s="364"/>
      <c r="C86" s="382" t="s">
        <v>0</v>
      </c>
      <c r="D86" s="466">
        <v>0</v>
      </c>
      <c r="E86" s="465"/>
      <c r="F86" s="466">
        <f>D86</f>
        <v>0</v>
      </c>
      <c r="G86" s="467"/>
      <c r="H86" s="466">
        <f>F86</f>
        <v>0</v>
      </c>
      <c r="I86" s="467"/>
      <c r="J86" s="466">
        <f>H86</f>
        <v>0</v>
      </c>
      <c r="K86" s="467"/>
      <c r="L86" s="466">
        <f>J86</f>
        <v>0</v>
      </c>
      <c r="M86" s="467"/>
      <c r="N86" s="466">
        <f>L86</f>
        <v>0</v>
      </c>
      <c r="O86" s="467"/>
      <c r="P86" s="466">
        <f>N86</f>
        <v>0</v>
      </c>
      <c r="Q86" s="467"/>
      <c r="R86" s="466">
        <f>P86</f>
        <v>0</v>
      </c>
      <c r="S86" s="465"/>
      <c r="T86" s="213"/>
      <c r="U86" s="588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90"/>
      <c r="AI86" s="17"/>
      <c r="AJ86" s="17"/>
    </row>
    <row r="87" spans="1:36" ht="12" customHeight="1" thickBot="1">
      <c r="B87" s="422" t="s">
        <v>304</v>
      </c>
      <c r="C87" s="402" t="s">
        <v>293</v>
      </c>
      <c r="D87" s="533">
        <f ca="1">IF(Ohjeet!$H67&gt;Ohjeet!$B$40,0,D9+D12+D15+D16+D26+D29+D32+D50+D51+D55+D56+D59+D60+D61+D65+D68+D74+D75+D76+D77+D49+D35+D42)</f>
        <v>0</v>
      </c>
      <c r="E87" s="534">
        <v>100</v>
      </c>
      <c r="F87" s="533">
        <f ca="1">IF(Ohjeet!$H67&gt;Ohjeet!$B$40,0,F9+F12+F15+F16+F26+F29+F32+F50+F51+F55+F56+F59+F60+F61+F65+F68+F74+F75+F76+F77+F49+F35+F42)</f>
        <v>0</v>
      </c>
      <c r="G87" s="534">
        <v>100</v>
      </c>
      <c r="H87" s="533">
        <f ca="1">IF(Ohjeet!$H67&gt;Ohjeet!$B$40,0,H9+H12+H15+H16+H26+H29+H32+H50+H51+H55+H56+H59+H60+H61+H65+H68+H74+H75+H76+H77+H49+H35+H42)</f>
        <v>0</v>
      </c>
      <c r="I87" s="534">
        <v>100</v>
      </c>
      <c r="J87" s="533">
        <f ca="1">IF(Ohjeet!$H67&gt;Ohjeet!$B$40,0,J9+J12+J15+J16+J26+J29+J32+J50+J51+J55+J56+J59+J60+J61+J65+J68+J74+J75+J76+J77+J49+J35+J42)</f>
        <v>0</v>
      </c>
      <c r="K87" s="534">
        <v>100</v>
      </c>
      <c r="L87" s="533">
        <f ca="1">IF(Ohjeet!$H67&gt;Ohjeet!$B$40,0,L9+L12+L15+L16+L26+L29+L32+L50+L51+L55+L56+L59+L60+L61+L65+L68+L74+L75+L76+L77+L49+L35+L42)</f>
        <v>0</v>
      </c>
      <c r="M87" s="534">
        <v>100</v>
      </c>
      <c r="N87" s="533">
        <f ca="1">IF(Ohjeet!$H67&gt;Ohjeet!$B$40,0,N9+N12+N15+N16+N26+N29+N32+N50+N51+N55+N56+N59+N60+N61+N65+N68+N74+N75+N76+N77+N49+N35+N42)</f>
        <v>0</v>
      </c>
      <c r="O87" s="534">
        <v>100</v>
      </c>
      <c r="P87" s="533">
        <f ca="1">IF(Ohjeet!$H67&gt;Ohjeet!$B$40,0,P9+P12+P15+P16+P26+P29+P32+P50+P51+P55+P56+P59+P60+P61+P65+P68+P74+P75+P76+P77+P49+P35+P42)</f>
        <v>0</v>
      </c>
      <c r="Q87" s="534">
        <v>100</v>
      </c>
      <c r="R87" s="533">
        <f ca="1">IF(Ohjeet!$H67&gt;Ohjeet!$B$40,0,R9+R12+R15+R16+R26+R29+R32+R50+R51+R55+R56+R59+R60+R61+R65+R68+R74+R75+R76+R77+R49+R35+R42)</f>
        <v>0</v>
      </c>
      <c r="S87" s="535">
        <v>100</v>
      </c>
      <c r="T87" s="216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17"/>
      <c r="AJ87" s="17"/>
    </row>
    <row r="88" spans="1:36" ht="6" customHeight="1">
      <c r="B88" s="330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215"/>
      <c r="U88" s="219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17"/>
      <c r="AJ88" s="17"/>
    </row>
    <row r="89" spans="1:36" s="2" customFormat="1" ht="12" customHeight="1">
      <c r="B89" s="730" t="s">
        <v>0</v>
      </c>
      <c r="C89" s="730"/>
      <c r="D89" s="730"/>
      <c r="E89" s="730"/>
      <c r="F89" s="730"/>
      <c r="G89" s="730"/>
      <c r="H89" s="730"/>
      <c r="I89" s="210"/>
      <c r="J89" s="210"/>
      <c r="K89" s="210"/>
      <c r="L89" s="210"/>
      <c r="M89" s="658"/>
      <c r="N89" s="658"/>
      <c r="O89" s="658"/>
      <c r="P89" s="658"/>
      <c r="Q89" s="658"/>
      <c r="R89" s="658"/>
      <c r="S89" s="658" t="str">
        <f>'T1 Taloussuunnitelma'!T45</f>
        <v>Yritystulkin tarjoaa:</v>
      </c>
      <c r="T89" s="215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17"/>
      <c r="AJ89" s="17"/>
    </row>
    <row r="90" spans="1:36" s="2" customFormat="1">
      <c r="B90" s="330"/>
      <c r="C90" s="221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562" t="str">
        <f>Ohjeet!E38</f>
        <v>Siilinjärvi/Sydän-Savon maaseutupalvelut</v>
      </c>
      <c r="T90" s="215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17"/>
      <c r="AJ90" s="17"/>
    </row>
    <row r="91" spans="1:36" s="2" customFormat="1" ht="12.65" customHeight="1">
      <c r="B91" s="330"/>
      <c r="C91" s="211"/>
      <c r="D91" s="61"/>
      <c r="E91" s="61"/>
      <c r="F91" s="61"/>
      <c r="G91" s="61"/>
      <c r="H91" s="61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215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17"/>
      <c r="AJ91" s="17"/>
    </row>
    <row r="92" spans="1:36" ht="12.65" customHeight="1">
      <c r="B92" s="330"/>
      <c r="C92" s="61"/>
      <c r="D92" s="209"/>
      <c r="E92" s="209"/>
      <c r="F92" s="209"/>
      <c r="G92" s="209"/>
      <c r="H92" s="209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96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17"/>
      <c r="AJ92" s="17"/>
    </row>
    <row r="93" spans="1:36" ht="12.65" customHeight="1">
      <c r="B93" s="331"/>
      <c r="C93" s="61"/>
      <c r="D93" s="61"/>
      <c r="E93" s="61"/>
      <c r="F93" s="61"/>
      <c r="G93" s="61"/>
      <c r="H93" s="61"/>
      <c r="I93" s="223"/>
      <c r="J93" s="224"/>
      <c r="K93" s="223"/>
      <c r="L93" s="224"/>
      <c r="M93" s="223"/>
      <c r="N93" s="224"/>
      <c r="O93" s="223"/>
      <c r="P93" s="224"/>
      <c r="Q93" s="223"/>
      <c r="R93" s="224"/>
      <c r="S93" s="223"/>
      <c r="T93" s="224"/>
      <c r="U93" s="224"/>
      <c r="V93" s="225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17"/>
      <c r="AJ93" s="17"/>
    </row>
    <row r="94" spans="1:36" s="2" customFormat="1" ht="12.65" customHeight="1">
      <c r="B94" s="332"/>
      <c r="C94" s="747" t="s">
        <v>0</v>
      </c>
      <c r="D94" s="747"/>
      <c r="E94" s="747"/>
      <c r="F94" s="747"/>
      <c r="G94" s="747"/>
      <c r="H94" s="747"/>
      <c r="I94" s="226"/>
      <c r="J94" s="224"/>
      <c r="K94" s="226"/>
      <c r="L94" s="224"/>
      <c r="M94" s="226"/>
      <c r="N94" s="224"/>
      <c r="O94" s="226"/>
      <c r="P94" s="224"/>
      <c r="Q94" s="226"/>
      <c r="R94" s="224"/>
      <c r="S94" s="226"/>
      <c r="T94" s="224"/>
      <c r="U94" s="224"/>
      <c r="V94" s="225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17"/>
      <c r="AJ94" s="17"/>
    </row>
    <row r="95" spans="1:36" s="2" customFormat="1" ht="12.65" customHeight="1">
      <c r="B95" s="332"/>
      <c r="C95" s="747"/>
      <c r="D95" s="747"/>
      <c r="E95" s="747"/>
      <c r="F95" s="747"/>
      <c r="G95" s="747"/>
      <c r="H95" s="747"/>
      <c r="I95" s="226"/>
      <c r="J95" s="224"/>
      <c r="K95" s="226"/>
      <c r="L95" s="224"/>
      <c r="M95" s="226"/>
      <c r="N95" s="224"/>
      <c r="O95" s="226"/>
      <c r="P95" s="224"/>
      <c r="Q95" s="226"/>
      <c r="R95" s="224"/>
      <c r="S95" s="226"/>
      <c r="T95" s="224"/>
      <c r="U95" s="224"/>
      <c r="V95" s="225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17"/>
      <c r="AJ95" s="17"/>
    </row>
    <row r="96" spans="1:36">
      <c r="B96" s="331"/>
      <c r="C96" s="227"/>
      <c r="D96" s="226"/>
      <c r="E96" s="226"/>
      <c r="F96" s="228"/>
      <c r="G96" s="226"/>
      <c r="H96" s="229"/>
      <c r="I96" s="226"/>
      <c r="J96" s="229"/>
      <c r="K96" s="226"/>
      <c r="L96" s="229"/>
      <c r="M96" s="226"/>
      <c r="N96" s="229"/>
      <c r="O96" s="226"/>
      <c r="P96" s="229"/>
      <c r="Q96" s="226"/>
      <c r="R96" s="229"/>
      <c r="S96" s="226"/>
      <c r="T96" s="229"/>
      <c r="U96" s="229"/>
      <c r="V96" s="225"/>
      <c r="W96" s="230"/>
      <c r="X96" s="230"/>
      <c r="Y96" s="230"/>
      <c r="Z96" s="230"/>
      <c r="AA96" s="230"/>
      <c r="AB96" s="230"/>
      <c r="AC96" s="230"/>
      <c r="AD96" s="214"/>
      <c r="AE96" s="214"/>
      <c r="AF96" s="214"/>
      <c r="AG96" s="214"/>
      <c r="AH96" s="214"/>
      <c r="AI96" s="17"/>
      <c r="AJ96" s="17"/>
    </row>
    <row r="97" spans="2:36" s="2" customFormat="1">
      <c r="B97" s="331"/>
      <c r="C97" s="227"/>
      <c r="D97" s="223"/>
      <c r="E97" s="223"/>
      <c r="F97" s="231"/>
      <c r="G97" s="223"/>
      <c r="H97" s="232"/>
      <c r="I97" s="223"/>
      <c r="J97" s="232"/>
      <c r="K97" s="223"/>
      <c r="L97" s="232"/>
      <c r="M97" s="223"/>
      <c r="N97" s="232"/>
      <c r="O97" s="223"/>
      <c r="P97" s="232"/>
      <c r="Q97" s="223"/>
      <c r="R97" s="232"/>
      <c r="S97" s="223"/>
      <c r="T97" s="232"/>
      <c r="U97" s="232"/>
      <c r="V97" s="225"/>
      <c r="W97" s="230"/>
      <c r="X97" s="230"/>
      <c r="Y97" s="230"/>
      <c r="Z97" s="230"/>
      <c r="AA97" s="230"/>
      <c r="AB97" s="230"/>
      <c r="AC97" s="230"/>
      <c r="AD97" s="214"/>
      <c r="AE97" s="214"/>
      <c r="AF97" s="214"/>
      <c r="AG97" s="214"/>
      <c r="AH97" s="214"/>
      <c r="AI97" s="17"/>
      <c r="AJ97" s="17"/>
    </row>
    <row r="98" spans="2:36">
      <c r="B98" s="332"/>
      <c r="C98" s="233"/>
      <c r="D98" s="226"/>
      <c r="E98" s="226"/>
      <c r="F98" s="224"/>
      <c r="G98" s="226"/>
      <c r="H98" s="224"/>
      <c r="I98" s="226"/>
      <c r="J98" s="224"/>
      <c r="K98" s="226"/>
      <c r="L98" s="224"/>
      <c r="M98" s="226"/>
      <c r="N98" s="224"/>
      <c r="O98" s="226"/>
      <c r="P98" s="224"/>
      <c r="Q98" s="226"/>
      <c r="R98" s="224"/>
      <c r="S98" s="226"/>
      <c r="T98" s="224"/>
      <c r="U98" s="224"/>
      <c r="V98" s="225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17"/>
      <c r="AJ98" s="17"/>
    </row>
    <row r="99" spans="2:36">
      <c r="B99" s="331"/>
      <c r="C99" s="227"/>
      <c r="D99" s="223"/>
      <c r="E99" s="223"/>
      <c r="F99" s="231"/>
      <c r="G99" s="223"/>
      <c r="H99" s="229"/>
      <c r="I99" s="223"/>
      <c r="J99" s="229"/>
      <c r="K99" s="223"/>
      <c r="L99" s="229"/>
      <c r="M99" s="223"/>
      <c r="N99" s="229"/>
      <c r="O99" s="223"/>
      <c r="P99" s="229"/>
      <c r="Q99" s="223"/>
      <c r="R99" s="229"/>
      <c r="S99" s="223"/>
      <c r="T99" s="229"/>
      <c r="U99" s="229"/>
      <c r="V99" s="225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17"/>
      <c r="AJ99" s="17"/>
    </row>
    <row r="100" spans="2:36">
      <c r="B100" s="332"/>
      <c r="C100" s="233"/>
      <c r="D100" s="226"/>
      <c r="E100" s="226"/>
      <c r="F100" s="234"/>
      <c r="G100" s="226"/>
      <c r="H100" s="224"/>
      <c r="I100" s="226"/>
      <c r="J100" s="224"/>
      <c r="K100" s="226"/>
      <c r="L100" s="224"/>
      <c r="M100" s="226"/>
      <c r="N100" s="224"/>
      <c r="O100" s="226"/>
      <c r="P100" s="224"/>
      <c r="Q100" s="226"/>
      <c r="R100" s="224"/>
      <c r="S100" s="226"/>
      <c r="T100" s="224"/>
      <c r="U100" s="224"/>
      <c r="V100" s="225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17"/>
      <c r="AJ100" s="17"/>
    </row>
    <row r="101" spans="2:36" ht="6.75" customHeight="1">
      <c r="B101" s="331"/>
      <c r="C101" s="227"/>
      <c r="D101" s="223"/>
      <c r="E101" s="223"/>
      <c r="F101" s="235"/>
      <c r="G101" s="223"/>
      <c r="H101" s="235"/>
      <c r="I101" s="223"/>
      <c r="J101" s="235"/>
      <c r="K101" s="223"/>
      <c r="L101" s="235"/>
      <c r="M101" s="223"/>
      <c r="N101" s="235"/>
      <c r="O101" s="223"/>
      <c r="P101" s="235"/>
      <c r="Q101" s="223"/>
      <c r="R101" s="235"/>
      <c r="S101" s="223"/>
      <c r="T101" s="235"/>
      <c r="U101" s="235"/>
      <c r="V101" s="225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17"/>
      <c r="AJ101" s="17"/>
    </row>
    <row r="102" spans="2:36">
      <c r="B102" s="331"/>
      <c r="C102" s="227"/>
      <c r="D102" s="236"/>
      <c r="E102" s="236"/>
      <c r="F102" s="235"/>
      <c r="G102" s="236"/>
      <c r="H102" s="237"/>
      <c r="I102" s="236"/>
      <c r="J102" s="237"/>
      <c r="K102" s="236"/>
      <c r="L102" s="237"/>
      <c r="M102" s="236"/>
      <c r="N102" s="237"/>
      <c r="O102" s="236"/>
      <c r="P102" s="237"/>
      <c r="Q102" s="236"/>
      <c r="R102" s="237"/>
      <c r="S102" s="236"/>
      <c r="T102" s="237"/>
      <c r="U102" s="237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4"/>
      <c r="AJ102" s="4"/>
    </row>
    <row r="103" spans="2:36" ht="7.5" customHeight="1">
      <c r="B103" s="333"/>
      <c r="C103" s="24"/>
      <c r="D103" s="11"/>
      <c r="E103" s="11"/>
      <c r="F103" s="6"/>
      <c r="G103" s="11"/>
      <c r="H103" s="6"/>
      <c r="I103" s="11"/>
      <c r="J103" s="6"/>
      <c r="K103" s="11"/>
      <c r="L103" s="6"/>
      <c r="M103" s="11"/>
      <c r="N103" s="6"/>
      <c r="O103" s="11"/>
      <c r="P103" s="6"/>
      <c r="Q103" s="11"/>
      <c r="R103" s="6"/>
      <c r="S103" s="11"/>
      <c r="T103" s="6"/>
      <c r="U103" s="6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2:36" ht="13.5" customHeight="1">
      <c r="B104" s="333"/>
      <c r="C104" s="24"/>
      <c r="D104" s="25"/>
      <c r="E104" s="25"/>
      <c r="F104" s="6"/>
      <c r="G104" s="25"/>
      <c r="H104" s="27"/>
      <c r="I104" s="25"/>
      <c r="J104" s="27"/>
      <c r="K104" s="25"/>
      <c r="L104" s="27"/>
      <c r="M104" s="25"/>
      <c r="N104" s="27"/>
      <c r="O104" s="25"/>
      <c r="P104" s="27"/>
      <c r="Q104" s="25"/>
      <c r="R104" s="27"/>
      <c r="S104" s="25"/>
      <c r="T104" s="27"/>
      <c r="U104" s="27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2:36">
      <c r="B105" s="334"/>
      <c r="C105" s="24"/>
      <c r="D105" s="25"/>
      <c r="E105" s="25"/>
      <c r="F105" s="6"/>
      <c r="G105" s="25"/>
      <c r="H105" s="27"/>
      <c r="I105" s="25"/>
      <c r="J105" s="27"/>
      <c r="K105" s="25"/>
      <c r="L105" s="27"/>
      <c r="M105" s="25"/>
      <c r="N105" s="27"/>
      <c r="O105" s="25"/>
      <c r="P105" s="27"/>
      <c r="Q105" s="25"/>
      <c r="R105" s="27"/>
      <c r="S105" s="25"/>
      <c r="T105" s="27"/>
      <c r="U105" s="27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2:36">
      <c r="B106" s="333"/>
      <c r="C106" s="24"/>
      <c r="D106" s="28"/>
      <c r="E106" s="28"/>
      <c r="F106" s="6"/>
      <c r="G106" s="28"/>
      <c r="H106" s="27"/>
      <c r="I106" s="28"/>
      <c r="J106" s="27"/>
      <c r="K106" s="28"/>
      <c r="L106" s="27"/>
      <c r="M106" s="28"/>
      <c r="N106" s="27"/>
      <c r="O106" s="28"/>
      <c r="P106" s="27"/>
      <c r="Q106" s="28"/>
      <c r="R106" s="27"/>
      <c r="S106" s="28"/>
      <c r="T106" s="27"/>
      <c r="U106" s="27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2:36" ht="6" customHeight="1">
      <c r="B107" s="335"/>
      <c r="C107" s="4"/>
      <c r="D107" s="25"/>
      <c r="E107" s="25"/>
      <c r="F107" s="4"/>
      <c r="G107" s="25"/>
      <c r="H107" s="4"/>
      <c r="I107" s="25"/>
      <c r="J107" s="4"/>
      <c r="K107" s="25"/>
      <c r="L107" s="4"/>
      <c r="M107" s="25"/>
      <c r="N107" s="4"/>
      <c r="O107" s="25"/>
      <c r="P107" s="4"/>
      <c r="Q107" s="25"/>
      <c r="R107" s="4"/>
      <c r="S107" s="25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2:36">
      <c r="B108" s="335"/>
      <c r="C108" s="4"/>
      <c r="D108" s="4"/>
      <c r="E108" s="4"/>
      <c r="F108" s="26"/>
      <c r="G108" s="4"/>
      <c r="H108" s="7"/>
      <c r="I108" s="4"/>
      <c r="J108" s="7"/>
      <c r="K108" s="4"/>
      <c r="L108" s="7"/>
      <c r="M108" s="4"/>
      <c r="N108" s="7"/>
      <c r="O108" s="4"/>
      <c r="P108" s="7"/>
      <c r="Q108" s="4"/>
      <c r="R108" s="7"/>
      <c r="S108" s="4"/>
      <c r="T108" s="7"/>
      <c r="U108" s="7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2:36">
      <c r="B109" s="335"/>
      <c r="C109" s="4"/>
      <c r="D109" s="4"/>
      <c r="E109" s="4"/>
      <c r="F109" s="26"/>
      <c r="G109" s="4"/>
      <c r="H109" s="5"/>
      <c r="I109" s="4"/>
      <c r="J109" s="5"/>
      <c r="K109" s="4"/>
      <c r="L109" s="5"/>
      <c r="M109" s="4"/>
      <c r="N109" s="5"/>
      <c r="O109" s="4"/>
      <c r="P109" s="5"/>
      <c r="Q109" s="4"/>
      <c r="R109" s="5"/>
      <c r="S109" s="4"/>
      <c r="T109" s="5"/>
      <c r="U109" s="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2:36" ht="7.5" customHeight="1">
      <c r="B110" s="33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2:36">
      <c r="B111" s="335"/>
      <c r="C111" s="4"/>
      <c r="D111" s="25"/>
      <c r="E111" s="25"/>
      <c r="F111" s="26"/>
      <c r="G111" s="25"/>
      <c r="H111" s="8"/>
      <c r="I111" s="25"/>
      <c r="J111" s="8"/>
      <c r="K111" s="25"/>
      <c r="L111" s="8"/>
      <c r="M111" s="25"/>
      <c r="N111" s="8"/>
      <c r="O111" s="25"/>
      <c r="P111" s="8"/>
      <c r="Q111" s="25"/>
      <c r="R111" s="8"/>
      <c r="S111" s="25"/>
      <c r="T111" s="8"/>
      <c r="U111" s="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</sheetData>
  <sheetProtection algorithmName="SHA-512" hashValue="V+XNvOcsui0mjej8nV4RpPlg+OxJaoryfY32i5KZjPDkq8g1suNp6ybq8YxNbWLs3ixraBTAjXniO2RGAWKqnw==" saltValue="41WKEPAeprpOiIXYhCmxSQ==" spinCount="100000" sheet="1" objects="1" scenarios="1"/>
  <mergeCells count="20">
    <mergeCell ref="D5:I5"/>
    <mergeCell ref="U45:AA45"/>
    <mergeCell ref="C94:H95"/>
    <mergeCell ref="U5:Z6"/>
    <mergeCell ref="B5:C5"/>
    <mergeCell ref="B7:C8"/>
    <mergeCell ref="J5:L5"/>
    <mergeCell ref="D7:E7"/>
    <mergeCell ref="F7:G7"/>
    <mergeCell ref="H7:I7"/>
    <mergeCell ref="U55:AA55"/>
    <mergeCell ref="U60:AA60"/>
    <mergeCell ref="U39:AA39"/>
    <mergeCell ref="J7:K7"/>
    <mergeCell ref="L7:M7"/>
    <mergeCell ref="N7:O7"/>
    <mergeCell ref="P7:Q7"/>
    <mergeCell ref="U9:AA9"/>
    <mergeCell ref="B89:H89"/>
    <mergeCell ref="R7:S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  <headerFooter alignWithMargins="0"/>
  <rowBreaks count="1" manualBreakCount="1">
    <brk id="48" min="1" max="33" man="1"/>
  </rowBreaks>
  <colBreaks count="1" manualBreakCount="1">
    <brk id="19" min="2" max="89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5"/>
  <sheetViews>
    <sheetView zoomScale="115" zoomScaleNormal="115" workbookViewId="0">
      <selection activeCell="B15" sqref="B15"/>
    </sheetView>
  </sheetViews>
  <sheetFormatPr defaultRowHeight="12.45"/>
  <cols>
    <col min="2" max="2" width="27.69140625" customWidth="1"/>
  </cols>
  <sheetData>
    <row r="1" spans="2:10" ht="12.9" thickBot="1"/>
    <row r="2" spans="2:10" ht="15.75" customHeight="1">
      <c r="B2" s="748"/>
      <c r="C2" s="44" t="s">
        <v>42</v>
      </c>
      <c r="D2" s="54" t="s">
        <v>58</v>
      </c>
      <c r="E2" s="54" t="s">
        <v>5</v>
      </c>
      <c r="F2" s="54" t="s">
        <v>19</v>
      </c>
      <c r="G2" s="54" t="s">
        <v>59</v>
      </c>
      <c r="H2" s="54" t="s">
        <v>60</v>
      </c>
      <c r="I2" s="54" t="s">
        <v>61</v>
      </c>
      <c r="J2" s="54" t="s">
        <v>62</v>
      </c>
    </row>
    <row r="3" spans="2:10" ht="12.9" thickBot="1">
      <c r="B3" s="749"/>
      <c r="C3" s="45">
        <f>'T3 Kustannukset'!D$8</f>
        <v>2023</v>
      </c>
      <c r="D3" s="45">
        <f>'T3 Kustannukset'!F$8</f>
        <v>2024</v>
      </c>
      <c r="E3" s="45">
        <f>'T3 Kustannukset'!H$8</f>
        <v>2025</v>
      </c>
      <c r="F3" s="45">
        <f>'T3 Kustannukset'!J$8</f>
        <v>2026</v>
      </c>
      <c r="G3" s="45">
        <f>'T3 Kustannukset'!L$8</f>
        <v>2027</v>
      </c>
      <c r="H3" s="45">
        <f>'T3 Kustannukset'!N$8</f>
        <v>2028</v>
      </c>
      <c r="I3" s="45">
        <f>'T3 Kustannukset'!P$8</f>
        <v>2029</v>
      </c>
      <c r="J3" s="45">
        <f>'T3 Kustannukset'!R$8</f>
        <v>2030</v>
      </c>
    </row>
    <row r="4" spans="2:10">
      <c r="B4" s="40" t="s">
        <v>83</v>
      </c>
      <c r="C4" s="29">
        <f>'T4 Tuotanto'!D41</f>
        <v>0</v>
      </c>
      <c r="D4" s="29">
        <f ca="1">'T4 Tuotanto'!E41</f>
        <v>0</v>
      </c>
      <c r="E4" s="29">
        <f ca="1">'T4 Tuotanto'!F41</f>
        <v>0</v>
      </c>
      <c r="F4" s="29">
        <f ca="1">'T4 Tuotanto'!G41</f>
        <v>0</v>
      </c>
      <c r="G4" s="29">
        <f ca="1">'T4 Tuotanto'!H41</f>
        <v>0</v>
      </c>
      <c r="H4" s="29">
        <f ca="1">'T4 Tuotanto'!I41</f>
        <v>0</v>
      </c>
      <c r="I4" s="29">
        <f ca="1">'T4 Tuotanto'!J41</f>
        <v>0</v>
      </c>
      <c r="J4" s="29">
        <f ca="1">'T4 Tuotanto'!K41</f>
        <v>0</v>
      </c>
    </row>
    <row r="5" spans="2:10">
      <c r="B5" t="s">
        <v>81</v>
      </c>
      <c r="C5" s="29">
        <f>+'T1 Taloussuunnitelma'!E$29</f>
        <v>0</v>
      </c>
      <c r="D5" s="29">
        <f>+'T1 Taloussuunnitelma'!G$29</f>
        <v>0</v>
      </c>
      <c r="E5" s="29">
        <f>+'T1 Taloussuunnitelma'!I$29</f>
        <v>0</v>
      </c>
      <c r="F5" s="29">
        <f>+'T1 Taloussuunnitelma'!K$29</f>
        <v>0</v>
      </c>
      <c r="G5" s="29">
        <f>+'T1 Taloussuunnitelma'!M$29</f>
        <v>0</v>
      </c>
      <c r="H5" s="29">
        <f>+'T1 Taloussuunnitelma'!O$29</f>
        <v>0</v>
      </c>
      <c r="I5" s="29">
        <f>+'T1 Taloussuunnitelma'!Q$29</f>
        <v>0</v>
      </c>
      <c r="J5" s="29">
        <f>+'T1 Taloussuunnitelma'!S$29</f>
        <v>0</v>
      </c>
    </row>
    <row r="6" spans="2:10">
      <c r="B6" t="s">
        <v>82</v>
      </c>
      <c r="C6" s="29">
        <f ca="1">'T4 Tuotanto'!D74</f>
        <v>0</v>
      </c>
      <c r="D6" s="29">
        <f ca="1">'T4 Tuotanto'!E74</f>
        <v>0</v>
      </c>
      <c r="E6" s="29">
        <f ca="1">'T4 Tuotanto'!F74</f>
        <v>0</v>
      </c>
      <c r="F6" s="29">
        <f ca="1">'T4 Tuotanto'!G74</f>
        <v>0</v>
      </c>
      <c r="G6" s="29">
        <f ca="1">'T4 Tuotanto'!H74</f>
        <v>0</v>
      </c>
      <c r="H6" s="29">
        <f ca="1">'T4 Tuotanto'!I74</f>
        <v>0</v>
      </c>
      <c r="I6" s="29">
        <f ca="1">'T4 Tuotanto'!J74</f>
        <v>0</v>
      </c>
      <c r="J6" s="29">
        <f ca="1">'T4 Tuotanto'!K74</f>
        <v>0</v>
      </c>
    </row>
    <row r="7" spans="2:10">
      <c r="B7" t="s">
        <v>74</v>
      </c>
      <c r="C7" s="29">
        <f>'T1 Taloussuunnitelma'!E$31</f>
        <v>0</v>
      </c>
      <c r="D7" s="29">
        <f>'T1 Taloussuunnitelma'!G$31</f>
        <v>0</v>
      </c>
      <c r="E7" s="29">
        <f>'T1 Taloussuunnitelma'!I$31</f>
        <v>0</v>
      </c>
      <c r="F7" s="29">
        <f>'T1 Taloussuunnitelma'!K$31</f>
        <v>0</v>
      </c>
      <c r="G7" s="29">
        <f>'T1 Taloussuunnitelma'!M$31</f>
        <v>0</v>
      </c>
      <c r="H7" s="29">
        <f>'T1 Taloussuunnitelma'!O$31</f>
        <v>0</v>
      </c>
      <c r="I7" s="29">
        <f>'T1 Taloussuunnitelma'!Q$31</f>
        <v>0</v>
      </c>
      <c r="J7" s="29">
        <f>'T1 Taloussuunnitelma'!S$31</f>
        <v>0</v>
      </c>
    </row>
    <row r="8" spans="2:10">
      <c r="C8" s="29">
        <v>0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</row>
    <row r="9" spans="2:10"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</row>
    <row r="10" spans="2:10">
      <c r="B10" s="285" t="s">
        <v>194</v>
      </c>
      <c r="C10" s="12">
        <f ca="1">'T1 Taloussuunnitelma'!E35</f>
        <v>0</v>
      </c>
      <c r="D10" s="12">
        <f>'T1 Taloussuunnitelma'!D35</f>
        <v>0</v>
      </c>
      <c r="E10" s="12">
        <f ca="1">'T1 Taloussuunnitelma'!I35</f>
        <v>0</v>
      </c>
      <c r="F10" s="12">
        <f ca="1">'T1 Taloussuunnitelma'!K35</f>
        <v>0</v>
      </c>
      <c r="G10" s="12">
        <f ca="1">'T1 Taloussuunnitelma'!M35</f>
        <v>0</v>
      </c>
      <c r="H10" s="12">
        <f ca="1">'T1 Taloussuunnitelma'!O35</f>
        <v>0</v>
      </c>
      <c r="I10" s="12">
        <f ca="1">'T1 Taloussuunnitelma'!Q35</f>
        <v>0</v>
      </c>
      <c r="J10" s="12">
        <f ca="1">'T1 Taloussuunnitelma'!S35</f>
        <v>0</v>
      </c>
    </row>
    <row r="11" spans="2:10">
      <c r="B11" s="285" t="s">
        <v>181</v>
      </c>
      <c r="C11" s="29">
        <f ca="1">'T1 Taloussuunnitelma'!E$41</f>
        <v>0</v>
      </c>
      <c r="D11" s="29">
        <f ca="1">'T1 Taloussuunnitelma'!G$41</f>
        <v>0</v>
      </c>
      <c r="E11" s="29">
        <f ca="1">'T1 Taloussuunnitelma'!I$41</f>
        <v>0</v>
      </c>
      <c r="F11" s="29">
        <f ca="1">'T1 Taloussuunnitelma'!K$41</f>
        <v>0</v>
      </c>
      <c r="G11" s="29">
        <f ca="1">'T1 Taloussuunnitelma'!M$41</f>
        <v>0</v>
      </c>
      <c r="H11" s="29">
        <f ca="1">'T1 Taloussuunnitelma'!O$41</f>
        <v>0</v>
      </c>
      <c r="I11" s="29">
        <f ca="1">'T1 Taloussuunnitelma'!Q$41</f>
        <v>0</v>
      </c>
      <c r="J11" s="29">
        <f ca="1">'T1 Taloussuunnitelma'!S$41</f>
        <v>0</v>
      </c>
    </row>
    <row r="12" spans="2:10">
      <c r="B12" s="285" t="s">
        <v>180</v>
      </c>
      <c r="C12" s="29">
        <f ca="1">'T3 Kustannukset'!D87</f>
        <v>0</v>
      </c>
      <c r="D12" s="29">
        <f ca="1">'T3 Kustannukset'!F87</f>
        <v>0</v>
      </c>
      <c r="E12" s="29">
        <f ca="1">'T3 Kustannukset'!H87</f>
        <v>0</v>
      </c>
      <c r="F12" s="29">
        <f ca="1">'T3 Kustannukset'!J87</f>
        <v>0</v>
      </c>
      <c r="G12" s="29">
        <f ca="1">'T3 Kustannukset'!L87</f>
        <v>0</v>
      </c>
      <c r="H12" s="29">
        <f ca="1">'T3 Kustannukset'!N87</f>
        <v>0</v>
      </c>
      <c r="I12" s="29">
        <f ca="1">'T3 Kustannukset'!P87</f>
        <v>0</v>
      </c>
      <c r="J12" s="29">
        <f ca="1">'T3 Kustannukset'!R87</f>
        <v>0</v>
      </c>
    </row>
    <row r="13" spans="2:10">
      <c r="B13" s="285" t="s">
        <v>182</v>
      </c>
      <c r="C13" s="29">
        <f>'T1 Taloussuunnitelma'!E43</f>
        <v>0</v>
      </c>
      <c r="D13" s="29">
        <f>'T1 Taloussuunnitelma'!G43</f>
        <v>0</v>
      </c>
      <c r="E13" s="29">
        <f>'T1 Taloussuunnitelma'!I43</f>
        <v>0</v>
      </c>
      <c r="F13" s="29">
        <f>'T1 Taloussuunnitelma'!K43</f>
        <v>0</v>
      </c>
      <c r="G13" s="29">
        <f>'T1 Taloussuunnitelma'!M43</f>
        <v>0</v>
      </c>
      <c r="H13" s="29">
        <f>'T1 Taloussuunnitelma'!O43</f>
        <v>0</v>
      </c>
      <c r="I13" s="29">
        <f>'T1 Taloussuunnitelma'!Q43</f>
        <v>0</v>
      </c>
      <c r="J13" s="29">
        <f>'T1 Taloussuunnitelma'!S43</f>
        <v>0</v>
      </c>
    </row>
    <row r="14" spans="2:10" ht="24.9">
      <c r="B14" s="328" t="s">
        <v>196</v>
      </c>
      <c r="C14" s="329">
        <f ca="1">'T1 Taloussuunnitelma'!E39</f>
        <v>0</v>
      </c>
      <c r="D14" s="329">
        <f ca="1">'T1 Taloussuunnitelma'!G39</f>
        <v>0</v>
      </c>
      <c r="E14" s="329">
        <f ca="1">'T1 Taloussuunnitelma'!I39</f>
        <v>0</v>
      </c>
      <c r="F14" s="329">
        <f ca="1">'T1 Taloussuunnitelma'!K39</f>
        <v>0</v>
      </c>
      <c r="G14" s="329">
        <f ca="1">'T1 Taloussuunnitelma'!M39</f>
        <v>0</v>
      </c>
      <c r="H14" s="329">
        <f ca="1">'T1 Taloussuunnitelma'!O39</f>
        <v>0</v>
      </c>
      <c r="I14" s="329">
        <f ca="1">'T1 Taloussuunnitelma'!Q39</f>
        <v>0</v>
      </c>
      <c r="J14" s="329">
        <f ca="1">'T1 Taloussuunnitelma'!S39</f>
        <v>0</v>
      </c>
    </row>
    <row r="15" spans="2:10">
      <c r="B15" s="328"/>
    </row>
  </sheetData>
  <sheetProtection algorithmName="SHA-512" hashValue="6PB9q9DDPROPVceUMcWiRYF0Srk9Fw0qRRunWbp7f6kaWiXTyPNWieO1XvKJdJgSDjGJK0KZLAZ+1f31wkhgvw==" saltValue="8PYfYoxLv5JQebagl7a+yA==" spinCount="100000" sheet="1" objects="1" scenarios="1" selectLockedCells="1" selectUnlockedCells="1"/>
  <mergeCells count="1">
    <mergeCell ref="B2:B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85"/>
  <sheetViews>
    <sheetView workbookViewId="0">
      <selection activeCell="F44" sqref="F44"/>
    </sheetView>
  </sheetViews>
  <sheetFormatPr defaultRowHeight="12.45"/>
  <cols>
    <col min="3" max="3" width="29.3046875" customWidth="1"/>
    <col min="4" max="4" width="30.4609375" customWidth="1"/>
    <col min="5" max="5" width="8.53515625" customWidth="1"/>
    <col min="6" max="7" width="9.69140625" bestFit="1" customWidth="1"/>
    <col min="8" max="8" width="10.84375" customWidth="1"/>
    <col min="9" max="9" width="10.69140625" customWidth="1"/>
  </cols>
  <sheetData>
    <row r="2" spans="1:13" ht="15.45">
      <c r="B2" s="33" t="s">
        <v>103</v>
      </c>
      <c r="E2" s="109" t="s">
        <v>42</v>
      </c>
    </row>
    <row r="3" spans="1:13">
      <c r="D3" s="107" t="s">
        <v>97</v>
      </c>
      <c r="E3" s="16">
        <f>'T1 Taloussuunnitelma'!E8:F8</f>
        <v>2023</v>
      </c>
      <c r="F3" s="108">
        <f>'T2 Investoinnit, rahoitus'!F6</f>
        <v>2024</v>
      </c>
      <c r="G3" s="108">
        <f>'T2 Investoinnit, rahoitus'!G6</f>
        <v>2025</v>
      </c>
      <c r="H3" s="108">
        <f>'T2 Investoinnit, rahoitus'!H6</f>
        <v>2026</v>
      </c>
      <c r="I3" s="108">
        <f>'T2 Investoinnit, rahoitus'!I6</f>
        <v>2027</v>
      </c>
      <c r="J3" s="108">
        <f>'T2 Investoinnit, rahoitus'!J6</f>
        <v>2028</v>
      </c>
      <c r="K3" s="108">
        <f>'T2 Investoinnit, rahoitus'!K6</f>
        <v>2029</v>
      </c>
      <c r="L3" s="108">
        <f>'T2 Investoinnit, rahoitus'!L6</f>
        <v>2030</v>
      </c>
    </row>
    <row r="4" spans="1:13">
      <c r="A4" s="2" t="s">
        <v>101</v>
      </c>
      <c r="B4" s="750" t="str">
        <f>'T2 Investoinnit, rahoitus'!C52</f>
        <v xml:space="preserve"> Annuiteettilaina/osamaksurahoitus 1</v>
      </c>
      <c r="C4" s="751"/>
      <c r="D4" s="1" t="s">
        <v>100</v>
      </c>
      <c r="E4" s="1"/>
      <c r="F4" s="102">
        <f>'T2 Investoinnit, rahoitus'!F52</f>
        <v>0</v>
      </c>
      <c r="G4" s="102">
        <f>'T2 Investoinnit, rahoitus'!G52</f>
        <v>0</v>
      </c>
      <c r="H4" s="102">
        <f>'T2 Investoinnit, rahoitus'!H52</f>
        <v>0</v>
      </c>
      <c r="I4" s="102">
        <f>'T2 Investoinnit, rahoitus'!I52</f>
        <v>0</v>
      </c>
      <c r="J4" s="102">
        <f>'T2 Investoinnit, rahoitus'!J52</f>
        <v>0</v>
      </c>
      <c r="K4" s="102">
        <f>'T2 Investoinnit, rahoitus'!K52</f>
        <v>0</v>
      </c>
      <c r="L4" s="102">
        <f>'T2 Investoinnit, rahoitus'!L52</f>
        <v>0</v>
      </c>
    </row>
    <row r="5" spans="1:13">
      <c r="D5" s="103" t="s">
        <v>22</v>
      </c>
      <c r="E5" s="103"/>
      <c r="F5" s="35">
        <f>'T2 Investoinnit, rahoitus'!F54/12</f>
        <v>0</v>
      </c>
      <c r="G5" s="35">
        <f>'T2 Investoinnit, rahoitus'!G54/12</f>
        <v>0</v>
      </c>
      <c r="H5" s="35">
        <f>'T2 Investoinnit, rahoitus'!H54/12</f>
        <v>0</v>
      </c>
      <c r="I5" s="35">
        <f>'T2 Investoinnit, rahoitus'!I54/12</f>
        <v>0</v>
      </c>
      <c r="J5" s="35">
        <f>'T2 Investoinnit, rahoitus'!J54/12</f>
        <v>0</v>
      </c>
      <c r="K5" s="35">
        <f>'T2 Investoinnit, rahoitus'!K54/12</f>
        <v>0</v>
      </c>
      <c r="L5" s="35">
        <f>'T2 Investoinnit, rahoitus'!L54/12</f>
        <v>0</v>
      </c>
    </row>
    <row r="6" spans="1:13">
      <c r="D6" s="1" t="s">
        <v>23</v>
      </c>
      <c r="E6" s="1"/>
      <c r="F6" s="104">
        <f>'T2 Investoinnit, rahoitus'!F53</f>
        <v>0</v>
      </c>
      <c r="G6" s="12">
        <f>'T2 Investoinnit, rahoitus'!G53</f>
        <v>0</v>
      </c>
      <c r="H6" s="12">
        <f>'T2 Investoinnit, rahoitus'!H53</f>
        <v>0</v>
      </c>
      <c r="I6" s="12">
        <f>'T2 Investoinnit, rahoitus'!I53</f>
        <v>0</v>
      </c>
      <c r="J6" s="12">
        <f>'T2 Investoinnit, rahoitus'!J53</f>
        <v>0</v>
      </c>
      <c r="K6" s="12">
        <f>'T2 Investoinnit, rahoitus'!K53</f>
        <v>0</v>
      </c>
      <c r="L6" s="12">
        <f>'T2 Investoinnit, rahoitus'!L53</f>
        <v>0</v>
      </c>
    </row>
    <row r="7" spans="1:13">
      <c r="D7" s="1" t="s">
        <v>20</v>
      </c>
      <c r="E7" s="1"/>
      <c r="F7" s="105">
        <f>'T2 Investoinnit, rahoitus'!F52</f>
        <v>0</v>
      </c>
      <c r="G7" s="29">
        <f t="shared" ref="G7:L7" si="0">IF(F14&gt;0,F7,G4)</f>
        <v>0</v>
      </c>
      <c r="H7" s="29">
        <f t="shared" si="0"/>
        <v>0</v>
      </c>
      <c r="I7" s="29">
        <f t="shared" si="0"/>
        <v>0</v>
      </c>
      <c r="J7" s="29">
        <f t="shared" si="0"/>
        <v>0</v>
      </c>
      <c r="K7" s="29">
        <f t="shared" si="0"/>
        <v>0</v>
      </c>
      <c r="L7" s="29">
        <f t="shared" si="0"/>
        <v>0</v>
      </c>
    </row>
    <row r="8" spans="1:13">
      <c r="D8" s="1" t="s">
        <v>24</v>
      </c>
      <c r="E8" s="1"/>
      <c r="F8" s="106">
        <f>F9*12</f>
        <v>0</v>
      </c>
      <c r="G8" s="32">
        <f>G9*12</f>
        <v>0</v>
      </c>
      <c r="H8" s="32">
        <f>IF(G14&lt;G9,G14,H9*12)</f>
        <v>0</v>
      </c>
      <c r="I8" s="32">
        <f>IF(H14&lt;H9,H14,I9*12)</f>
        <v>0</v>
      </c>
      <c r="J8" s="32">
        <f>IF(I14&lt;I9,I14,J9*12)</f>
        <v>0</v>
      </c>
      <c r="K8" s="32">
        <f>IF(J14&lt;J9,J14,K9*12)</f>
        <v>0</v>
      </c>
      <c r="L8" s="32">
        <f>IF(K14&lt;K9,K14,L9*12)</f>
        <v>0</v>
      </c>
    </row>
    <row r="9" spans="1:13">
      <c r="D9" s="1" t="s">
        <v>99</v>
      </c>
      <c r="E9" s="1"/>
      <c r="F9" s="106">
        <f t="shared" ref="F9:L9" si="1">IF(F5=0,0,-PMT(F5,F6,F7))</f>
        <v>0</v>
      </c>
      <c r="G9" s="32">
        <f t="shared" si="1"/>
        <v>0</v>
      </c>
      <c r="H9" s="32">
        <f t="shared" si="1"/>
        <v>0</v>
      </c>
      <c r="I9" s="32">
        <f t="shared" si="1"/>
        <v>0</v>
      </c>
      <c r="J9" s="32">
        <f t="shared" si="1"/>
        <v>0</v>
      </c>
      <c r="K9" s="32">
        <f t="shared" si="1"/>
        <v>0</v>
      </c>
      <c r="L9" s="32">
        <f t="shared" si="1"/>
        <v>0</v>
      </c>
    </row>
    <row r="10" spans="1:13">
      <c r="D10" s="36" t="s">
        <v>28</v>
      </c>
      <c r="E10" s="1"/>
      <c r="F10">
        <f>IF(F4&gt;0,7,0)</f>
        <v>0</v>
      </c>
      <c r="G10">
        <f t="shared" ref="G10:L10" si="2">IF(F10&gt;0,F10+12,IF(G4&gt;0,7,0))</f>
        <v>0</v>
      </c>
      <c r="H10">
        <f t="shared" si="2"/>
        <v>0</v>
      </c>
      <c r="I10">
        <f t="shared" si="2"/>
        <v>0</v>
      </c>
      <c r="J10">
        <f t="shared" si="2"/>
        <v>0</v>
      </c>
      <c r="K10">
        <f t="shared" si="2"/>
        <v>0</v>
      </c>
      <c r="L10">
        <f t="shared" si="2"/>
        <v>0</v>
      </c>
    </row>
    <row r="11" spans="1:13">
      <c r="D11" s="36" t="s">
        <v>29</v>
      </c>
      <c r="E11" s="1"/>
      <c r="F11" s="106">
        <f>IF(F10&lt;F6,-IPMT(F5,F10,F6,F7),0)</f>
        <v>0</v>
      </c>
      <c r="G11" s="32">
        <f t="shared" ref="G11:L11" si="3">IF(G10&lt;G6,-IPMT(G5,G10,G6,G7),0)</f>
        <v>0</v>
      </c>
      <c r="H11" s="32">
        <f t="shared" si="3"/>
        <v>0</v>
      </c>
      <c r="I11" s="32">
        <f t="shared" si="3"/>
        <v>0</v>
      </c>
      <c r="J11" s="32">
        <f t="shared" si="3"/>
        <v>0</v>
      </c>
      <c r="K11" s="32">
        <f t="shared" si="3"/>
        <v>0</v>
      </c>
      <c r="L11" s="32">
        <f t="shared" si="3"/>
        <v>0</v>
      </c>
    </row>
    <row r="12" spans="1:13">
      <c r="D12" s="36" t="s">
        <v>30</v>
      </c>
      <c r="E12" s="1"/>
      <c r="F12" s="106">
        <f>12*F11</f>
        <v>0</v>
      </c>
      <c r="G12" s="32">
        <f t="shared" ref="G12:L12" si="4">12*G11</f>
        <v>0</v>
      </c>
      <c r="H12" s="32">
        <f t="shared" si="4"/>
        <v>0</v>
      </c>
      <c r="I12" s="32">
        <f t="shared" si="4"/>
        <v>0</v>
      </c>
      <c r="J12" s="32">
        <f t="shared" si="4"/>
        <v>0</v>
      </c>
      <c r="K12" s="32">
        <f t="shared" si="4"/>
        <v>0</v>
      </c>
      <c r="L12" s="32">
        <f t="shared" si="4"/>
        <v>0</v>
      </c>
      <c r="M12" s="32">
        <f>SUM(F12:L12)</f>
        <v>0</v>
      </c>
    </row>
    <row r="13" spans="1:13">
      <c r="D13" s="37" t="s">
        <v>31</v>
      </c>
      <c r="E13" s="34"/>
      <c r="F13" s="106">
        <f t="shared" ref="F13:L13" si="5">IF(F12=0,0,F8-F12)</f>
        <v>0</v>
      </c>
      <c r="G13" s="32">
        <f t="shared" si="5"/>
        <v>0</v>
      </c>
      <c r="H13" s="32">
        <f t="shared" si="5"/>
        <v>0</v>
      </c>
      <c r="I13" s="32">
        <f t="shared" si="5"/>
        <v>0</v>
      </c>
      <c r="J13" s="32">
        <f t="shared" si="5"/>
        <v>0</v>
      </c>
      <c r="K13" s="32">
        <f t="shared" si="5"/>
        <v>0</v>
      </c>
      <c r="L13" s="32">
        <f t="shared" si="5"/>
        <v>0</v>
      </c>
    </row>
    <row r="14" spans="1:13">
      <c r="D14" s="36" t="s">
        <v>98</v>
      </c>
      <c r="E14" s="1"/>
      <c r="F14" s="106">
        <f>IF(F11=0,0,F7-F13)</f>
        <v>0</v>
      </c>
      <c r="G14" s="32">
        <f t="shared" ref="G14:L14" si="6">IF(G11=0,0,IF(F14+G4-G13&lt;0,0,F14+G4-G13))</f>
        <v>0</v>
      </c>
      <c r="H14" s="32">
        <f t="shared" si="6"/>
        <v>0</v>
      </c>
      <c r="I14" s="32">
        <f t="shared" si="6"/>
        <v>0</v>
      </c>
      <c r="J14" s="32">
        <f t="shared" si="6"/>
        <v>0</v>
      </c>
      <c r="K14" s="32">
        <f t="shared" si="6"/>
        <v>0</v>
      </c>
      <c r="L14" s="32">
        <f t="shared" si="6"/>
        <v>0</v>
      </c>
    </row>
    <row r="15" spans="1:13">
      <c r="A15" s="2" t="s">
        <v>101</v>
      </c>
      <c r="B15" s="750" t="str">
        <f>'T2 Investoinnit, rahoitus'!C59</f>
        <v xml:space="preserve"> Annuiteettilaina/osamaksurahoitus 2</v>
      </c>
      <c r="C15" s="751"/>
      <c r="D15" s="1" t="s">
        <v>100</v>
      </c>
      <c r="E15" s="1"/>
      <c r="F15" s="102">
        <f>'T2 Investoinnit, rahoitus'!F59</f>
        <v>0</v>
      </c>
      <c r="G15" s="102">
        <f>'T2 Investoinnit, rahoitus'!G59</f>
        <v>0</v>
      </c>
      <c r="H15" s="102">
        <f>'T2 Investoinnit, rahoitus'!H59</f>
        <v>0</v>
      </c>
      <c r="I15" s="102">
        <f>'T2 Investoinnit, rahoitus'!I59</f>
        <v>0</v>
      </c>
      <c r="J15" s="102">
        <f>'T2 Investoinnit, rahoitus'!J59</f>
        <v>0</v>
      </c>
      <c r="K15" s="102">
        <f>'T2 Investoinnit, rahoitus'!K59</f>
        <v>0</v>
      </c>
      <c r="L15" s="102">
        <f>'T2 Investoinnit, rahoitus'!L59</f>
        <v>0</v>
      </c>
    </row>
    <row r="16" spans="1:13">
      <c r="D16" s="103" t="s">
        <v>22</v>
      </c>
      <c r="E16" s="103"/>
      <c r="F16" s="35">
        <f>'T2 Investoinnit, rahoitus'!F61/12</f>
        <v>0</v>
      </c>
      <c r="G16" s="35">
        <f>'T2 Investoinnit, rahoitus'!G61/12</f>
        <v>0</v>
      </c>
      <c r="H16" s="35">
        <f>'T2 Investoinnit, rahoitus'!H61/12</f>
        <v>0</v>
      </c>
      <c r="I16" s="35">
        <f>'T2 Investoinnit, rahoitus'!I61/12</f>
        <v>0</v>
      </c>
      <c r="J16" s="35">
        <f>'T2 Investoinnit, rahoitus'!J61/12</f>
        <v>0</v>
      </c>
      <c r="K16" s="35">
        <f>'T2 Investoinnit, rahoitus'!K61/12</f>
        <v>0</v>
      </c>
      <c r="L16" s="35">
        <f>'T2 Investoinnit, rahoitus'!L61/12</f>
        <v>0</v>
      </c>
    </row>
    <row r="17" spans="1:12">
      <c r="D17" s="1" t="s">
        <v>23</v>
      </c>
      <c r="E17" s="1"/>
      <c r="F17" s="102">
        <f>'T2 Investoinnit, rahoitus'!F60</f>
        <v>0</v>
      </c>
      <c r="G17" s="102">
        <f>'T2 Investoinnit, rahoitus'!G60</f>
        <v>0</v>
      </c>
      <c r="H17" s="102">
        <f>'T2 Investoinnit, rahoitus'!H60</f>
        <v>0</v>
      </c>
      <c r="I17" s="102">
        <f>'T2 Investoinnit, rahoitus'!I60</f>
        <v>0</v>
      </c>
      <c r="J17" s="102">
        <f>'T2 Investoinnit, rahoitus'!J60</f>
        <v>0</v>
      </c>
      <c r="K17" s="102">
        <f>'T2 Investoinnit, rahoitus'!K60</f>
        <v>0</v>
      </c>
      <c r="L17" s="102">
        <f>'T2 Investoinnit, rahoitus'!L60</f>
        <v>0</v>
      </c>
    </row>
    <row r="18" spans="1:12">
      <c r="D18" s="1" t="s">
        <v>20</v>
      </c>
      <c r="E18" s="1"/>
      <c r="F18" s="105">
        <f>'T2 Investoinnit, rahoitus'!F59</f>
        <v>0</v>
      </c>
      <c r="G18" s="29">
        <f t="shared" ref="G18:L18" si="7">IF(F25&gt;0,F18,G15)</f>
        <v>0</v>
      </c>
      <c r="H18" s="29">
        <f t="shared" si="7"/>
        <v>0</v>
      </c>
      <c r="I18" s="29">
        <f t="shared" si="7"/>
        <v>0</v>
      </c>
      <c r="J18" s="29">
        <f t="shared" si="7"/>
        <v>0</v>
      </c>
      <c r="K18" s="29">
        <f t="shared" si="7"/>
        <v>0</v>
      </c>
      <c r="L18" s="29">
        <f t="shared" si="7"/>
        <v>0</v>
      </c>
    </row>
    <row r="19" spans="1:12">
      <c r="D19" s="1" t="s">
        <v>24</v>
      </c>
      <c r="E19" s="1"/>
      <c r="F19" s="106">
        <f>F20*12</f>
        <v>0</v>
      </c>
      <c r="G19" s="32">
        <f>G20*12</f>
        <v>0</v>
      </c>
      <c r="H19" s="32">
        <f>IF(G25&lt;G20,G25,H20*12)</f>
        <v>0</v>
      </c>
      <c r="I19" s="32">
        <f>IF(H25&lt;H20,H25,I20*12)</f>
        <v>0</v>
      </c>
      <c r="J19" s="32">
        <f>IF(I25&lt;I20,I25,J20*12)</f>
        <v>0</v>
      </c>
      <c r="K19" s="32">
        <f>IF(J25&lt;J20,J25,K20*12)</f>
        <v>0</v>
      </c>
      <c r="L19" s="32">
        <f>IF(K25&lt;K20,K25,L20*12)</f>
        <v>0</v>
      </c>
    </row>
    <row r="20" spans="1:12">
      <c r="D20" s="1" t="s">
        <v>99</v>
      </c>
      <c r="E20" s="1"/>
      <c r="F20" s="106">
        <f t="shared" ref="F20:L20" si="8">IF(F16=0,0,-PMT(F16,F17,F18))</f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</row>
    <row r="21" spans="1:12">
      <c r="D21" s="36" t="s">
        <v>28</v>
      </c>
      <c r="E21" s="1"/>
      <c r="F21">
        <f>IF(F15&gt;0,7,0)</f>
        <v>0</v>
      </c>
      <c r="G21">
        <f t="shared" ref="G21:L21" si="9">IF(F21&gt;0,F21+12,IF(G15&gt;0,7,0))</f>
        <v>0</v>
      </c>
      <c r="H21">
        <f t="shared" si="9"/>
        <v>0</v>
      </c>
      <c r="I21">
        <f t="shared" si="9"/>
        <v>0</v>
      </c>
      <c r="J21">
        <f t="shared" si="9"/>
        <v>0</v>
      </c>
      <c r="K21">
        <f t="shared" si="9"/>
        <v>0</v>
      </c>
      <c r="L21">
        <f t="shared" si="9"/>
        <v>0</v>
      </c>
    </row>
    <row r="22" spans="1:12">
      <c r="D22" s="36" t="s">
        <v>29</v>
      </c>
      <c r="E22" s="1"/>
      <c r="F22" s="106">
        <f t="shared" ref="F22:L22" si="10">IF(F21&lt;F17,-IPMT(F16,F21,F17,F18),0)</f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</row>
    <row r="23" spans="1:12">
      <c r="D23" s="36" t="s">
        <v>30</v>
      </c>
      <c r="E23" s="1"/>
      <c r="F23" s="106">
        <f t="shared" ref="F23:L23" si="11">12*F22</f>
        <v>0</v>
      </c>
      <c r="G23" s="32">
        <f t="shared" si="11"/>
        <v>0</v>
      </c>
      <c r="H23" s="32">
        <f t="shared" si="11"/>
        <v>0</v>
      </c>
      <c r="I23" s="32">
        <f t="shared" si="11"/>
        <v>0</v>
      </c>
      <c r="J23" s="32">
        <f t="shared" si="11"/>
        <v>0</v>
      </c>
      <c r="K23" s="32">
        <f t="shared" si="11"/>
        <v>0</v>
      </c>
      <c r="L23" s="32">
        <f t="shared" si="11"/>
        <v>0</v>
      </c>
    </row>
    <row r="24" spans="1:12">
      <c r="D24" s="37" t="s">
        <v>31</v>
      </c>
      <c r="E24" s="34"/>
      <c r="F24" s="106">
        <f t="shared" ref="F24:L24" si="12">IF(F23=0,0,F19-F23)</f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</row>
    <row r="25" spans="1:12">
      <c r="D25" s="36" t="s">
        <v>98</v>
      </c>
      <c r="E25" s="1"/>
      <c r="F25" s="106">
        <f>IF(F22=0,0,F18-F24)</f>
        <v>0</v>
      </c>
      <c r="G25" s="32">
        <f t="shared" ref="G25:L25" si="13">IF(G22=0,0,IF(F25+G15-G24&lt;0,0,F25+G15-G24))</f>
        <v>0</v>
      </c>
      <c r="H25" s="32">
        <f t="shared" si="13"/>
        <v>0</v>
      </c>
      <c r="I25" s="32">
        <f t="shared" si="13"/>
        <v>0</v>
      </c>
      <c r="J25" s="32">
        <f t="shared" si="13"/>
        <v>0</v>
      </c>
      <c r="K25" s="32">
        <f t="shared" si="13"/>
        <v>0</v>
      </c>
      <c r="L25" s="32">
        <f t="shared" si="13"/>
        <v>0</v>
      </c>
    </row>
    <row r="26" spans="1:12">
      <c r="A26" s="2" t="s">
        <v>101</v>
      </c>
      <c r="B26" s="750" t="str">
        <f>'T2 Investoinnit, rahoitus'!C66</f>
        <v xml:space="preserve"> Annuiteettilaina/osamaksurahoitus 3</v>
      </c>
      <c r="C26" s="751"/>
      <c r="D26" s="1" t="s">
        <v>100</v>
      </c>
      <c r="E26" s="1"/>
      <c r="F26" s="102">
        <f>'T2 Investoinnit, rahoitus'!F66</f>
        <v>0</v>
      </c>
      <c r="G26" s="102">
        <f>'T2 Investoinnit, rahoitus'!G66</f>
        <v>0</v>
      </c>
      <c r="H26" s="102">
        <f>'T2 Investoinnit, rahoitus'!H66</f>
        <v>0</v>
      </c>
      <c r="I26" s="102">
        <f>'T2 Investoinnit, rahoitus'!I66</f>
        <v>0</v>
      </c>
      <c r="J26" s="102">
        <f>'T2 Investoinnit, rahoitus'!J66</f>
        <v>0</v>
      </c>
      <c r="K26" s="102">
        <f>'T2 Investoinnit, rahoitus'!K66</f>
        <v>0</v>
      </c>
      <c r="L26" s="102">
        <f>'T2 Investoinnit, rahoitus'!L66</f>
        <v>0</v>
      </c>
    </row>
    <row r="27" spans="1:12">
      <c r="D27" s="103" t="s">
        <v>22</v>
      </c>
      <c r="E27" s="103"/>
      <c r="F27" s="35">
        <f>'T2 Investoinnit, rahoitus'!F68/12</f>
        <v>0</v>
      </c>
      <c r="G27" s="35">
        <f>'T2 Investoinnit, rahoitus'!G68/12</f>
        <v>0</v>
      </c>
      <c r="H27" s="35">
        <f>'T2 Investoinnit, rahoitus'!H68/12</f>
        <v>0</v>
      </c>
      <c r="I27" s="35">
        <f>'T2 Investoinnit, rahoitus'!I68/12</f>
        <v>0</v>
      </c>
      <c r="J27" s="35">
        <f>'T2 Investoinnit, rahoitus'!J68/12</f>
        <v>0</v>
      </c>
      <c r="K27" s="35">
        <f>'T2 Investoinnit, rahoitus'!K68/12</f>
        <v>0</v>
      </c>
      <c r="L27" s="35">
        <f>'T2 Investoinnit, rahoitus'!L68/12</f>
        <v>0</v>
      </c>
    </row>
    <row r="28" spans="1:12">
      <c r="D28" s="1" t="s">
        <v>23</v>
      </c>
      <c r="E28" s="1"/>
      <c r="F28" s="102">
        <f>'T2 Investoinnit, rahoitus'!F67</f>
        <v>0</v>
      </c>
      <c r="G28" s="102">
        <f>'T2 Investoinnit, rahoitus'!G67</f>
        <v>0</v>
      </c>
      <c r="H28" s="102">
        <f>'T2 Investoinnit, rahoitus'!H67</f>
        <v>0</v>
      </c>
      <c r="I28" s="102">
        <f>'T2 Investoinnit, rahoitus'!I67</f>
        <v>0</v>
      </c>
      <c r="J28" s="102">
        <f>'T2 Investoinnit, rahoitus'!J67</f>
        <v>0</v>
      </c>
      <c r="K28" s="102">
        <f>'T2 Investoinnit, rahoitus'!K67</f>
        <v>0</v>
      </c>
      <c r="L28" s="102">
        <f>'T2 Investoinnit, rahoitus'!L67</f>
        <v>0</v>
      </c>
    </row>
    <row r="29" spans="1:12">
      <c r="D29" s="1" t="s">
        <v>20</v>
      </c>
      <c r="E29" s="1"/>
      <c r="F29" s="105">
        <f>'T2 Investoinnit, rahoitus'!F66</f>
        <v>0</v>
      </c>
      <c r="G29" s="29">
        <f t="shared" ref="G29:L29" si="14">IF(F36&gt;0,F29,G26)</f>
        <v>0</v>
      </c>
      <c r="H29" s="29">
        <f t="shared" si="14"/>
        <v>0</v>
      </c>
      <c r="I29" s="29">
        <f t="shared" si="14"/>
        <v>0</v>
      </c>
      <c r="J29" s="29">
        <f t="shared" si="14"/>
        <v>0</v>
      </c>
      <c r="K29" s="29">
        <f t="shared" si="14"/>
        <v>0</v>
      </c>
      <c r="L29" s="29">
        <f t="shared" si="14"/>
        <v>0</v>
      </c>
    </row>
    <row r="30" spans="1:12">
      <c r="D30" s="1" t="s">
        <v>24</v>
      </c>
      <c r="E30" s="1"/>
      <c r="F30" s="106">
        <f>F31*12</f>
        <v>0</v>
      </c>
      <c r="G30" s="32">
        <f>G31*12</f>
        <v>0</v>
      </c>
      <c r="H30" s="32">
        <f>IF(G36&lt;G31,G36,H31*12)</f>
        <v>0</v>
      </c>
      <c r="I30" s="32">
        <f>IF(H36&lt;H31,H36,I31*12)</f>
        <v>0</v>
      </c>
      <c r="J30" s="32">
        <f>IF(I36&lt;I31,I36,J31*12)</f>
        <v>0</v>
      </c>
      <c r="K30" s="32">
        <f>IF(J36&lt;J31,J36,K31*12)</f>
        <v>0</v>
      </c>
      <c r="L30" s="32">
        <f>IF(K36&lt;K31,K36,L31*12)</f>
        <v>0</v>
      </c>
    </row>
    <row r="31" spans="1:12">
      <c r="D31" s="1" t="s">
        <v>99</v>
      </c>
      <c r="E31" s="1"/>
      <c r="F31" s="106">
        <f t="shared" ref="F31:L31" si="15">IF(F27=0,0,-PMT(F27,F28,F29))</f>
        <v>0</v>
      </c>
      <c r="G31" s="32">
        <f t="shared" si="15"/>
        <v>0</v>
      </c>
      <c r="H31" s="32">
        <f t="shared" si="15"/>
        <v>0</v>
      </c>
      <c r="I31" s="32">
        <f t="shared" si="15"/>
        <v>0</v>
      </c>
      <c r="J31" s="32">
        <f t="shared" si="15"/>
        <v>0</v>
      </c>
      <c r="K31" s="32">
        <f t="shared" si="15"/>
        <v>0</v>
      </c>
      <c r="L31" s="32">
        <f t="shared" si="15"/>
        <v>0</v>
      </c>
    </row>
    <row r="32" spans="1:12">
      <c r="D32" s="36" t="s">
        <v>28</v>
      </c>
      <c r="E32" s="1"/>
      <c r="F32">
        <f>IF(F26&gt;0,7,0)</f>
        <v>0</v>
      </c>
      <c r="G32">
        <f t="shared" ref="G32:L32" si="16">IF(F32&gt;0,F32+12,IF(G26&gt;0,7,0))</f>
        <v>0</v>
      </c>
      <c r="H32">
        <f t="shared" si="16"/>
        <v>0</v>
      </c>
      <c r="I32">
        <f t="shared" si="16"/>
        <v>0</v>
      </c>
      <c r="J32">
        <f t="shared" si="16"/>
        <v>0</v>
      </c>
      <c r="K32">
        <f t="shared" si="16"/>
        <v>0</v>
      </c>
      <c r="L32">
        <f t="shared" si="16"/>
        <v>0</v>
      </c>
    </row>
    <row r="33" spans="1:12">
      <c r="D33" s="36" t="s">
        <v>29</v>
      </c>
      <c r="E33" s="1"/>
      <c r="F33" s="106">
        <f t="shared" ref="F33:L33" si="17">IF(F32&lt;F28,-IPMT(F27,F32,F28,F29),0)</f>
        <v>0</v>
      </c>
      <c r="G33" s="32">
        <f t="shared" si="17"/>
        <v>0</v>
      </c>
      <c r="H33" s="32">
        <f t="shared" si="17"/>
        <v>0</v>
      </c>
      <c r="I33" s="32">
        <f t="shared" si="17"/>
        <v>0</v>
      </c>
      <c r="J33" s="32">
        <f t="shared" si="17"/>
        <v>0</v>
      </c>
      <c r="K33" s="32">
        <f t="shared" si="17"/>
        <v>0</v>
      </c>
      <c r="L33" s="32">
        <f t="shared" si="17"/>
        <v>0</v>
      </c>
    </row>
    <row r="34" spans="1:12">
      <c r="D34" s="36" t="s">
        <v>30</v>
      </c>
      <c r="E34" s="1"/>
      <c r="F34" s="106">
        <f t="shared" ref="F34:L34" si="18">12*F33</f>
        <v>0</v>
      </c>
      <c r="G34" s="32">
        <f t="shared" si="18"/>
        <v>0</v>
      </c>
      <c r="H34" s="32">
        <f t="shared" si="18"/>
        <v>0</v>
      </c>
      <c r="I34" s="32">
        <f t="shared" si="18"/>
        <v>0</v>
      </c>
      <c r="J34" s="32">
        <f t="shared" si="18"/>
        <v>0</v>
      </c>
      <c r="K34" s="32">
        <f t="shared" si="18"/>
        <v>0</v>
      </c>
      <c r="L34" s="32">
        <f t="shared" si="18"/>
        <v>0</v>
      </c>
    </row>
    <row r="35" spans="1:12">
      <c r="D35" s="37" t="s">
        <v>31</v>
      </c>
      <c r="E35" s="34"/>
      <c r="F35" s="106">
        <f t="shared" ref="F35:L35" si="19">IF(F34=0,0,F30-F34)</f>
        <v>0</v>
      </c>
      <c r="G35" s="32">
        <f t="shared" si="19"/>
        <v>0</v>
      </c>
      <c r="H35" s="32">
        <f t="shared" si="19"/>
        <v>0</v>
      </c>
      <c r="I35" s="32">
        <f t="shared" si="19"/>
        <v>0</v>
      </c>
      <c r="J35" s="32">
        <f t="shared" si="19"/>
        <v>0</v>
      </c>
      <c r="K35" s="32">
        <f t="shared" si="19"/>
        <v>0</v>
      </c>
      <c r="L35" s="32">
        <f t="shared" si="19"/>
        <v>0</v>
      </c>
    </row>
    <row r="36" spans="1:12">
      <c r="D36" s="36" t="s">
        <v>98</v>
      </c>
      <c r="E36" s="1"/>
      <c r="F36" s="106">
        <f>IF(F33=0,0,F29-F35)</f>
        <v>0</v>
      </c>
      <c r="G36" s="32">
        <f t="shared" ref="G36:L36" si="20">IF(G33=0,0,IF(F36+G26-G35&lt;0,0,F36+G26-G35))</f>
        <v>0</v>
      </c>
      <c r="H36" s="32">
        <f t="shared" si="20"/>
        <v>0</v>
      </c>
      <c r="I36" s="32">
        <f t="shared" si="20"/>
        <v>0</v>
      </c>
      <c r="J36" s="32">
        <f t="shared" si="20"/>
        <v>0</v>
      </c>
      <c r="K36" s="32">
        <f t="shared" si="20"/>
        <v>0</v>
      </c>
      <c r="L36" s="32">
        <f t="shared" si="20"/>
        <v>0</v>
      </c>
    </row>
    <row r="37" spans="1:12">
      <c r="A37" s="2" t="s">
        <v>101</v>
      </c>
      <c r="B37" s="750" t="str">
        <f>'T2 Investoinnit, rahoitus'!C73</f>
        <v xml:space="preserve"> Annuiteettilaina/osamaksurahoitus 4</v>
      </c>
      <c r="C37" s="751"/>
      <c r="D37" s="1" t="s">
        <v>100</v>
      </c>
      <c r="E37" s="1"/>
      <c r="F37" s="102">
        <f>'T2 Investoinnit, rahoitus'!F73</f>
        <v>0</v>
      </c>
      <c r="G37" s="102">
        <f>'T2 Investoinnit, rahoitus'!G73</f>
        <v>0</v>
      </c>
      <c r="H37" s="102">
        <f>'T2 Investoinnit, rahoitus'!H73</f>
        <v>0</v>
      </c>
      <c r="I37" s="102">
        <f>'T2 Investoinnit, rahoitus'!I73</f>
        <v>0</v>
      </c>
      <c r="J37" s="102">
        <f>'T2 Investoinnit, rahoitus'!J73</f>
        <v>0</v>
      </c>
      <c r="K37" s="102">
        <f>'T2 Investoinnit, rahoitus'!K73</f>
        <v>0</v>
      </c>
      <c r="L37" s="102">
        <f>'T2 Investoinnit, rahoitus'!L73</f>
        <v>0</v>
      </c>
    </row>
    <row r="38" spans="1:12">
      <c r="D38" s="103" t="s">
        <v>22</v>
      </c>
      <c r="E38" s="103"/>
      <c r="F38" s="35">
        <f>'T2 Investoinnit, rahoitus'!F75/12</f>
        <v>0</v>
      </c>
      <c r="G38" s="35">
        <f>'T2 Investoinnit, rahoitus'!G75/12</f>
        <v>0</v>
      </c>
      <c r="H38" s="35">
        <f>'T2 Investoinnit, rahoitus'!H75/12</f>
        <v>0</v>
      </c>
      <c r="I38" s="35">
        <f>'T2 Investoinnit, rahoitus'!I75/12</f>
        <v>0</v>
      </c>
      <c r="J38" s="35">
        <f>'T2 Investoinnit, rahoitus'!J75/12</f>
        <v>0</v>
      </c>
      <c r="K38" s="35">
        <f>'T2 Investoinnit, rahoitus'!K75/12</f>
        <v>0</v>
      </c>
      <c r="L38" s="35">
        <f>'T2 Investoinnit, rahoitus'!L75/12</f>
        <v>0</v>
      </c>
    </row>
    <row r="39" spans="1:12">
      <c r="D39" s="1" t="s">
        <v>23</v>
      </c>
      <c r="E39" s="1"/>
      <c r="F39" s="102">
        <f>'T2 Investoinnit, rahoitus'!F74</f>
        <v>0</v>
      </c>
      <c r="G39" s="102">
        <f>'T2 Investoinnit, rahoitus'!G74</f>
        <v>0</v>
      </c>
      <c r="H39" s="102">
        <f>'T2 Investoinnit, rahoitus'!H74</f>
        <v>0</v>
      </c>
      <c r="I39" s="102">
        <f>'T2 Investoinnit, rahoitus'!I74</f>
        <v>0</v>
      </c>
      <c r="J39" s="102">
        <f>'T2 Investoinnit, rahoitus'!J74</f>
        <v>0</v>
      </c>
      <c r="K39" s="102">
        <f>'T2 Investoinnit, rahoitus'!K74</f>
        <v>0</v>
      </c>
      <c r="L39" s="102">
        <f>'T2 Investoinnit, rahoitus'!L74</f>
        <v>0</v>
      </c>
    </row>
    <row r="40" spans="1:12">
      <c r="D40" s="1" t="s">
        <v>20</v>
      </c>
      <c r="E40" s="1"/>
      <c r="F40" s="105">
        <f>'T2 Investoinnit, rahoitus'!F73</f>
        <v>0</v>
      </c>
      <c r="G40" s="29">
        <f t="shared" ref="G40:L40" si="21">IF(F47&gt;0,F40,G37)</f>
        <v>0</v>
      </c>
      <c r="H40" s="29">
        <f t="shared" si="21"/>
        <v>0</v>
      </c>
      <c r="I40" s="29">
        <f t="shared" si="21"/>
        <v>0</v>
      </c>
      <c r="J40" s="29">
        <f t="shared" si="21"/>
        <v>0</v>
      </c>
      <c r="K40" s="29">
        <f t="shared" si="21"/>
        <v>0</v>
      </c>
      <c r="L40" s="29">
        <f t="shared" si="21"/>
        <v>0</v>
      </c>
    </row>
    <row r="41" spans="1:12">
      <c r="D41" s="1" t="s">
        <v>24</v>
      </c>
      <c r="E41" s="1"/>
      <c r="F41" s="106">
        <f>F42*12</f>
        <v>0</v>
      </c>
      <c r="G41" s="32">
        <f>G42*12</f>
        <v>0</v>
      </c>
      <c r="H41" s="32">
        <f>IF(G47&lt;G42,G47,H42*12)</f>
        <v>0</v>
      </c>
      <c r="I41" s="32">
        <f>IF(H47&lt;H42,H47,I42*12)</f>
        <v>0</v>
      </c>
      <c r="J41" s="32">
        <f>IF(I47&lt;I42,I47,J42*12)</f>
        <v>0</v>
      </c>
      <c r="K41" s="32">
        <f>IF(J47&lt;J42,J47,K42*12)</f>
        <v>0</v>
      </c>
      <c r="L41" s="32">
        <f>IF(K47&lt;K42,K47,L42*12)</f>
        <v>0</v>
      </c>
    </row>
    <row r="42" spans="1:12">
      <c r="D42" s="1" t="s">
        <v>99</v>
      </c>
      <c r="E42" s="1"/>
      <c r="F42" s="106">
        <f t="shared" ref="F42:L42" si="22">IF(F38=0,0,-PMT(F38,F39,F40))</f>
        <v>0</v>
      </c>
      <c r="G42" s="32">
        <f t="shared" si="22"/>
        <v>0</v>
      </c>
      <c r="H42" s="32">
        <f t="shared" si="22"/>
        <v>0</v>
      </c>
      <c r="I42" s="32">
        <f t="shared" si="22"/>
        <v>0</v>
      </c>
      <c r="J42" s="32">
        <f t="shared" si="22"/>
        <v>0</v>
      </c>
      <c r="K42" s="32">
        <f t="shared" si="22"/>
        <v>0</v>
      </c>
      <c r="L42" s="32">
        <f t="shared" si="22"/>
        <v>0</v>
      </c>
    </row>
    <row r="43" spans="1:12">
      <c r="D43" s="36" t="s">
        <v>28</v>
      </c>
      <c r="E43" s="1"/>
      <c r="F43">
        <f>IF(F37&gt;0,7,0)</f>
        <v>0</v>
      </c>
      <c r="G43">
        <f t="shared" ref="G43:L43" si="23">IF(F43&gt;0,F43+12,IF(G37&gt;0,7,0))</f>
        <v>0</v>
      </c>
      <c r="H43">
        <f t="shared" si="23"/>
        <v>0</v>
      </c>
      <c r="I43">
        <f t="shared" si="23"/>
        <v>0</v>
      </c>
      <c r="J43">
        <f t="shared" si="23"/>
        <v>0</v>
      </c>
      <c r="K43">
        <f t="shared" si="23"/>
        <v>0</v>
      </c>
      <c r="L43">
        <f t="shared" si="23"/>
        <v>0</v>
      </c>
    </row>
    <row r="44" spans="1:12">
      <c r="D44" s="36" t="s">
        <v>29</v>
      </c>
      <c r="E44" s="1"/>
      <c r="F44" s="106">
        <f t="shared" ref="F44:L44" si="24">IF(F43&lt;F39,-IPMT(F38,F43,F39,F40),0)</f>
        <v>0</v>
      </c>
      <c r="G44" s="32">
        <f t="shared" si="24"/>
        <v>0</v>
      </c>
      <c r="H44" s="32">
        <f t="shared" si="24"/>
        <v>0</v>
      </c>
      <c r="I44" s="32">
        <f t="shared" si="24"/>
        <v>0</v>
      </c>
      <c r="J44" s="32">
        <f t="shared" si="24"/>
        <v>0</v>
      </c>
      <c r="K44" s="32">
        <f t="shared" si="24"/>
        <v>0</v>
      </c>
      <c r="L44" s="32">
        <f t="shared" si="24"/>
        <v>0</v>
      </c>
    </row>
    <row r="45" spans="1:12">
      <c r="D45" s="36" t="s">
        <v>30</v>
      </c>
      <c r="E45" s="1"/>
      <c r="F45" s="106">
        <f t="shared" ref="F45:L45" si="25">12*F44</f>
        <v>0</v>
      </c>
      <c r="G45" s="32">
        <f t="shared" si="25"/>
        <v>0</v>
      </c>
      <c r="H45" s="32">
        <f t="shared" si="25"/>
        <v>0</v>
      </c>
      <c r="I45" s="32">
        <f t="shared" si="25"/>
        <v>0</v>
      </c>
      <c r="J45" s="32">
        <f t="shared" si="25"/>
        <v>0</v>
      </c>
      <c r="K45" s="32">
        <f t="shared" si="25"/>
        <v>0</v>
      </c>
      <c r="L45" s="32">
        <f t="shared" si="25"/>
        <v>0</v>
      </c>
    </row>
    <row r="46" spans="1:12">
      <c r="D46" s="37" t="s">
        <v>31</v>
      </c>
      <c r="E46" s="34"/>
      <c r="F46" s="106">
        <f t="shared" ref="F46:L46" si="26">IF(F45=0,0,F41-F45)</f>
        <v>0</v>
      </c>
      <c r="G46" s="32">
        <f t="shared" si="26"/>
        <v>0</v>
      </c>
      <c r="H46" s="32">
        <f t="shared" si="26"/>
        <v>0</v>
      </c>
      <c r="I46" s="32">
        <f t="shared" si="26"/>
        <v>0</v>
      </c>
      <c r="J46" s="32">
        <f t="shared" si="26"/>
        <v>0</v>
      </c>
      <c r="K46" s="32">
        <f t="shared" si="26"/>
        <v>0</v>
      </c>
      <c r="L46" s="32">
        <f t="shared" si="26"/>
        <v>0</v>
      </c>
    </row>
    <row r="47" spans="1:12">
      <c r="D47" s="36" t="s">
        <v>98</v>
      </c>
      <c r="E47" s="1"/>
      <c r="F47" s="106">
        <f>IF(F44=0,0,F40-F46)</f>
        <v>0</v>
      </c>
      <c r="G47" s="32">
        <f t="shared" ref="G47:L47" si="27">IF(G44=0,0,IF(F47+G37-G46&lt;0,0,F47+G37-G46))</f>
        <v>0</v>
      </c>
      <c r="H47" s="32">
        <f t="shared" si="27"/>
        <v>0</v>
      </c>
      <c r="I47" s="32">
        <f t="shared" si="27"/>
        <v>0</v>
      </c>
      <c r="J47" s="32">
        <f t="shared" si="27"/>
        <v>0</v>
      </c>
      <c r="K47" s="32">
        <f t="shared" si="27"/>
        <v>0</v>
      </c>
      <c r="L47" s="32">
        <f t="shared" si="27"/>
        <v>0</v>
      </c>
    </row>
    <row r="49" spans="1:12" ht="15.45">
      <c r="B49" s="33" t="s">
        <v>104</v>
      </c>
      <c r="E49" s="109" t="s">
        <v>42</v>
      </c>
    </row>
    <row r="50" spans="1:12">
      <c r="D50" s="107" t="s">
        <v>97</v>
      </c>
      <c r="E50" s="16">
        <f>E3</f>
        <v>2023</v>
      </c>
      <c r="F50" s="16">
        <f t="shared" ref="F50:L50" si="28">F3</f>
        <v>2024</v>
      </c>
      <c r="G50" s="16">
        <f t="shared" si="28"/>
        <v>2025</v>
      </c>
      <c r="H50" s="16">
        <f t="shared" si="28"/>
        <v>2026</v>
      </c>
      <c r="I50" s="16">
        <f t="shared" si="28"/>
        <v>2027</v>
      </c>
      <c r="J50" s="16">
        <f t="shared" si="28"/>
        <v>2028</v>
      </c>
      <c r="K50" s="16">
        <f t="shared" si="28"/>
        <v>2029</v>
      </c>
      <c r="L50" s="16">
        <f t="shared" si="28"/>
        <v>2030</v>
      </c>
    </row>
    <row r="51" spans="1:12">
      <c r="A51" s="1" t="s">
        <v>106</v>
      </c>
      <c r="B51" t="str">
        <f>'T2 Investoinnit, rahoitus'!C117</f>
        <v xml:space="preserve"> Annuiteettilaina 1</v>
      </c>
      <c r="D51" s="1" t="s">
        <v>105</v>
      </c>
      <c r="E51" s="29">
        <f>'T2 Investoinnit, rahoitus'!E117</f>
        <v>0</v>
      </c>
    </row>
    <row r="52" spans="1:12">
      <c r="D52" s="110" t="s">
        <v>107</v>
      </c>
      <c r="E52" s="110"/>
      <c r="F52" s="29">
        <f>'T2 Investoinnit, rahoitus'!F118*12</f>
        <v>0</v>
      </c>
      <c r="G52" s="29">
        <f>'T2 Investoinnit, rahoitus'!G118*12</f>
        <v>0</v>
      </c>
      <c r="H52" s="29">
        <f>'T2 Investoinnit, rahoitus'!H118*12</f>
        <v>0</v>
      </c>
      <c r="I52" s="29">
        <f>'T2 Investoinnit, rahoitus'!I118*12</f>
        <v>0</v>
      </c>
      <c r="J52" s="29">
        <f>'T2 Investoinnit, rahoitus'!J118*12</f>
        <v>0</v>
      </c>
      <c r="K52" s="29">
        <f>'T2 Investoinnit, rahoitus'!K118*12</f>
        <v>0</v>
      </c>
      <c r="L52" s="29">
        <f>'T2 Investoinnit, rahoitus'!L118*12</f>
        <v>0</v>
      </c>
    </row>
    <row r="53" spans="1:12">
      <c r="D53" s="110" t="s">
        <v>38</v>
      </c>
      <c r="E53" s="110"/>
      <c r="F53" s="12">
        <f>IF(F54=0,0,-CUMPRINC(F54/12,F52,$E51,F56,F57,0))</f>
        <v>0</v>
      </c>
      <c r="G53" s="12">
        <f>IF(F54=0,0,IF(G52&lt;13,$E51-F53,-CUMPRINC(G54/12,F52,$E51,G56,G57,0)))</f>
        <v>0</v>
      </c>
      <c r="H53" s="12">
        <f>IF(F54=0,0,IF(H52&lt;13,$E51-F53-G53,-CUMPRINC(H54/12,F52,$E51,H56,H57,0)))</f>
        <v>0</v>
      </c>
      <c r="I53" s="12">
        <f>IF(F54=0,0,IF(I52&lt;13,$E51-F53-G53-H53,-CUMPRINC(I54/12,F52,$E51,I56,I57,0)))</f>
        <v>0</v>
      </c>
      <c r="J53" s="12">
        <f>IF(F54=0,0,IF(J52&lt;13,$E51-F53-G53-H53-I53,-CUMPRINC(J54/12,F52,$E51,J56,J57,0)))</f>
        <v>0</v>
      </c>
      <c r="K53" s="12">
        <f>IF(F54=0,0,IF(K52&lt;13,$E51-F53-G53-H53-I53-J53,-CUMPRINC(K54/12,F52,$E51,K56,K57,0)))</f>
        <v>0</v>
      </c>
      <c r="L53" s="111">
        <f>IF(F54=0,0,IF(L52&lt;13,$E51-F53-G53-H53-I53-J53-K53,-CUMPRINC(L54/12,F52,$E51,L56,L57,0)))</f>
        <v>0</v>
      </c>
    </row>
    <row r="54" spans="1:12">
      <c r="D54" s="110" t="s">
        <v>39</v>
      </c>
      <c r="E54" s="110"/>
      <c r="F54" s="31">
        <f>'T2 Investoinnit, rahoitus'!F120</f>
        <v>0</v>
      </c>
      <c r="G54" s="31">
        <f>'T2 Investoinnit, rahoitus'!G120</f>
        <v>0</v>
      </c>
      <c r="H54" s="31">
        <f>'T2 Investoinnit, rahoitus'!H120</f>
        <v>0</v>
      </c>
      <c r="I54" s="31">
        <f>'T2 Investoinnit, rahoitus'!I120</f>
        <v>0</v>
      </c>
      <c r="J54" s="31">
        <f>'T2 Investoinnit, rahoitus'!J120</f>
        <v>0</v>
      </c>
      <c r="K54" s="31">
        <f>'T2 Investoinnit, rahoitus'!K120</f>
        <v>0</v>
      </c>
      <c r="L54" s="31">
        <f>'T2 Investoinnit, rahoitus'!L120</f>
        <v>0</v>
      </c>
    </row>
    <row r="55" spans="1:12">
      <c r="D55" s="110" t="s">
        <v>41</v>
      </c>
      <c r="E55" s="110"/>
      <c r="F55" s="12">
        <f>IF(F54=0,0,-CUMIPMT(F54/12,$F52,$E51,F56,F57,0))</f>
        <v>0</v>
      </c>
      <c r="G55" s="12">
        <f>IF(F54=0,0,IF(G52&lt;1,0,-CUMIPMT(G54/12,$F52,$E51,G56,G57,0)))</f>
        <v>0</v>
      </c>
      <c r="H55" s="12">
        <f>IF(F54=0,0,IF(H52&lt;1,0,-CUMIPMT(H54/12,$F52,$E51,H56,H57,0)))</f>
        <v>0</v>
      </c>
      <c r="I55" s="12">
        <f>IF(F54=0,0,IF(I52&lt;1,0,-CUMIPMT(I54/12,$F52,$E51,I56,I57,0)))</f>
        <v>0</v>
      </c>
      <c r="J55" s="12">
        <f>IF(F54=0,0,IF(J52&lt;1,0,-CUMIPMT(J54/12,$F52,$E51,J56,J57,0)))</f>
        <v>0</v>
      </c>
      <c r="K55" s="12">
        <f>IF(F54=0,0,IF(K52&lt;1,0,-CUMIPMT(K54/12,$F52,$E51,K56,K57,0)))</f>
        <v>0</v>
      </c>
      <c r="L55" s="12">
        <f>IF(F54=0,0,IF(L52&lt;1,0,-CUMIPMT(L54/12,$F52,$E51,L56,L57,0)))</f>
        <v>0</v>
      </c>
    </row>
    <row r="56" spans="1:12">
      <c r="D56" s="110" t="s">
        <v>108</v>
      </c>
      <c r="F56">
        <v>1</v>
      </c>
      <c r="G56">
        <f t="shared" ref="G56:L57" si="29">12+F56</f>
        <v>13</v>
      </c>
      <c r="H56">
        <f t="shared" si="29"/>
        <v>25</v>
      </c>
      <c r="I56">
        <f t="shared" si="29"/>
        <v>37</v>
      </c>
      <c r="J56">
        <f t="shared" si="29"/>
        <v>49</v>
      </c>
      <c r="K56">
        <f t="shared" si="29"/>
        <v>61</v>
      </c>
      <c r="L56">
        <f t="shared" si="29"/>
        <v>73</v>
      </c>
    </row>
    <row r="57" spans="1:12">
      <c r="D57" s="110" t="s">
        <v>109</v>
      </c>
      <c r="F57">
        <v>12</v>
      </c>
      <c r="G57">
        <f t="shared" si="29"/>
        <v>24</v>
      </c>
      <c r="H57">
        <f t="shared" si="29"/>
        <v>36</v>
      </c>
      <c r="I57">
        <f t="shared" si="29"/>
        <v>48</v>
      </c>
      <c r="J57">
        <f t="shared" si="29"/>
        <v>60</v>
      </c>
      <c r="K57">
        <f t="shared" si="29"/>
        <v>72</v>
      </c>
      <c r="L57">
        <f t="shared" si="29"/>
        <v>84</v>
      </c>
    </row>
    <row r="58" spans="1:12">
      <c r="A58" s="1" t="s">
        <v>106</v>
      </c>
      <c r="B58" t="str">
        <f>'T2 Investoinnit, rahoitus'!C122</f>
        <v xml:space="preserve"> Annuiteettilaina 2</v>
      </c>
      <c r="D58" s="1" t="s">
        <v>105</v>
      </c>
      <c r="E58" s="29">
        <f>'T2 Investoinnit, rahoitus'!E122</f>
        <v>0</v>
      </c>
    </row>
    <row r="59" spans="1:12">
      <c r="D59" s="110" t="s">
        <v>107</v>
      </c>
      <c r="E59" s="110"/>
      <c r="F59" s="29">
        <f>'T2 Investoinnit, rahoitus'!F123*12</f>
        <v>0</v>
      </c>
      <c r="G59" s="29">
        <f>'T2 Investoinnit, rahoitus'!G123*12</f>
        <v>0</v>
      </c>
      <c r="H59" s="29">
        <f>'T2 Investoinnit, rahoitus'!H123*12</f>
        <v>0</v>
      </c>
      <c r="I59" s="29">
        <f>'T2 Investoinnit, rahoitus'!I123*12</f>
        <v>0</v>
      </c>
      <c r="J59" s="29">
        <f>'T2 Investoinnit, rahoitus'!J123*12</f>
        <v>0</v>
      </c>
      <c r="K59" s="29">
        <f>'T2 Investoinnit, rahoitus'!K123*12</f>
        <v>0</v>
      </c>
      <c r="L59" s="29">
        <f>'T2 Investoinnit, rahoitus'!L123*12</f>
        <v>0</v>
      </c>
    </row>
    <row r="60" spans="1:12">
      <c r="D60" s="110" t="s">
        <v>38</v>
      </c>
      <c r="E60" s="110"/>
      <c r="F60" s="12">
        <f>IF(F61=0,0,-CUMPRINC(F61/12,F59,$E58,F63,F64,0))</f>
        <v>0</v>
      </c>
      <c r="G60" s="12">
        <f>IF(F61=0,0,IF(G59&lt;13,$E58-F60,-CUMPRINC(G61/12,F59,$E58,G63,G64,0)))</f>
        <v>0</v>
      </c>
      <c r="H60" s="12">
        <f>IF(F61=0,0,IF(H59&lt;13,$E58-F60-G60,-CUMPRINC(H61/12,F59,$E58,H63,H64,0)))</f>
        <v>0</v>
      </c>
      <c r="I60" s="12">
        <f>IF(F61=0,0,IF(I59&lt;13,$E58-F60-G60-H60,-CUMPRINC(I61/12,F59,$E58,I63,I64,0)))</f>
        <v>0</v>
      </c>
      <c r="J60" s="12">
        <f>IF(F61=0,0,IF(J59&lt;13,$E58-F60-G60-H60-I60,-CUMPRINC(J61/12,F59,$E58,J63,J64,0)))</f>
        <v>0</v>
      </c>
      <c r="K60" s="12">
        <f>IF(F61=0,0,IF(K59&lt;13,$E58-F60-G60-H60-I60-J60,-CUMPRINC(K61/12,F59,$E58,K63,K64,0)))</f>
        <v>0</v>
      </c>
      <c r="L60" s="111">
        <f>IF(F61=0,0,IF(L59&lt;13,$E58-F60-G60-H60-I60-J60-K60,-CUMPRINC(L61/12,F59,$E58,L63,L64,0)))</f>
        <v>0</v>
      </c>
    </row>
    <row r="61" spans="1:12">
      <c r="D61" s="110" t="s">
        <v>39</v>
      </c>
      <c r="E61" s="110"/>
      <c r="F61" s="31">
        <f>'T2 Investoinnit, rahoitus'!F125</f>
        <v>0</v>
      </c>
      <c r="G61" s="31">
        <f>'T2 Investoinnit, rahoitus'!G125</f>
        <v>0</v>
      </c>
      <c r="H61" s="31">
        <f>'T2 Investoinnit, rahoitus'!H125</f>
        <v>0</v>
      </c>
      <c r="I61" s="31">
        <f>'T2 Investoinnit, rahoitus'!I125</f>
        <v>0</v>
      </c>
      <c r="J61" s="31">
        <f>'T2 Investoinnit, rahoitus'!J125</f>
        <v>0</v>
      </c>
      <c r="K61" s="31">
        <f>'T2 Investoinnit, rahoitus'!K125</f>
        <v>0</v>
      </c>
      <c r="L61" s="31">
        <f>'T2 Investoinnit, rahoitus'!L125</f>
        <v>0</v>
      </c>
    </row>
    <row r="62" spans="1:12">
      <c r="D62" s="110" t="s">
        <v>41</v>
      </c>
      <c r="E62" s="110"/>
      <c r="F62" s="12">
        <f>IF(F61=0,0,-CUMIPMT(F61/12,$F59,$E58,F63,F64,0))</f>
        <v>0</v>
      </c>
      <c r="G62" s="12">
        <f>IF(F61=0,0,IF(G59&lt;1,0,-CUMIPMT(G61/12,$F59,$E58,G63,G64,0)))</f>
        <v>0</v>
      </c>
      <c r="H62" s="12">
        <f>IF(F61=0,0,IF(H59&lt;1,0,-CUMIPMT(H61/12,$F59,$E58,H63,H64,0)))</f>
        <v>0</v>
      </c>
      <c r="I62" s="12">
        <f>IF(F61=0,0,IF(I59&lt;1,0,-CUMIPMT(I61/12,$F59,$E58,I63,I64,0)))</f>
        <v>0</v>
      </c>
      <c r="J62" s="12">
        <f>IF(F61=0,0,IF(J59&lt;1,0,-CUMIPMT(J61/12,$F59,$E58,J63,J64,0)))</f>
        <v>0</v>
      </c>
      <c r="K62" s="12">
        <f>IF(F61=0,0,IF(K59&lt;1,0,-CUMIPMT(K61/12,$F59,$E58,K63,K64,0)))</f>
        <v>0</v>
      </c>
      <c r="L62" s="12">
        <f>IF(F61=0,0,IF(L59&lt;1,0,-CUMIPMT(L61/12,$F59,$E58,L63,L64,0)))</f>
        <v>0</v>
      </c>
    </row>
    <row r="63" spans="1:12">
      <c r="D63" s="110" t="s">
        <v>108</v>
      </c>
      <c r="F63">
        <v>1</v>
      </c>
      <c r="G63">
        <f t="shared" ref="G63:L64" si="30">12+F63</f>
        <v>13</v>
      </c>
      <c r="H63">
        <f t="shared" si="30"/>
        <v>25</v>
      </c>
      <c r="I63">
        <f t="shared" si="30"/>
        <v>37</v>
      </c>
      <c r="J63">
        <f t="shared" si="30"/>
        <v>49</v>
      </c>
      <c r="K63">
        <f t="shared" si="30"/>
        <v>61</v>
      </c>
      <c r="L63">
        <f t="shared" si="30"/>
        <v>73</v>
      </c>
    </row>
    <row r="64" spans="1:12">
      <c r="D64" s="110" t="s">
        <v>109</v>
      </c>
      <c r="F64">
        <v>12</v>
      </c>
      <c r="G64">
        <f t="shared" si="30"/>
        <v>24</v>
      </c>
      <c r="H64">
        <f t="shared" si="30"/>
        <v>36</v>
      </c>
      <c r="I64">
        <f t="shared" si="30"/>
        <v>48</v>
      </c>
      <c r="J64">
        <f t="shared" si="30"/>
        <v>60</v>
      </c>
      <c r="K64">
        <f t="shared" si="30"/>
        <v>72</v>
      </c>
      <c r="L64">
        <f t="shared" si="30"/>
        <v>84</v>
      </c>
    </row>
    <row r="65" spans="1:12">
      <c r="A65" s="1" t="s">
        <v>106</v>
      </c>
      <c r="B65" t="str">
        <f>'T2 Investoinnit, rahoitus'!C127</f>
        <v xml:space="preserve"> Annuiteettilaina 3</v>
      </c>
      <c r="D65" s="1" t="s">
        <v>105</v>
      </c>
      <c r="E65" s="29">
        <f>'T2 Investoinnit, rahoitus'!E127</f>
        <v>0</v>
      </c>
    </row>
    <row r="66" spans="1:12">
      <c r="D66" s="110" t="s">
        <v>107</v>
      </c>
      <c r="E66" s="110"/>
      <c r="F66" s="29">
        <f>'T2 Investoinnit, rahoitus'!F128*12</f>
        <v>0</v>
      </c>
      <c r="G66" s="29">
        <f>'T2 Investoinnit, rahoitus'!G128*12</f>
        <v>0</v>
      </c>
      <c r="H66" s="29">
        <f>'T2 Investoinnit, rahoitus'!H128*12</f>
        <v>0</v>
      </c>
      <c r="I66" s="29">
        <f>'T2 Investoinnit, rahoitus'!I128*12</f>
        <v>0</v>
      </c>
      <c r="J66" s="29">
        <f>'T2 Investoinnit, rahoitus'!J128*12</f>
        <v>0</v>
      </c>
      <c r="K66" s="29">
        <f>'T2 Investoinnit, rahoitus'!K128*12</f>
        <v>0</v>
      </c>
      <c r="L66" s="29">
        <f>'T2 Investoinnit, rahoitus'!L128*12</f>
        <v>0</v>
      </c>
    </row>
    <row r="67" spans="1:12">
      <c r="D67" s="110" t="s">
        <v>38</v>
      </c>
      <c r="E67" s="110"/>
      <c r="F67" s="12">
        <f>IF(F68=0,0,-CUMPRINC(F68/12,F66,$E65,F70,F71,0))</f>
        <v>0</v>
      </c>
      <c r="G67" s="12">
        <f>IF(F68=0,0,IF(G66&lt;13,$E65-F67,-CUMPRINC(G68/12,F66,$E65,G70,G71,0)))</f>
        <v>0</v>
      </c>
      <c r="H67" s="12">
        <f>IF(F68=0,0,IF(H66&lt;13,$E65-F67-G67,-CUMPRINC(H68/12,F66,$E65,H70,H71,0)))</f>
        <v>0</v>
      </c>
      <c r="I67" s="12">
        <f>IF(F68=0,0,IF(I66&lt;13,$E65-F67-G67-H67,-CUMPRINC(I68/12,F66,$E65,I70,I71,0)))</f>
        <v>0</v>
      </c>
      <c r="J67" s="12">
        <f>IF(F68=0,0,IF(J66&lt;13,$E65-F67-G67-H67-I67,-CUMPRINC(J68/12,F66,$E65,J70,J71,0)))</f>
        <v>0</v>
      </c>
      <c r="K67" s="12">
        <f>IF(F68=0,0,IF(K66&lt;13,$E65-F67-G67-H67-I67-J67,-CUMPRINC(K68/12,F66,$E65,K70,K71,0)))</f>
        <v>0</v>
      </c>
      <c r="L67" s="111">
        <f>IF(F68=0,0,IF(L66&lt;13,$E65-F67-G67-H67-I67-J67-K67,-CUMPRINC(L68/12,F66,$E65,L70,L71,0)))</f>
        <v>0</v>
      </c>
    </row>
    <row r="68" spans="1:12">
      <c r="D68" s="110" t="s">
        <v>39</v>
      </c>
      <c r="E68" s="110"/>
      <c r="F68" s="31">
        <f>'T2 Investoinnit, rahoitus'!F130</f>
        <v>0</v>
      </c>
      <c r="G68" s="31">
        <f>'T2 Investoinnit, rahoitus'!G130</f>
        <v>0</v>
      </c>
      <c r="H68" s="31">
        <f>'T2 Investoinnit, rahoitus'!H130</f>
        <v>0</v>
      </c>
      <c r="I68" s="31">
        <f>'T2 Investoinnit, rahoitus'!I130</f>
        <v>0</v>
      </c>
      <c r="J68" s="31">
        <f>'T2 Investoinnit, rahoitus'!J130</f>
        <v>0</v>
      </c>
      <c r="K68" s="31">
        <f>'T2 Investoinnit, rahoitus'!K130</f>
        <v>0</v>
      </c>
      <c r="L68" s="31">
        <f>'T2 Investoinnit, rahoitus'!L130</f>
        <v>0</v>
      </c>
    </row>
    <row r="69" spans="1:12">
      <c r="D69" s="110" t="s">
        <v>41</v>
      </c>
      <c r="E69" s="110"/>
      <c r="F69" s="12">
        <f>IF(F68=0,0,-CUMIPMT(F68/12,$F66,$E65,F70,F71,0))</f>
        <v>0</v>
      </c>
      <c r="G69" s="12">
        <f>IF(F68=0,0,IF(G66&lt;1,0,-CUMIPMT(G68/12,$F66,$E65,G70,G71,0)))</f>
        <v>0</v>
      </c>
      <c r="H69" s="12">
        <f>IF(F68=0,0,IF(H66&lt;1,0,-CUMIPMT(H68/12,$F66,$E65,H70,H71,0)))</f>
        <v>0</v>
      </c>
      <c r="I69" s="12">
        <f>IF(F68=0,0,IF(I66&lt;1,0,-CUMIPMT(I68/12,$F66,$E65,I70,I71,0)))</f>
        <v>0</v>
      </c>
      <c r="J69" s="12">
        <f>IF(F68=0,0,IF(J66&lt;1,0,-CUMIPMT(J68/12,$F66,$E65,J70,J71,0)))</f>
        <v>0</v>
      </c>
      <c r="K69" s="12">
        <f>IF(F68=0,0,IF(K66&lt;1,0,-CUMIPMT(K68/12,$F66,$E65,K70,K71,0)))</f>
        <v>0</v>
      </c>
      <c r="L69" s="12">
        <f>IF(F68=0,0,IF(L66&lt;1,0,-CUMIPMT(L68/12,$F66,$E65,L70,L71,0)))</f>
        <v>0</v>
      </c>
    </row>
    <row r="70" spans="1:12">
      <c r="D70" s="110" t="s">
        <v>108</v>
      </c>
      <c r="F70">
        <v>1</v>
      </c>
      <c r="G70">
        <f t="shared" ref="G70:L71" si="31">12+F70</f>
        <v>13</v>
      </c>
      <c r="H70">
        <f t="shared" si="31"/>
        <v>25</v>
      </c>
      <c r="I70">
        <f t="shared" si="31"/>
        <v>37</v>
      </c>
      <c r="J70">
        <f t="shared" si="31"/>
        <v>49</v>
      </c>
      <c r="K70">
        <f t="shared" si="31"/>
        <v>61</v>
      </c>
      <c r="L70">
        <f t="shared" si="31"/>
        <v>73</v>
      </c>
    </row>
    <row r="71" spans="1:12">
      <c r="D71" s="110" t="s">
        <v>109</v>
      </c>
      <c r="F71">
        <v>12</v>
      </c>
      <c r="G71">
        <f t="shared" si="31"/>
        <v>24</v>
      </c>
      <c r="H71">
        <f t="shared" si="31"/>
        <v>36</v>
      </c>
      <c r="I71">
        <f t="shared" si="31"/>
        <v>48</v>
      </c>
      <c r="J71">
        <f t="shared" si="31"/>
        <v>60</v>
      </c>
      <c r="K71">
        <f t="shared" si="31"/>
        <v>72</v>
      </c>
      <c r="L71">
        <f t="shared" si="31"/>
        <v>84</v>
      </c>
    </row>
    <row r="72" spans="1:12">
      <c r="A72" s="1" t="s">
        <v>106</v>
      </c>
      <c r="B72" t="str">
        <f>'T2 Investoinnit, rahoitus'!C132</f>
        <v xml:space="preserve"> Annuiteettilaina 4</v>
      </c>
      <c r="D72" s="1" t="s">
        <v>105</v>
      </c>
      <c r="E72" s="29">
        <f>'T2 Investoinnit, rahoitus'!E132</f>
        <v>0</v>
      </c>
    </row>
    <row r="73" spans="1:12">
      <c r="D73" s="110" t="s">
        <v>107</v>
      </c>
      <c r="E73" s="110"/>
      <c r="F73" s="29">
        <f>'T2 Investoinnit, rahoitus'!F133*12</f>
        <v>0</v>
      </c>
      <c r="G73" s="29">
        <f>'T2 Investoinnit, rahoitus'!G133*12</f>
        <v>0</v>
      </c>
      <c r="H73" s="29">
        <f>'T2 Investoinnit, rahoitus'!H133*12</f>
        <v>0</v>
      </c>
      <c r="I73" s="29">
        <f>'T2 Investoinnit, rahoitus'!I133*12</f>
        <v>0</v>
      </c>
      <c r="J73" s="29">
        <f>'T2 Investoinnit, rahoitus'!J133*12</f>
        <v>0</v>
      </c>
      <c r="K73" s="29">
        <f>'T2 Investoinnit, rahoitus'!K133*12</f>
        <v>0</v>
      </c>
      <c r="L73" s="29">
        <f>'T2 Investoinnit, rahoitus'!L133*12</f>
        <v>0</v>
      </c>
    </row>
    <row r="74" spans="1:12">
      <c r="D74" s="110" t="s">
        <v>38</v>
      </c>
      <c r="E74" s="110"/>
      <c r="F74" s="12">
        <f>IF(F75=0,0,-CUMPRINC(F75/12,F73,$E72,F77,F78,0))</f>
        <v>0</v>
      </c>
      <c r="G74" s="12">
        <f>IF(F75=0,0,IF(G73&lt;13,$E72-F74,-CUMPRINC(G75/12,F73,$E72,G77,G78,0)))</f>
        <v>0</v>
      </c>
      <c r="H74" s="12">
        <f>IF(F75=0,0,IF(H73&lt;13,$E72-F74-G74,-CUMPRINC(H75/12,F73,$E72,H77,H78,0)))</f>
        <v>0</v>
      </c>
      <c r="I74" s="12">
        <f>IF(F75=0,0,IF(I73&lt;13,$E72-F74-G74-H74,-CUMPRINC(I75/12,F73,$E72,I77,I78,0)))</f>
        <v>0</v>
      </c>
      <c r="J74" s="12">
        <f>IF(F75=0,0,IF(J73&lt;13,$E72-F74-G74-H74-I74,-CUMPRINC(J75/12,F73,$E72,J77,J78,0)))</f>
        <v>0</v>
      </c>
      <c r="K74" s="12">
        <f>IF(F75=0,0,IF(K73&lt;13,$E72-F74-G74-H74-I74-J74,-CUMPRINC(K75/12,F73,$E72,K77,K78,0)))</f>
        <v>0</v>
      </c>
      <c r="L74" s="111">
        <f>IF(F75=0,0,IF(L73&lt;13,$E72-F74-G74-H74-I74-J74-K74,-CUMPRINC(L75/12,F73,$E72,L77,L78,0)))</f>
        <v>0</v>
      </c>
    </row>
    <row r="75" spans="1:12">
      <c r="D75" s="110" t="s">
        <v>39</v>
      </c>
      <c r="E75" s="110"/>
      <c r="F75" s="31">
        <f>'T2 Investoinnit, rahoitus'!F135</f>
        <v>0</v>
      </c>
      <c r="G75" s="31">
        <f>'T2 Investoinnit, rahoitus'!G135</f>
        <v>0</v>
      </c>
      <c r="H75" s="31">
        <f>'T2 Investoinnit, rahoitus'!H135</f>
        <v>0</v>
      </c>
      <c r="I75" s="31">
        <f>'T2 Investoinnit, rahoitus'!I135</f>
        <v>0</v>
      </c>
      <c r="J75" s="31">
        <f>'T2 Investoinnit, rahoitus'!J135</f>
        <v>0</v>
      </c>
      <c r="K75" s="31">
        <f>'T2 Investoinnit, rahoitus'!K135</f>
        <v>0</v>
      </c>
      <c r="L75" s="31">
        <f>'T2 Investoinnit, rahoitus'!L135</f>
        <v>0</v>
      </c>
    </row>
    <row r="76" spans="1:12">
      <c r="D76" s="110" t="s">
        <v>41</v>
      </c>
      <c r="E76" s="110"/>
      <c r="F76" s="12">
        <f>IF(F75=0,0,-CUMIPMT(F75/12,$F73,$E72,F77,F78,0))</f>
        <v>0</v>
      </c>
      <c r="G76" s="12">
        <f>IF(F75=0,0,IF(G73&lt;1,0,-CUMIPMT(G75/12,$F73,$E72,G77,G78,0)))</f>
        <v>0</v>
      </c>
      <c r="H76" s="12">
        <f>IF(F75=0,0,IF(H73&lt;1,0,-CUMIPMT(H75/12,$F73,$E72,H77,H78,0)))</f>
        <v>0</v>
      </c>
      <c r="I76" s="12">
        <f>IF(F75=0,0,IF(I73&lt;1,0,-CUMIPMT(I75/12,$F73,$E72,I77,I78,0)))</f>
        <v>0</v>
      </c>
      <c r="J76" s="12">
        <f>IF(F75=0,0,IF(J73&lt;1,0,-CUMIPMT(J75/12,$F73,$E72,J77,J78,0)))</f>
        <v>0</v>
      </c>
      <c r="K76" s="12">
        <f>IF(F75=0,0,IF(K73&lt;1,0,-CUMIPMT(K75/12,$F73,$E72,K77,K78,0)))</f>
        <v>0</v>
      </c>
      <c r="L76" s="12">
        <f>IF(F75=0,0,IF(L73&lt;1,0,-CUMIPMT(L75/12,$F73,$E72,L77,L78,0)))</f>
        <v>0</v>
      </c>
    </row>
    <row r="77" spans="1:12">
      <c r="D77" s="110" t="s">
        <v>108</v>
      </c>
      <c r="F77">
        <v>1</v>
      </c>
      <c r="G77">
        <f t="shared" ref="G77:L78" si="32">12+F77</f>
        <v>13</v>
      </c>
      <c r="H77">
        <f t="shared" si="32"/>
        <v>25</v>
      </c>
      <c r="I77">
        <f t="shared" si="32"/>
        <v>37</v>
      </c>
      <c r="J77">
        <f t="shared" si="32"/>
        <v>49</v>
      </c>
      <c r="K77">
        <f t="shared" si="32"/>
        <v>61</v>
      </c>
      <c r="L77">
        <f t="shared" si="32"/>
        <v>73</v>
      </c>
    </row>
    <row r="78" spans="1:12">
      <c r="D78" s="110" t="s">
        <v>109</v>
      </c>
      <c r="F78">
        <v>12</v>
      </c>
      <c r="G78">
        <f t="shared" si="32"/>
        <v>24</v>
      </c>
      <c r="H78">
        <f t="shared" si="32"/>
        <v>36</v>
      </c>
      <c r="I78">
        <f t="shared" si="32"/>
        <v>48</v>
      </c>
      <c r="J78">
        <f t="shared" si="32"/>
        <v>60</v>
      </c>
      <c r="K78">
        <f t="shared" si="32"/>
        <v>72</v>
      </c>
      <c r="L78">
        <f t="shared" si="32"/>
        <v>84</v>
      </c>
    </row>
    <row r="79" spans="1:12">
      <c r="A79" s="1" t="s">
        <v>106</v>
      </c>
      <c r="B79" t="str">
        <f>'T2 Investoinnit, rahoitus'!C137</f>
        <v xml:space="preserve"> Annuiteettilaina 5</v>
      </c>
      <c r="D79" s="1" t="s">
        <v>105</v>
      </c>
      <c r="E79" s="29">
        <f>'T2 Investoinnit, rahoitus'!E137</f>
        <v>0</v>
      </c>
    </row>
    <row r="80" spans="1:12">
      <c r="D80" s="110" t="s">
        <v>107</v>
      </c>
      <c r="E80" s="110"/>
      <c r="F80" s="29">
        <f>'T2 Investoinnit, rahoitus'!F138*12</f>
        <v>0</v>
      </c>
      <c r="G80" s="29">
        <f>'T2 Investoinnit, rahoitus'!G138*12</f>
        <v>0</v>
      </c>
      <c r="H80" s="29">
        <f>'T2 Investoinnit, rahoitus'!H138*12</f>
        <v>0</v>
      </c>
      <c r="I80" s="29">
        <f>'T2 Investoinnit, rahoitus'!I138*12</f>
        <v>0</v>
      </c>
      <c r="J80" s="29">
        <f>'T2 Investoinnit, rahoitus'!J138*12</f>
        <v>0</v>
      </c>
      <c r="K80" s="29">
        <f>'T2 Investoinnit, rahoitus'!K138*12</f>
        <v>0</v>
      </c>
      <c r="L80" s="29">
        <f>'T2 Investoinnit, rahoitus'!L138*12</f>
        <v>0</v>
      </c>
    </row>
    <row r="81" spans="4:12">
      <c r="D81" s="110" t="s">
        <v>38</v>
      </c>
      <c r="E81" s="110"/>
      <c r="F81" s="12">
        <f>IF(F82=0,0,-CUMPRINC(F82/12,F80,$E79,F84,F85,0))</f>
        <v>0</v>
      </c>
      <c r="G81" s="12">
        <f>IF(F82=0,0,IF(G80&lt;13,$E79-F81,-CUMPRINC(G82/12,F80,$E79,G84,G85,0)))</f>
        <v>0</v>
      </c>
      <c r="H81" s="12">
        <f>IF(F82=0,0,IF(H80&lt;13,$E79-F81-G81,-CUMPRINC(H82/12,F80,$E79,H84,H85,0)))</f>
        <v>0</v>
      </c>
      <c r="I81" s="12">
        <f>IF(F82=0,0,IF(I80&lt;13,$E79-F81-G81-H81,-CUMPRINC(I82/12,F80,$E79,I84,I85,0)))</f>
        <v>0</v>
      </c>
      <c r="J81" s="12">
        <f>IF(F82=0,0,IF(J80&lt;13,$E79-F81-G81-H81-I81,-CUMPRINC(J82/12,F80,$E79,J84,J85,0)))</f>
        <v>0</v>
      </c>
      <c r="K81" s="12">
        <f>IF(F82=0,0,IF(K80&lt;13,$E79-F81-G81-H81-I81-J81,-CUMPRINC(K82/12,F80,$E79,K84,K85,0)))</f>
        <v>0</v>
      </c>
      <c r="L81" s="111">
        <f>IF(F82=0,0,IF(L80&lt;13,$E79-F81-G81-H81-I81-J81-K81,-CUMPRINC(L82/12,F80,$E79,L84,L85,0)))</f>
        <v>0</v>
      </c>
    </row>
    <row r="82" spans="4:12">
      <c r="D82" s="110" t="s">
        <v>39</v>
      </c>
      <c r="E82" s="110"/>
      <c r="F82" s="31">
        <f>'T2 Investoinnit, rahoitus'!F140</f>
        <v>0</v>
      </c>
      <c r="G82" s="31">
        <f>'T2 Investoinnit, rahoitus'!G140</f>
        <v>0</v>
      </c>
      <c r="H82" s="31">
        <f>'T2 Investoinnit, rahoitus'!H140</f>
        <v>0</v>
      </c>
      <c r="I82" s="31">
        <f>'T2 Investoinnit, rahoitus'!I140</f>
        <v>0</v>
      </c>
      <c r="J82" s="31">
        <f>'T2 Investoinnit, rahoitus'!J140</f>
        <v>0</v>
      </c>
      <c r="K82" s="31">
        <f>'T2 Investoinnit, rahoitus'!K140</f>
        <v>0</v>
      </c>
      <c r="L82" s="31">
        <f>'T2 Investoinnit, rahoitus'!L140</f>
        <v>0</v>
      </c>
    </row>
    <row r="83" spans="4:12">
      <c r="D83" s="110" t="s">
        <v>41</v>
      </c>
      <c r="E83" s="110"/>
      <c r="F83" s="12">
        <f>IF(F82=0,0,-CUMIPMT(F82/12,$F80,$E79,F84,F85,0))</f>
        <v>0</v>
      </c>
      <c r="G83" s="12">
        <f>IF(F82=0,0,IF(G80&lt;1,0,-CUMIPMT(G82/12,$F80,$E79,G84,G85,0)))</f>
        <v>0</v>
      </c>
      <c r="H83" s="12">
        <f>IF(F82=0,0,IF(H80&lt;1,0,-CUMIPMT(H82/12,$F80,$E79,H84,H85,0)))</f>
        <v>0</v>
      </c>
      <c r="I83" s="12">
        <f>IF(F82=0,0,IF(I80&lt;1,0,-CUMIPMT(I82/12,$F80,$E79,I84,I85,0)))</f>
        <v>0</v>
      </c>
      <c r="J83" s="12">
        <f>IF(F82=0,0,IF(J80&lt;1,0,-CUMIPMT(J82/12,$F80,$E79,J84,J85,0)))</f>
        <v>0</v>
      </c>
      <c r="K83" s="12">
        <f>IF(F82=0,0,IF(K80&lt;1,0,-CUMIPMT(K82/12,$F80,$E79,K84,K85,0)))</f>
        <v>0</v>
      </c>
      <c r="L83" s="12">
        <f>IF(F82=0,0,IF(L80&lt;1,0,-CUMIPMT(L82/12,$F80,$E79,L84,L85,0)))</f>
        <v>0</v>
      </c>
    </row>
    <row r="84" spans="4:12">
      <c r="D84" s="110" t="s">
        <v>108</v>
      </c>
      <c r="F84">
        <v>1</v>
      </c>
      <c r="G84">
        <f t="shared" ref="G84:L85" si="33">12+F84</f>
        <v>13</v>
      </c>
      <c r="H84">
        <f t="shared" si="33"/>
        <v>25</v>
      </c>
      <c r="I84">
        <f t="shared" si="33"/>
        <v>37</v>
      </c>
      <c r="J84">
        <f t="shared" si="33"/>
        <v>49</v>
      </c>
      <c r="K84">
        <f t="shared" si="33"/>
        <v>61</v>
      </c>
      <c r="L84">
        <f t="shared" si="33"/>
        <v>73</v>
      </c>
    </row>
    <row r="85" spans="4:12">
      <c r="D85" s="110" t="s">
        <v>109</v>
      </c>
      <c r="F85">
        <v>12</v>
      </c>
      <c r="G85">
        <f t="shared" si="33"/>
        <v>24</v>
      </c>
      <c r="H85">
        <f t="shared" si="33"/>
        <v>36</v>
      </c>
      <c r="I85">
        <f t="shared" si="33"/>
        <v>48</v>
      </c>
      <c r="J85">
        <f t="shared" si="33"/>
        <v>60</v>
      </c>
      <c r="K85">
        <f t="shared" si="33"/>
        <v>72</v>
      </c>
      <c r="L85">
        <f t="shared" si="33"/>
        <v>84</v>
      </c>
    </row>
  </sheetData>
  <sheetProtection algorithmName="SHA-512" hashValue="puobbbA29p77NsPLlEcoo4BCv/aCAZCY+6Hh2vvZf0pvMuv2gYFT7K3IP2wCk37yas08GEAaXNVTqxF9lAnPWg==" saltValue="9U1LGco26NeGcfUQStkbPQ==" spinCount="100000" sheet="1" objects="1" scenarios="1" selectLockedCells="1" selectUnlockedCells="1"/>
  <mergeCells count="4">
    <mergeCell ref="B4:C4"/>
    <mergeCell ref="B15:C15"/>
    <mergeCell ref="B26:C26"/>
    <mergeCell ref="B37:C37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0C08E-B360-4CF7-9351-4BD977775373}">
  <sheetPr>
    <tabColor theme="6"/>
  </sheetPr>
  <dimension ref="A1:Y82"/>
  <sheetViews>
    <sheetView showGridLines="0" showZeros="0" defaultGridColor="0" colorId="55" zoomScaleNormal="100" workbookViewId="0">
      <selection activeCell="D8" sqref="D8"/>
    </sheetView>
  </sheetViews>
  <sheetFormatPr defaultColWidth="8.84375" defaultRowHeight="12.45"/>
  <cols>
    <col min="1" max="1" width="8.84375" customWidth="1"/>
    <col min="2" max="2" width="22.84375" customWidth="1"/>
    <col min="3" max="3" width="5.84375" style="30" customWidth="1"/>
    <col min="4" max="11" width="8.07421875" customWidth="1"/>
    <col min="12" max="12" width="2.69140625" customWidth="1"/>
  </cols>
  <sheetData>
    <row r="1" spans="2:25">
      <c r="B1" s="752"/>
      <c r="C1" s="752"/>
      <c r="D1" s="752"/>
      <c r="E1" s="752"/>
      <c r="F1" s="752"/>
      <c r="G1" s="752"/>
      <c r="H1" s="752"/>
      <c r="I1" s="752"/>
      <c r="J1" s="752"/>
    </row>
    <row r="2" spans="2:25" ht="12.75" customHeight="1">
      <c r="B2" s="2"/>
      <c r="C2" s="151"/>
      <c r="D2" s="324"/>
      <c r="E2" s="151"/>
      <c r="F2" s="151"/>
      <c r="G2" s="151"/>
      <c r="H2" s="151"/>
      <c r="I2" s="151"/>
      <c r="J2" s="151"/>
      <c r="K2" s="151"/>
      <c r="L2" s="206"/>
    </row>
    <row r="3" spans="2:25" ht="10.5" customHeight="1">
      <c r="B3" s="209" t="str">
        <f>'T1 Taloussuunnitelma'!B4</f>
        <v>Yrityksen nimi</v>
      </c>
      <c r="C3" s="97"/>
      <c r="D3" s="46" t="s">
        <v>0</v>
      </c>
      <c r="E3" s="209" t="s">
        <v>45</v>
      </c>
      <c r="F3" s="285"/>
      <c r="G3" s="46" t="s">
        <v>0</v>
      </c>
      <c r="H3" s="209" t="s">
        <v>44</v>
      </c>
      <c r="I3" s="42"/>
      <c r="J3" s="42"/>
      <c r="K3" s="42"/>
      <c r="L3" s="207"/>
      <c r="M3" s="18"/>
      <c r="N3" s="18"/>
      <c r="O3" s="10"/>
    </row>
    <row r="4" spans="2:25" ht="12.75" customHeight="1">
      <c r="B4" s="753">
        <f>'T1 Taloussuunnitelma'!B5</f>
        <v>0</v>
      </c>
      <c r="C4" s="753"/>
      <c r="D4" s="753"/>
      <c r="E4" s="384">
        <f>'T1 Taloussuunnitelma'!E5</f>
        <v>0</v>
      </c>
      <c r="F4" s="384"/>
      <c r="G4" s="384"/>
      <c r="H4" s="754">
        <f>'T1 Taloussuunnitelma'!J5</f>
        <v>0</v>
      </c>
      <c r="I4" s="753"/>
      <c r="K4" s="13"/>
      <c r="L4" s="207"/>
      <c r="M4" s="13"/>
      <c r="N4" s="13"/>
      <c r="O4" s="14"/>
      <c r="P4" s="118"/>
      <c r="X4" s="4"/>
      <c r="Y4" s="4"/>
    </row>
    <row r="5" spans="2:25" ht="3" customHeight="1" thickBot="1">
      <c r="B5" s="285"/>
      <c r="C5" s="323"/>
      <c r="L5" s="740"/>
      <c r="M5" s="740"/>
      <c r="N5" s="740"/>
      <c r="O5" s="740"/>
    </row>
    <row r="6" spans="2:25" ht="11.25" customHeight="1">
      <c r="B6" s="755" t="s">
        <v>71</v>
      </c>
      <c r="C6" s="756"/>
      <c r="D6" s="403" t="s">
        <v>42</v>
      </c>
      <c r="E6" s="404" t="s">
        <v>58</v>
      </c>
      <c r="F6" s="404" t="s">
        <v>5</v>
      </c>
      <c r="G6" s="404" t="s">
        <v>19</v>
      </c>
      <c r="H6" s="404" t="s">
        <v>59</v>
      </c>
      <c r="I6" s="404" t="s">
        <v>60</v>
      </c>
      <c r="J6" s="404" t="s">
        <v>61</v>
      </c>
      <c r="K6" s="403" t="s">
        <v>62</v>
      </c>
      <c r="M6" s="815" t="s">
        <v>144</v>
      </c>
      <c r="N6" s="301"/>
      <c r="O6" s="301"/>
      <c r="P6" s="301"/>
      <c r="Q6" s="301"/>
      <c r="R6" s="301"/>
      <c r="S6" s="301"/>
      <c r="T6" s="301"/>
      <c r="U6" s="301"/>
      <c r="V6" s="300"/>
    </row>
    <row r="7" spans="2:25" ht="12.65" customHeight="1" thickBot="1">
      <c r="B7" s="757"/>
      <c r="C7" s="758"/>
      <c r="D7" s="559">
        <f>'T2 Investoinnit, rahoitus'!E6</f>
        <v>2023</v>
      </c>
      <c r="E7" s="559">
        <f>'T2 Investoinnit, rahoitus'!F6</f>
        <v>2024</v>
      </c>
      <c r="F7" s="559">
        <f>'T2 Investoinnit, rahoitus'!G6</f>
        <v>2025</v>
      </c>
      <c r="G7" s="559">
        <f>'T2 Investoinnit, rahoitus'!H6</f>
        <v>2026</v>
      </c>
      <c r="H7" s="559">
        <f>'T2 Investoinnit, rahoitus'!I6</f>
        <v>2027</v>
      </c>
      <c r="I7" s="559">
        <f>'T2 Investoinnit, rahoitus'!J6</f>
        <v>2028</v>
      </c>
      <c r="J7" s="559">
        <f>'T2 Investoinnit, rahoitus'!K6</f>
        <v>2029</v>
      </c>
      <c r="K7" s="559">
        <f>'T2 Investoinnit, rahoitus'!L6</f>
        <v>2030</v>
      </c>
      <c r="L7" s="322"/>
      <c r="M7" s="309"/>
      <c r="N7" s="205"/>
      <c r="O7" s="205"/>
      <c r="P7" s="205"/>
      <c r="Q7" s="205"/>
      <c r="R7" s="205"/>
      <c r="S7" s="205"/>
      <c r="T7" s="205"/>
      <c r="U7" s="205"/>
      <c r="V7" s="308"/>
    </row>
    <row r="8" spans="2:25" ht="11.25" customHeight="1">
      <c r="B8" s="321" t="s">
        <v>67</v>
      </c>
      <c r="C8" s="320" t="s">
        <v>308</v>
      </c>
      <c r="D8" s="536">
        <v>0</v>
      </c>
      <c r="E8" s="537">
        <f t="shared" ref="E8:K8" si="0">E11*E12</f>
        <v>0</v>
      </c>
      <c r="F8" s="537">
        <f t="shared" si="0"/>
        <v>0</v>
      </c>
      <c r="G8" s="537">
        <f t="shared" si="0"/>
        <v>0</v>
      </c>
      <c r="H8" s="537">
        <f t="shared" si="0"/>
        <v>0</v>
      </c>
      <c r="I8" s="537">
        <f t="shared" si="0"/>
        <v>0</v>
      </c>
      <c r="J8" s="537">
        <f t="shared" si="0"/>
        <v>0</v>
      </c>
      <c r="K8" s="538">
        <f t="shared" si="0"/>
        <v>0</v>
      </c>
      <c r="M8" s="309"/>
      <c r="N8" s="205"/>
      <c r="O8" s="205"/>
      <c r="P8" s="205"/>
      <c r="Q8" s="205"/>
      <c r="R8" s="205"/>
      <c r="S8" s="205"/>
      <c r="T8" s="205"/>
      <c r="U8" s="205"/>
      <c r="V8" s="308"/>
    </row>
    <row r="9" spans="2:25" ht="11.25" customHeight="1">
      <c r="B9" s="312" t="s">
        <v>168</v>
      </c>
      <c r="C9" s="319" t="s">
        <v>68</v>
      </c>
      <c r="D9" s="539">
        <v>0</v>
      </c>
      <c r="E9" s="539">
        <f t="shared" ref="E9:K9" si="1">D9</f>
        <v>0</v>
      </c>
      <c r="F9" s="539">
        <f t="shared" si="1"/>
        <v>0</v>
      </c>
      <c r="G9" s="539">
        <f t="shared" si="1"/>
        <v>0</v>
      </c>
      <c r="H9" s="539">
        <f t="shared" si="1"/>
        <v>0</v>
      </c>
      <c r="I9" s="539">
        <f t="shared" si="1"/>
        <v>0</v>
      </c>
      <c r="J9" s="539">
        <f t="shared" si="1"/>
        <v>0</v>
      </c>
      <c r="K9" s="540">
        <f t="shared" si="1"/>
        <v>0</v>
      </c>
      <c r="M9" s="309"/>
      <c r="N9" s="240"/>
      <c r="O9" s="240"/>
      <c r="P9" s="240"/>
      <c r="Q9" s="240"/>
      <c r="R9" s="240"/>
      <c r="S9" s="205"/>
      <c r="T9" s="205"/>
      <c r="U9" s="205"/>
      <c r="V9" s="308"/>
    </row>
    <row r="10" spans="2:25" ht="11.25" customHeight="1">
      <c r="B10" s="312" t="s">
        <v>169</v>
      </c>
      <c r="C10" s="319" t="s">
        <v>170</v>
      </c>
      <c r="D10" s="541">
        <f>IF(D9=0,0,D11/D9)</f>
        <v>0</v>
      </c>
      <c r="E10" s="542">
        <f t="shared" ref="E10:K10" si="2">D10</f>
        <v>0</v>
      </c>
      <c r="F10" s="542">
        <f t="shared" si="2"/>
        <v>0</v>
      </c>
      <c r="G10" s="542">
        <f t="shared" si="2"/>
        <v>0</v>
      </c>
      <c r="H10" s="542">
        <f t="shared" si="2"/>
        <v>0</v>
      </c>
      <c r="I10" s="542">
        <f t="shared" si="2"/>
        <v>0</v>
      </c>
      <c r="J10" s="542">
        <f t="shared" si="2"/>
        <v>0</v>
      </c>
      <c r="K10" s="543">
        <f t="shared" si="2"/>
        <v>0</v>
      </c>
      <c r="M10" s="309"/>
      <c r="N10" s="205"/>
      <c r="O10" s="205"/>
      <c r="P10" s="205"/>
      <c r="Q10" s="205"/>
      <c r="R10" s="205"/>
      <c r="S10" s="205"/>
      <c r="T10" s="205"/>
      <c r="U10" s="205"/>
      <c r="V10" s="308"/>
    </row>
    <row r="11" spans="2:25" ht="11.25" customHeight="1">
      <c r="B11" s="312" t="s">
        <v>63</v>
      </c>
      <c r="C11" s="311" t="s">
        <v>170</v>
      </c>
      <c r="D11" s="543">
        <v>0</v>
      </c>
      <c r="E11" s="544">
        <f t="shared" ref="E11:K11" si="3">E9*E10</f>
        <v>0</v>
      </c>
      <c r="F11" s="544">
        <f t="shared" si="3"/>
        <v>0</v>
      </c>
      <c r="G11" s="544">
        <f t="shared" si="3"/>
        <v>0</v>
      </c>
      <c r="H11" s="544">
        <f t="shared" si="3"/>
        <v>0</v>
      </c>
      <c r="I11" s="544">
        <f t="shared" si="3"/>
        <v>0</v>
      </c>
      <c r="J11" s="544">
        <f t="shared" si="3"/>
        <v>0</v>
      </c>
      <c r="K11" s="544">
        <f t="shared" si="3"/>
        <v>0</v>
      </c>
      <c r="M11" s="309"/>
      <c r="N11" s="205"/>
      <c r="O11" s="205"/>
      <c r="P11" s="205"/>
      <c r="Q11" s="205"/>
      <c r="R11" s="205"/>
      <c r="S11" s="205"/>
      <c r="T11" s="205"/>
      <c r="U11" s="205"/>
      <c r="V11" s="308"/>
    </row>
    <row r="12" spans="2:25" ht="11.25" customHeight="1">
      <c r="B12" s="312" t="s">
        <v>72</v>
      </c>
      <c r="C12" s="311"/>
      <c r="D12" s="545">
        <f>IF(D11=0,0,D8/D11)</f>
        <v>0</v>
      </c>
      <c r="E12" s="546">
        <f t="shared" ref="E12:K12" si="4">D12</f>
        <v>0</v>
      </c>
      <c r="F12" s="546">
        <f t="shared" si="4"/>
        <v>0</v>
      </c>
      <c r="G12" s="546">
        <f t="shared" si="4"/>
        <v>0</v>
      </c>
      <c r="H12" s="546">
        <f t="shared" si="4"/>
        <v>0</v>
      </c>
      <c r="I12" s="546">
        <f t="shared" si="4"/>
        <v>0</v>
      </c>
      <c r="J12" s="546">
        <f t="shared" si="4"/>
        <v>0</v>
      </c>
      <c r="K12" s="547">
        <f t="shared" si="4"/>
        <v>0</v>
      </c>
      <c r="M12" s="309"/>
      <c r="N12" s="205"/>
      <c r="O12" s="205"/>
      <c r="P12" s="205"/>
      <c r="Q12" s="205"/>
      <c r="R12" s="205"/>
      <c r="S12" s="205"/>
      <c r="T12" s="205"/>
      <c r="U12" s="205"/>
      <c r="V12" s="308"/>
    </row>
    <row r="13" spans="2:25" ht="3" customHeight="1">
      <c r="B13" s="80"/>
      <c r="C13" s="318"/>
      <c r="D13" s="548"/>
      <c r="E13" s="548"/>
      <c r="F13" s="548"/>
      <c r="G13" s="548"/>
      <c r="H13" s="548"/>
      <c r="I13" s="548"/>
      <c r="J13" s="548"/>
      <c r="K13" s="548"/>
      <c r="M13" s="317"/>
      <c r="N13" s="316"/>
      <c r="O13" s="316"/>
      <c r="P13" s="316"/>
      <c r="Q13" s="316"/>
      <c r="R13" s="316"/>
      <c r="S13" s="316"/>
      <c r="T13" s="316"/>
      <c r="U13" s="316"/>
      <c r="V13" s="315"/>
    </row>
    <row r="14" spans="2:25" ht="11.25" customHeight="1">
      <c r="B14" s="377" t="s">
        <v>199</v>
      </c>
      <c r="C14" s="313" t="s">
        <v>308</v>
      </c>
      <c r="D14" s="540">
        <v>0</v>
      </c>
      <c r="E14" s="544">
        <f>E15*E16</f>
        <v>0</v>
      </c>
      <c r="F14" s="544">
        <f t="shared" ref="F14:K14" si="5">F15*F16</f>
        <v>0</v>
      </c>
      <c r="G14" s="544">
        <f t="shared" si="5"/>
        <v>0</v>
      </c>
      <c r="H14" s="544">
        <f t="shared" si="5"/>
        <v>0</v>
      </c>
      <c r="I14" s="544">
        <f t="shared" si="5"/>
        <v>0</v>
      </c>
      <c r="J14" s="544">
        <f t="shared" si="5"/>
        <v>0</v>
      </c>
      <c r="K14" s="544">
        <f t="shared" si="5"/>
        <v>0</v>
      </c>
      <c r="M14" s="309"/>
      <c r="N14" s="205"/>
      <c r="O14" s="205"/>
      <c r="P14" s="205"/>
      <c r="Q14" s="205"/>
      <c r="R14" s="205"/>
      <c r="S14" s="205"/>
      <c r="T14" s="205"/>
      <c r="U14" s="205"/>
      <c r="V14" s="308"/>
    </row>
    <row r="15" spans="2:25" ht="11.25" customHeight="1">
      <c r="B15" s="312" t="s">
        <v>66</v>
      </c>
      <c r="C15" s="311" t="s">
        <v>68</v>
      </c>
      <c r="D15" s="540">
        <v>0</v>
      </c>
      <c r="E15" s="540">
        <v>0</v>
      </c>
      <c r="F15" s="540">
        <f t="shared" ref="F15:K15" si="6">E15</f>
        <v>0</v>
      </c>
      <c r="G15" s="540">
        <f t="shared" si="6"/>
        <v>0</v>
      </c>
      <c r="H15" s="540">
        <f t="shared" si="6"/>
        <v>0</v>
      </c>
      <c r="I15" s="540">
        <f t="shared" si="6"/>
        <v>0</v>
      </c>
      <c r="J15" s="540">
        <f t="shared" si="6"/>
        <v>0</v>
      </c>
      <c r="K15" s="540">
        <f t="shared" si="6"/>
        <v>0</v>
      </c>
      <c r="M15" s="309"/>
      <c r="N15" s="205"/>
      <c r="O15" s="205"/>
      <c r="P15" s="205"/>
      <c r="Q15" s="205"/>
      <c r="R15" s="205"/>
      <c r="S15" s="205"/>
      <c r="T15" s="205"/>
      <c r="U15" s="205"/>
      <c r="V15" s="308"/>
    </row>
    <row r="16" spans="2:25" ht="11.25" customHeight="1">
      <c r="B16" s="312" t="s">
        <v>52</v>
      </c>
      <c r="C16" s="311" t="s">
        <v>308</v>
      </c>
      <c r="D16" s="544">
        <f>IF(D15=0,0,D14/D15)</f>
        <v>0</v>
      </c>
      <c r="E16" s="542">
        <v>0</v>
      </c>
      <c r="F16" s="542">
        <f t="shared" ref="F16:K16" si="7">E16</f>
        <v>0</v>
      </c>
      <c r="G16" s="542">
        <f t="shared" si="7"/>
        <v>0</v>
      </c>
      <c r="H16" s="542">
        <f t="shared" si="7"/>
        <v>0</v>
      </c>
      <c r="I16" s="542">
        <f t="shared" si="7"/>
        <v>0</v>
      </c>
      <c r="J16" s="542">
        <f t="shared" si="7"/>
        <v>0</v>
      </c>
      <c r="K16" s="543">
        <f t="shared" si="7"/>
        <v>0</v>
      </c>
      <c r="M16" s="309"/>
      <c r="N16" s="205"/>
      <c r="O16" s="205"/>
      <c r="P16" s="205"/>
      <c r="Q16" s="205"/>
      <c r="R16" s="205"/>
      <c r="S16" s="205"/>
      <c r="T16" s="205"/>
      <c r="U16" s="205"/>
      <c r="V16" s="308"/>
    </row>
    <row r="17" spans="1:22" ht="3" customHeight="1">
      <c r="B17" s="80"/>
      <c r="C17" s="318"/>
      <c r="D17" s="548"/>
      <c r="E17" s="548"/>
      <c r="F17" s="548"/>
      <c r="G17" s="548"/>
      <c r="H17" s="548"/>
      <c r="I17" s="548"/>
      <c r="J17" s="548"/>
      <c r="K17" s="548"/>
      <c r="M17" s="317"/>
      <c r="N17" s="316"/>
      <c r="O17" s="316"/>
      <c r="P17" s="316"/>
      <c r="Q17" s="316"/>
      <c r="R17" s="316"/>
      <c r="S17" s="316"/>
      <c r="T17" s="316"/>
      <c r="U17" s="316"/>
      <c r="V17" s="315"/>
    </row>
    <row r="18" spans="1:22" ht="11.25" customHeight="1">
      <c r="B18" s="314" t="s">
        <v>206</v>
      </c>
      <c r="C18" s="313" t="s">
        <v>308</v>
      </c>
      <c r="D18" s="543">
        <v>0</v>
      </c>
      <c r="E18" s="544">
        <f t="shared" ref="E18:K18" si="8">E21*E22</f>
        <v>0</v>
      </c>
      <c r="F18" s="544">
        <f t="shared" si="8"/>
        <v>0</v>
      </c>
      <c r="G18" s="544">
        <f t="shared" si="8"/>
        <v>0</v>
      </c>
      <c r="H18" s="544">
        <f t="shared" si="8"/>
        <v>0</v>
      </c>
      <c r="I18" s="544">
        <f t="shared" si="8"/>
        <v>0</v>
      </c>
      <c r="J18" s="544">
        <f t="shared" si="8"/>
        <v>0</v>
      </c>
      <c r="K18" s="544">
        <f t="shared" si="8"/>
        <v>0</v>
      </c>
      <c r="M18" s="309"/>
      <c r="N18" s="205"/>
      <c r="O18" s="205"/>
      <c r="P18" s="205"/>
      <c r="Q18" s="205"/>
      <c r="R18" s="205"/>
      <c r="S18" s="205"/>
      <c r="T18" s="205"/>
      <c r="U18" s="205"/>
      <c r="V18" s="308"/>
    </row>
    <row r="19" spans="1:22" ht="11.25" customHeight="1">
      <c r="B19" s="312" t="s">
        <v>66</v>
      </c>
      <c r="C19" s="311" t="s">
        <v>68</v>
      </c>
      <c r="D19" s="540">
        <v>0</v>
      </c>
      <c r="E19" s="542">
        <f t="shared" ref="E19:K20" si="9">D19</f>
        <v>0</v>
      </c>
      <c r="F19" s="542">
        <f t="shared" si="9"/>
        <v>0</v>
      </c>
      <c r="G19" s="542">
        <f t="shared" si="9"/>
        <v>0</v>
      </c>
      <c r="H19" s="542">
        <f t="shared" si="9"/>
        <v>0</v>
      </c>
      <c r="I19" s="542">
        <f t="shared" si="9"/>
        <v>0</v>
      </c>
      <c r="J19" s="542">
        <f t="shared" si="9"/>
        <v>0</v>
      </c>
      <c r="K19" s="543">
        <f t="shared" si="9"/>
        <v>0</v>
      </c>
      <c r="M19" s="309"/>
      <c r="N19" s="205"/>
      <c r="O19" s="205"/>
      <c r="P19" s="205"/>
      <c r="Q19" s="205"/>
      <c r="R19" s="205"/>
      <c r="S19" s="205"/>
      <c r="T19" s="205"/>
      <c r="U19" s="205"/>
      <c r="V19" s="308"/>
    </row>
    <row r="20" spans="1:22" ht="11.25" customHeight="1">
      <c r="B20" s="312" t="s">
        <v>69</v>
      </c>
      <c r="C20" s="378" t="s">
        <v>170</v>
      </c>
      <c r="D20" s="544">
        <f>IF(D19=0,0,D21/D19)</f>
        <v>0</v>
      </c>
      <c r="E20" s="542">
        <f t="shared" si="9"/>
        <v>0</v>
      </c>
      <c r="F20" s="542">
        <f t="shared" si="9"/>
        <v>0</v>
      </c>
      <c r="G20" s="542">
        <f t="shared" si="9"/>
        <v>0</v>
      </c>
      <c r="H20" s="542">
        <f t="shared" si="9"/>
        <v>0</v>
      </c>
      <c r="I20" s="542">
        <f t="shared" si="9"/>
        <v>0</v>
      </c>
      <c r="J20" s="542">
        <f t="shared" si="9"/>
        <v>0</v>
      </c>
      <c r="K20" s="543">
        <f t="shared" si="9"/>
        <v>0</v>
      </c>
      <c r="M20" s="309"/>
      <c r="N20" s="205"/>
      <c r="O20" s="205"/>
      <c r="P20" s="205"/>
      <c r="Q20" s="205"/>
      <c r="R20" s="205"/>
      <c r="S20" s="205"/>
      <c r="T20" s="205"/>
      <c r="U20" s="205"/>
      <c r="V20" s="308"/>
    </row>
    <row r="21" spans="1:22" ht="11.25" customHeight="1">
      <c r="B21" s="312" t="s">
        <v>70</v>
      </c>
      <c r="C21" s="311" t="str">
        <f>C20</f>
        <v>kg</v>
      </c>
      <c r="D21" s="543">
        <v>0</v>
      </c>
      <c r="E21" s="544">
        <f t="shared" ref="E21:K21" si="10">E19*E20</f>
        <v>0</v>
      </c>
      <c r="F21" s="544">
        <f t="shared" si="10"/>
        <v>0</v>
      </c>
      <c r="G21" s="544">
        <f t="shared" si="10"/>
        <v>0</v>
      </c>
      <c r="H21" s="544">
        <f t="shared" si="10"/>
        <v>0</v>
      </c>
      <c r="I21" s="544">
        <f t="shared" si="10"/>
        <v>0</v>
      </c>
      <c r="J21" s="544">
        <f t="shared" si="10"/>
        <v>0</v>
      </c>
      <c r="K21" s="544">
        <f t="shared" si="10"/>
        <v>0</v>
      </c>
      <c r="M21" s="309"/>
      <c r="N21" s="205"/>
      <c r="O21" s="205"/>
      <c r="P21" s="205"/>
      <c r="Q21" s="205"/>
      <c r="R21" s="205"/>
      <c r="S21" s="205"/>
      <c r="T21" s="205"/>
      <c r="U21" s="205"/>
      <c r="V21" s="308"/>
    </row>
    <row r="22" spans="1:22" ht="11.25" customHeight="1">
      <c r="B22" s="312" t="s">
        <v>52</v>
      </c>
      <c r="C22" s="311" t="s">
        <v>308</v>
      </c>
      <c r="D22" s="549">
        <f>IF(D21=0,0,D18/D21)</f>
        <v>0</v>
      </c>
      <c r="E22" s="550">
        <f t="shared" ref="E22:K22" si="11">D22</f>
        <v>0</v>
      </c>
      <c r="F22" s="550">
        <f t="shared" si="11"/>
        <v>0</v>
      </c>
      <c r="G22" s="550">
        <f t="shared" si="11"/>
        <v>0</v>
      </c>
      <c r="H22" s="550">
        <f t="shared" si="11"/>
        <v>0</v>
      </c>
      <c r="I22" s="550">
        <f t="shared" si="11"/>
        <v>0</v>
      </c>
      <c r="J22" s="550">
        <f t="shared" si="11"/>
        <v>0</v>
      </c>
      <c r="K22" s="551">
        <f t="shared" si="11"/>
        <v>0</v>
      </c>
      <c r="M22" s="309"/>
      <c r="N22" s="205"/>
      <c r="O22" s="205"/>
      <c r="P22" s="205"/>
      <c r="Q22" s="205"/>
      <c r="R22" s="205"/>
      <c r="S22" s="205"/>
      <c r="T22" s="205"/>
      <c r="U22" s="205"/>
      <c r="V22" s="308"/>
    </row>
    <row r="23" spans="1:22" ht="3" customHeight="1">
      <c r="B23" s="80"/>
      <c r="C23" s="318"/>
      <c r="D23" s="548"/>
      <c r="E23" s="548"/>
      <c r="F23" s="548"/>
      <c r="G23" s="548"/>
      <c r="H23" s="548"/>
      <c r="I23" s="548"/>
      <c r="J23" s="548"/>
      <c r="K23" s="548"/>
      <c r="M23" s="317"/>
      <c r="N23" s="316"/>
      <c r="O23" s="316"/>
      <c r="P23" s="316"/>
      <c r="Q23" s="316"/>
      <c r="R23" s="316"/>
      <c r="S23" s="316"/>
      <c r="T23" s="316"/>
      <c r="U23" s="316"/>
      <c r="V23" s="315"/>
    </row>
    <row r="24" spans="1:22" ht="11.25" customHeight="1">
      <c r="B24" s="314" t="s">
        <v>209</v>
      </c>
      <c r="C24" s="313" t="s">
        <v>308</v>
      </c>
      <c r="D24" s="543">
        <v>0</v>
      </c>
      <c r="E24" s="544">
        <f t="shared" ref="E24:K24" si="12">E27*E28</f>
        <v>0</v>
      </c>
      <c r="F24" s="544">
        <f t="shared" si="12"/>
        <v>0</v>
      </c>
      <c r="G24" s="544">
        <f t="shared" si="12"/>
        <v>0</v>
      </c>
      <c r="H24" s="544">
        <f t="shared" si="12"/>
        <v>0</v>
      </c>
      <c r="I24" s="544">
        <f t="shared" si="12"/>
        <v>0</v>
      </c>
      <c r="J24" s="544">
        <f t="shared" si="12"/>
        <v>0</v>
      </c>
      <c r="K24" s="544">
        <f t="shared" si="12"/>
        <v>0</v>
      </c>
      <c r="M24" s="309"/>
      <c r="N24" s="205"/>
      <c r="O24" s="205"/>
      <c r="P24" s="205"/>
      <c r="Q24" s="205"/>
      <c r="R24" s="205"/>
      <c r="S24" s="205"/>
      <c r="T24" s="205"/>
      <c r="U24" s="205"/>
      <c r="V24" s="308"/>
    </row>
    <row r="25" spans="1:22" ht="11.25" customHeight="1">
      <c r="A25" s="96"/>
      <c r="B25" s="312" t="s">
        <v>66</v>
      </c>
      <c r="C25" s="311" t="s">
        <v>68</v>
      </c>
      <c r="D25" s="540">
        <v>0</v>
      </c>
      <c r="E25" s="542">
        <f t="shared" ref="E25:K26" si="13">D25</f>
        <v>0</v>
      </c>
      <c r="F25" s="542">
        <f t="shared" si="13"/>
        <v>0</v>
      </c>
      <c r="G25" s="542">
        <f t="shared" si="13"/>
        <v>0</v>
      </c>
      <c r="H25" s="542">
        <f t="shared" si="13"/>
        <v>0</v>
      </c>
      <c r="I25" s="542">
        <f t="shared" si="13"/>
        <v>0</v>
      </c>
      <c r="J25" s="542">
        <f t="shared" si="13"/>
        <v>0</v>
      </c>
      <c r="K25" s="543">
        <f t="shared" si="13"/>
        <v>0</v>
      </c>
      <c r="M25" s="309"/>
      <c r="N25" s="205"/>
      <c r="O25" s="205"/>
      <c r="P25" s="205"/>
      <c r="Q25" s="205"/>
      <c r="R25" s="205"/>
      <c r="S25" s="205"/>
      <c r="T25" s="205"/>
      <c r="U25" s="205"/>
      <c r="V25" s="308"/>
    </row>
    <row r="26" spans="1:22" ht="11.25" customHeight="1">
      <c r="B26" s="312" t="s">
        <v>69</v>
      </c>
      <c r="C26" s="379" t="s">
        <v>170</v>
      </c>
      <c r="D26" s="544">
        <f>IF(D25=0,0,D27/D25)</f>
        <v>0</v>
      </c>
      <c r="E26" s="542">
        <f t="shared" si="13"/>
        <v>0</v>
      </c>
      <c r="F26" s="542">
        <f t="shared" si="13"/>
        <v>0</v>
      </c>
      <c r="G26" s="542">
        <f t="shared" si="13"/>
        <v>0</v>
      </c>
      <c r="H26" s="542">
        <f t="shared" si="13"/>
        <v>0</v>
      </c>
      <c r="I26" s="542">
        <f t="shared" si="13"/>
        <v>0</v>
      </c>
      <c r="J26" s="542">
        <f t="shared" si="13"/>
        <v>0</v>
      </c>
      <c r="K26" s="543">
        <f t="shared" si="13"/>
        <v>0</v>
      </c>
      <c r="M26" s="309"/>
      <c r="N26" s="205"/>
      <c r="O26" s="205"/>
      <c r="P26" s="205"/>
      <c r="Q26" s="205"/>
      <c r="R26" s="205"/>
      <c r="S26" s="205"/>
      <c r="T26" s="205"/>
      <c r="U26" s="205"/>
      <c r="V26" s="308"/>
    </row>
    <row r="27" spans="1:22" ht="11.25" customHeight="1">
      <c r="B27" s="312" t="s">
        <v>70</v>
      </c>
      <c r="C27" s="311" t="s">
        <v>170</v>
      </c>
      <c r="D27" s="543">
        <v>0</v>
      </c>
      <c r="E27" s="544">
        <f t="shared" ref="E27:K27" si="14">E25*E26</f>
        <v>0</v>
      </c>
      <c r="F27" s="544">
        <f t="shared" si="14"/>
        <v>0</v>
      </c>
      <c r="G27" s="544">
        <f t="shared" si="14"/>
        <v>0</v>
      </c>
      <c r="H27" s="544">
        <f t="shared" si="14"/>
        <v>0</v>
      </c>
      <c r="I27" s="544">
        <f t="shared" si="14"/>
        <v>0</v>
      </c>
      <c r="J27" s="544">
        <f t="shared" si="14"/>
        <v>0</v>
      </c>
      <c r="K27" s="544">
        <f t="shared" si="14"/>
        <v>0</v>
      </c>
      <c r="M27" s="309"/>
      <c r="N27" s="205"/>
      <c r="O27" s="205"/>
      <c r="P27" s="205"/>
      <c r="Q27" s="205"/>
      <c r="R27" s="205"/>
      <c r="S27" s="205"/>
      <c r="T27" s="205"/>
      <c r="U27" s="205"/>
      <c r="V27" s="308"/>
    </row>
    <row r="28" spans="1:22" ht="11.25" customHeight="1">
      <c r="B28" s="312" t="s">
        <v>52</v>
      </c>
      <c r="C28" s="311" t="s">
        <v>308</v>
      </c>
      <c r="D28" s="549">
        <f>IF(D27=0,0,D24/D27)</f>
        <v>0</v>
      </c>
      <c r="E28" s="550">
        <f t="shared" ref="E28:K28" si="15">D28</f>
        <v>0</v>
      </c>
      <c r="F28" s="550">
        <f t="shared" si="15"/>
        <v>0</v>
      </c>
      <c r="G28" s="550">
        <f t="shared" si="15"/>
        <v>0</v>
      </c>
      <c r="H28" s="550">
        <f t="shared" si="15"/>
        <v>0</v>
      </c>
      <c r="I28" s="550">
        <f t="shared" si="15"/>
        <v>0</v>
      </c>
      <c r="J28" s="550">
        <f t="shared" si="15"/>
        <v>0</v>
      </c>
      <c r="K28" s="551">
        <f t="shared" si="15"/>
        <v>0</v>
      </c>
      <c r="M28" s="309"/>
      <c r="N28" s="205"/>
      <c r="O28" s="205"/>
      <c r="P28" s="205"/>
      <c r="Q28" s="205"/>
      <c r="R28" s="205"/>
      <c r="S28" s="205"/>
      <c r="T28" s="205"/>
      <c r="U28" s="205"/>
      <c r="V28" s="308"/>
    </row>
    <row r="29" spans="1:22" ht="3" customHeight="1">
      <c r="B29" s="80"/>
      <c r="C29" s="318"/>
      <c r="D29" s="548"/>
      <c r="E29" s="548"/>
      <c r="F29" s="548"/>
      <c r="G29" s="548"/>
      <c r="H29" s="548"/>
      <c r="I29" s="548"/>
      <c r="J29" s="548"/>
      <c r="K29" s="548"/>
      <c r="M29" s="317"/>
      <c r="N29" s="316"/>
      <c r="O29" s="316"/>
      <c r="P29" s="316"/>
      <c r="Q29" s="316"/>
      <c r="R29" s="316"/>
      <c r="S29" s="316"/>
      <c r="T29" s="316"/>
      <c r="U29" s="316"/>
      <c r="V29" s="315"/>
    </row>
    <row r="30" spans="1:22" ht="11.25" customHeight="1">
      <c r="B30" s="314" t="s">
        <v>208</v>
      </c>
      <c r="C30" s="313" t="s">
        <v>308</v>
      </c>
      <c r="D30" s="543">
        <v>0</v>
      </c>
      <c r="E30" s="544">
        <f t="shared" ref="E30:K30" si="16">E33*E34</f>
        <v>0</v>
      </c>
      <c r="F30" s="544">
        <f t="shared" si="16"/>
        <v>0</v>
      </c>
      <c r="G30" s="544">
        <f t="shared" si="16"/>
        <v>0</v>
      </c>
      <c r="H30" s="544">
        <f t="shared" si="16"/>
        <v>0</v>
      </c>
      <c r="I30" s="544">
        <f t="shared" si="16"/>
        <v>0</v>
      </c>
      <c r="J30" s="544">
        <f t="shared" si="16"/>
        <v>0</v>
      </c>
      <c r="K30" s="544">
        <f t="shared" si="16"/>
        <v>0</v>
      </c>
      <c r="M30" s="309"/>
      <c r="N30" s="205"/>
      <c r="O30" s="205"/>
      <c r="P30" s="205"/>
      <c r="Q30" s="205"/>
      <c r="R30" s="205"/>
      <c r="S30" s="205"/>
      <c r="T30" s="205"/>
      <c r="U30" s="205"/>
      <c r="V30" s="308"/>
    </row>
    <row r="31" spans="1:22" ht="11.25" customHeight="1">
      <c r="B31" s="312" t="s">
        <v>66</v>
      </c>
      <c r="C31" s="311" t="s">
        <v>68</v>
      </c>
      <c r="D31" s="540">
        <v>0</v>
      </c>
      <c r="E31" s="542">
        <f t="shared" ref="E31:K32" si="17">D31</f>
        <v>0</v>
      </c>
      <c r="F31" s="542">
        <f t="shared" si="17"/>
        <v>0</v>
      </c>
      <c r="G31" s="542">
        <f t="shared" si="17"/>
        <v>0</v>
      </c>
      <c r="H31" s="542">
        <f t="shared" si="17"/>
        <v>0</v>
      </c>
      <c r="I31" s="542">
        <f t="shared" si="17"/>
        <v>0</v>
      </c>
      <c r="J31" s="542">
        <f t="shared" si="17"/>
        <v>0</v>
      </c>
      <c r="K31" s="543">
        <f t="shared" si="17"/>
        <v>0</v>
      </c>
      <c r="M31" s="309"/>
      <c r="N31" s="205"/>
      <c r="O31" s="205"/>
      <c r="P31" s="205"/>
      <c r="Q31" s="205"/>
      <c r="R31" s="205"/>
      <c r="S31" s="205"/>
      <c r="T31" s="205"/>
      <c r="U31" s="205"/>
      <c r="V31" s="308"/>
    </row>
    <row r="32" spans="1:22" ht="11.25" customHeight="1">
      <c r="B32" s="312" t="s">
        <v>69</v>
      </c>
      <c r="C32" s="379" t="s">
        <v>170</v>
      </c>
      <c r="D32" s="544">
        <f>IF(D31=0,0,D33/D31)</f>
        <v>0</v>
      </c>
      <c r="E32" s="542">
        <f t="shared" si="17"/>
        <v>0</v>
      </c>
      <c r="F32" s="542">
        <f t="shared" si="17"/>
        <v>0</v>
      </c>
      <c r="G32" s="542">
        <f t="shared" si="17"/>
        <v>0</v>
      </c>
      <c r="H32" s="542">
        <f t="shared" si="17"/>
        <v>0</v>
      </c>
      <c r="I32" s="542">
        <f t="shared" si="17"/>
        <v>0</v>
      </c>
      <c r="J32" s="542">
        <f t="shared" si="17"/>
        <v>0</v>
      </c>
      <c r="K32" s="543">
        <f t="shared" si="17"/>
        <v>0</v>
      </c>
      <c r="M32" s="309"/>
      <c r="N32" s="205"/>
      <c r="O32" s="205"/>
      <c r="P32" s="205"/>
      <c r="Q32" s="205"/>
      <c r="R32" s="205"/>
      <c r="S32" s="205"/>
      <c r="T32" s="205"/>
      <c r="U32" s="205"/>
      <c r="V32" s="308"/>
    </row>
    <row r="33" spans="1:22" ht="11.25" customHeight="1">
      <c r="A33" s="96"/>
      <c r="B33" s="312" t="s">
        <v>70</v>
      </c>
      <c r="C33" s="311" t="s">
        <v>170</v>
      </c>
      <c r="D33" s="543">
        <v>0</v>
      </c>
      <c r="E33" s="544">
        <f t="shared" ref="E33:K33" si="18">E31*E32</f>
        <v>0</v>
      </c>
      <c r="F33" s="544">
        <f t="shared" si="18"/>
        <v>0</v>
      </c>
      <c r="G33" s="544">
        <f t="shared" si="18"/>
        <v>0</v>
      </c>
      <c r="H33" s="544">
        <f t="shared" si="18"/>
        <v>0</v>
      </c>
      <c r="I33" s="544">
        <f t="shared" si="18"/>
        <v>0</v>
      </c>
      <c r="J33" s="544">
        <f t="shared" si="18"/>
        <v>0</v>
      </c>
      <c r="K33" s="544">
        <f t="shared" si="18"/>
        <v>0</v>
      </c>
      <c r="M33" s="309"/>
      <c r="N33" s="205"/>
      <c r="O33" s="205"/>
      <c r="P33" s="205"/>
      <c r="Q33" s="205"/>
      <c r="R33" s="205"/>
      <c r="S33" s="205"/>
      <c r="T33" s="205"/>
      <c r="U33" s="205"/>
      <c r="V33" s="308"/>
    </row>
    <row r="34" spans="1:22" ht="11.25" customHeight="1">
      <c r="B34" s="312" t="s">
        <v>52</v>
      </c>
      <c r="C34" s="311" t="s">
        <v>308</v>
      </c>
      <c r="D34" s="549">
        <f>IF(D33=0,0,D30/D33)</f>
        <v>0</v>
      </c>
      <c r="E34" s="550">
        <f t="shared" ref="E34:K34" si="19">D34</f>
        <v>0</v>
      </c>
      <c r="F34" s="550">
        <f t="shared" si="19"/>
        <v>0</v>
      </c>
      <c r="G34" s="550">
        <f t="shared" si="19"/>
        <v>0</v>
      </c>
      <c r="H34" s="550">
        <f t="shared" si="19"/>
        <v>0</v>
      </c>
      <c r="I34" s="550">
        <f t="shared" si="19"/>
        <v>0</v>
      </c>
      <c r="J34" s="550">
        <f t="shared" si="19"/>
        <v>0</v>
      </c>
      <c r="K34" s="551">
        <f t="shared" si="19"/>
        <v>0</v>
      </c>
      <c r="M34" s="309"/>
      <c r="N34" s="205"/>
      <c r="O34" s="205"/>
      <c r="P34" s="205"/>
      <c r="Q34" s="205"/>
      <c r="R34" s="205"/>
      <c r="S34" s="205"/>
      <c r="T34" s="205"/>
      <c r="U34" s="205"/>
      <c r="V34" s="308"/>
    </row>
    <row r="35" spans="1:22" ht="3" customHeight="1">
      <c r="A35" s="96"/>
      <c r="B35" s="80"/>
      <c r="C35" s="318"/>
      <c r="D35" s="548"/>
      <c r="E35" s="548"/>
      <c r="F35" s="548"/>
      <c r="G35" s="548"/>
      <c r="H35" s="548"/>
      <c r="I35" s="548"/>
      <c r="J35" s="548"/>
      <c r="K35" s="548"/>
      <c r="M35" s="317"/>
      <c r="N35" s="316"/>
      <c r="O35" s="316"/>
      <c r="P35" s="316"/>
      <c r="Q35" s="316"/>
      <c r="R35" s="316"/>
      <c r="S35" s="316"/>
      <c r="T35" s="316"/>
      <c r="U35" s="316"/>
      <c r="V35" s="315"/>
    </row>
    <row r="36" spans="1:22" ht="11.25" customHeight="1">
      <c r="A36" s="212"/>
      <c r="B36" s="314" t="s">
        <v>207</v>
      </c>
      <c r="C36" s="313" t="s">
        <v>308</v>
      </c>
      <c r="D36" s="543">
        <v>0</v>
      </c>
      <c r="E36" s="544">
        <f t="shared" ref="E36:K36" si="20">E39*E40</f>
        <v>0</v>
      </c>
      <c r="F36" s="544">
        <f t="shared" si="20"/>
        <v>0</v>
      </c>
      <c r="G36" s="544">
        <f t="shared" si="20"/>
        <v>0</v>
      </c>
      <c r="H36" s="544">
        <f t="shared" si="20"/>
        <v>0</v>
      </c>
      <c r="I36" s="544">
        <f t="shared" si="20"/>
        <v>0</v>
      </c>
      <c r="J36" s="544">
        <f t="shared" si="20"/>
        <v>0</v>
      </c>
      <c r="K36" s="544">
        <f t="shared" si="20"/>
        <v>0</v>
      </c>
      <c r="M36" s="309"/>
      <c r="N36" s="205"/>
      <c r="O36" s="205"/>
      <c r="P36" s="205"/>
      <c r="Q36" s="205"/>
      <c r="R36" s="205"/>
      <c r="S36" s="205"/>
      <c r="T36" s="205"/>
      <c r="U36" s="205"/>
      <c r="V36" s="308"/>
    </row>
    <row r="37" spans="1:22" ht="11.25" customHeight="1">
      <c r="A37" s="96"/>
      <c r="B37" s="312" t="s">
        <v>66</v>
      </c>
      <c r="C37" s="311" t="s">
        <v>68</v>
      </c>
      <c r="D37" s="539">
        <v>0</v>
      </c>
      <c r="E37" s="542">
        <f t="shared" ref="E37:K38" si="21">D37</f>
        <v>0</v>
      </c>
      <c r="F37" s="542">
        <f t="shared" si="21"/>
        <v>0</v>
      </c>
      <c r="G37" s="542">
        <f t="shared" si="21"/>
        <v>0</v>
      </c>
      <c r="H37" s="542">
        <f t="shared" si="21"/>
        <v>0</v>
      </c>
      <c r="I37" s="542">
        <f t="shared" si="21"/>
        <v>0</v>
      </c>
      <c r="J37" s="542">
        <f t="shared" si="21"/>
        <v>0</v>
      </c>
      <c r="K37" s="543">
        <f t="shared" si="21"/>
        <v>0</v>
      </c>
      <c r="M37" s="309"/>
      <c r="N37" s="205"/>
      <c r="O37" s="205"/>
      <c r="P37" s="205"/>
      <c r="Q37" s="205"/>
      <c r="R37" s="205"/>
      <c r="S37" s="205"/>
      <c r="T37" s="205"/>
      <c r="U37" s="205"/>
      <c r="V37" s="308"/>
    </row>
    <row r="38" spans="1:22" ht="11.25" customHeight="1">
      <c r="A38" s="96"/>
      <c r="B38" s="312" t="s">
        <v>69</v>
      </c>
      <c r="C38" s="379" t="s">
        <v>170</v>
      </c>
      <c r="D38" s="541">
        <f>IF(D37=0,0,D39/D37)</f>
        <v>0</v>
      </c>
      <c r="E38" s="542">
        <f t="shared" si="21"/>
        <v>0</v>
      </c>
      <c r="F38" s="542">
        <f t="shared" si="21"/>
        <v>0</v>
      </c>
      <c r="G38" s="542">
        <f t="shared" si="21"/>
        <v>0</v>
      </c>
      <c r="H38" s="542">
        <f t="shared" si="21"/>
        <v>0</v>
      </c>
      <c r="I38" s="542">
        <f t="shared" si="21"/>
        <v>0</v>
      </c>
      <c r="J38" s="542">
        <f t="shared" si="21"/>
        <v>0</v>
      </c>
      <c r="K38" s="543">
        <f t="shared" si="21"/>
        <v>0</v>
      </c>
      <c r="M38" s="309"/>
      <c r="N38" s="205"/>
      <c r="O38" s="205"/>
      <c r="P38" s="205"/>
      <c r="Q38" s="205"/>
      <c r="R38" s="205"/>
      <c r="S38" s="205"/>
      <c r="T38" s="205"/>
      <c r="U38" s="205"/>
      <c r="V38" s="308"/>
    </row>
    <row r="39" spans="1:22" ht="11.25" customHeight="1">
      <c r="A39" s="2"/>
      <c r="B39" s="312" t="s">
        <v>70</v>
      </c>
      <c r="C39" s="311" t="s">
        <v>170</v>
      </c>
      <c r="D39" s="543">
        <v>0</v>
      </c>
      <c r="E39" s="544">
        <f t="shared" ref="E39:K39" si="22">E37*E38</f>
        <v>0</v>
      </c>
      <c r="F39" s="544">
        <f t="shared" si="22"/>
        <v>0</v>
      </c>
      <c r="G39" s="544">
        <f t="shared" si="22"/>
        <v>0</v>
      </c>
      <c r="H39" s="544">
        <f t="shared" si="22"/>
        <v>0</v>
      </c>
      <c r="I39" s="544">
        <f t="shared" si="22"/>
        <v>0</v>
      </c>
      <c r="J39" s="544">
        <f t="shared" si="22"/>
        <v>0</v>
      </c>
      <c r="K39" s="544">
        <f t="shared" si="22"/>
        <v>0</v>
      </c>
      <c r="M39" s="309"/>
      <c r="N39" s="205"/>
      <c r="O39" s="205"/>
      <c r="P39" s="205"/>
      <c r="Q39" s="205"/>
      <c r="R39" s="205"/>
      <c r="S39" s="205"/>
      <c r="T39" s="205"/>
      <c r="U39" s="205"/>
      <c r="V39" s="308"/>
    </row>
    <row r="40" spans="1:22" ht="11.25" customHeight="1" thickBot="1">
      <c r="A40" s="96"/>
      <c r="B40" s="312" t="s">
        <v>52</v>
      </c>
      <c r="C40" s="311" t="s">
        <v>308</v>
      </c>
      <c r="D40" s="549">
        <f>IF(D39=0,0,D36/D39)</f>
        <v>0</v>
      </c>
      <c r="E40" s="550">
        <f t="shared" ref="E40:K40" si="23">D40</f>
        <v>0</v>
      </c>
      <c r="F40" s="550">
        <f t="shared" si="23"/>
        <v>0</v>
      </c>
      <c r="G40" s="550">
        <f t="shared" si="23"/>
        <v>0</v>
      </c>
      <c r="H40" s="550">
        <f t="shared" si="23"/>
        <v>0</v>
      </c>
      <c r="I40" s="550">
        <f t="shared" si="23"/>
        <v>0</v>
      </c>
      <c r="J40" s="550">
        <f t="shared" si="23"/>
        <v>0</v>
      </c>
      <c r="K40" s="552">
        <f t="shared" si="23"/>
        <v>0</v>
      </c>
      <c r="M40" s="309"/>
      <c r="N40" s="205"/>
      <c r="O40" s="205"/>
      <c r="P40" s="205"/>
      <c r="Q40" s="205"/>
      <c r="R40" s="205"/>
      <c r="S40" s="205"/>
      <c r="T40" s="205"/>
      <c r="U40" s="205"/>
      <c r="V40" s="308"/>
    </row>
    <row r="41" spans="1:22" ht="11.25" customHeight="1">
      <c r="A41" s="96"/>
      <c r="B41" s="40" t="s">
        <v>262</v>
      </c>
      <c r="C41" s="310"/>
      <c r="D41" s="553">
        <f>D8+D14+D18+D24+D36+D30</f>
        <v>0</v>
      </c>
      <c r="E41" s="553">
        <f ca="1">IF(Ohjeet!$H67&gt;Ohjeet!$B$40,0,E8+E14+E18+E24+E36+E30)</f>
        <v>0</v>
      </c>
      <c r="F41" s="553">
        <f ca="1">IF(Ohjeet!$H67&gt;Ohjeet!$B$40,0,F8+F14+F18+F24+F36+F30)</f>
        <v>0</v>
      </c>
      <c r="G41" s="553">
        <f ca="1">IF(Ohjeet!$H67&gt;Ohjeet!$B$40,0,G8+G14+G18+G24+G36+G30)</f>
        <v>0</v>
      </c>
      <c r="H41" s="553">
        <f ca="1">IF(Ohjeet!$H67&gt;Ohjeet!$B$40,0,H8+H14+H18+H24+H36+H30)</f>
        <v>0</v>
      </c>
      <c r="I41" s="553">
        <f ca="1">IF(Ohjeet!$H67&gt;Ohjeet!$B$40,0,I8+I14+I18+I24+I36+I30)</f>
        <v>0</v>
      </c>
      <c r="J41" s="553">
        <f ca="1">IF(Ohjeet!$H67&gt;Ohjeet!$B$40,0,J8+J14+J18+J24+J36+J30)</f>
        <v>0</v>
      </c>
      <c r="K41" s="553">
        <f ca="1">IF(Ohjeet!$H67&gt;Ohjeet!$B$40,0,K8+K14+K18+K24+K36+K30)</f>
        <v>0</v>
      </c>
      <c r="M41" s="309"/>
      <c r="N41" s="205"/>
      <c r="O41" s="205"/>
      <c r="P41" s="205"/>
      <c r="Q41" s="205"/>
      <c r="R41" s="205"/>
      <c r="S41" s="205"/>
      <c r="T41" s="205"/>
      <c r="U41" s="205"/>
      <c r="V41" s="308"/>
    </row>
    <row r="42" spans="1:22" ht="4.5" customHeight="1" thickBot="1">
      <c r="B42" s="307"/>
      <c r="C42" s="306"/>
      <c r="D42" s="305"/>
      <c r="E42" s="305"/>
      <c r="F42" s="304"/>
      <c r="G42" s="304"/>
      <c r="H42" s="304"/>
      <c r="I42" s="304"/>
      <c r="J42" s="304"/>
      <c r="K42" s="304"/>
      <c r="M42" s="303"/>
      <c r="V42" s="302"/>
    </row>
    <row r="43" spans="1:22" ht="11.25" customHeight="1">
      <c r="A43" s="96"/>
      <c r="B43" s="755" t="s">
        <v>261</v>
      </c>
      <c r="C43" s="756"/>
      <c r="D43" s="405" t="str">
        <f t="shared" ref="D43:K44" si="24">D6</f>
        <v>Tot.</v>
      </c>
      <c r="E43" s="405" t="str">
        <f t="shared" si="24"/>
        <v xml:space="preserve">1. VUOSI </v>
      </c>
      <c r="F43" s="405" t="str">
        <f t="shared" si="24"/>
        <v xml:space="preserve">2. VUOSI </v>
      </c>
      <c r="G43" s="405" t="str">
        <f t="shared" si="24"/>
        <v xml:space="preserve">3. VUOSI </v>
      </c>
      <c r="H43" s="405" t="str">
        <f t="shared" si="24"/>
        <v xml:space="preserve">4. VUOSI </v>
      </c>
      <c r="I43" s="405" t="str">
        <f t="shared" si="24"/>
        <v xml:space="preserve">5. VUOSI </v>
      </c>
      <c r="J43" s="405" t="str">
        <f t="shared" si="24"/>
        <v xml:space="preserve">6. VUOSI </v>
      </c>
      <c r="K43" s="405" t="str">
        <f t="shared" si="24"/>
        <v xml:space="preserve">7. VUOSI </v>
      </c>
      <c r="M43" s="814" t="s">
        <v>145</v>
      </c>
      <c r="N43" s="301"/>
      <c r="O43" s="816"/>
      <c r="P43" s="301"/>
      <c r="Q43" s="301"/>
      <c r="R43" s="301"/>
      <c r="S43" s="301"/>
      <c r="T43" s="301"/>
      <c r="U43" s="301"/>
      <c r="V43" s="300"/>
    </row>
    <row r="44" spans="1:22" ht="12" customHeight="1">
      <c r="A44" s="2"/>
      <c r="B44" s="759"/>
      <c r="C44" s="760"/>
      <c r="D44" s="560">
        <f t="shared" si="24"/>
        <v>2023</v>
      </c>
      <c r="E44" s="560">
        <f t="shared" si="24"/>
        <v>2024</v>
      </c>
      <c r="F44" s="560">
        <f t="shared" si="24"/>
        <v>2025</v>
      </c>
      <c r="G44" s="560">
        <f t="shared" si="24"/>
        <v>2026</v>
      </c>
      <c r="H44" s="560">
        <f t="shared" si="24"/>
        <v>2027</v>
      </c>
      <c r="I44" s="560">
        <f t="shared" si="24"/>
        <v>2028</v>
      </c>
      <c r="J44" s="560">
        <f t="shared" si="24"/>
        <v>2029</v>
      </c>
      <c r="K44" s="560">
        <f t="shared" si="24"/>
        <v>2030</v>
      </c>
      <c r="M44" s="174"/>
      <c r="N44" s="39"/>
      <c r="O44" s="39"/>
      <c r="P44" s="39"/>
      <c r="Q44" s="39"/>
      <c r="R44" s="39"/>
      <c r="S44" s="39"/>
      <c r="T44" s="39"/>
      <c r="U44" s="39"/>
      <c r="V44" s="175"/>
    </row>
    <row r="45" spans="1:22" ht="11.25" customHeight="1">
      <c r="A45" s="2"/>
      <c r="B45" s="252" t="s">
        <v>205</v>
      </c>
      <c r="C45" s="293" t="s">
        <v>308</v>
      </c>
      <c r="D45" s="543">
        <v>0</v>
      </c>
      <c r="E45" s="544">
        <f t="shared" ref="E45:K45" si="25">E47*E49</f>
        <v>0</v>
      </c>
      <c r="F45" s="544">
        <f t="shared" si="25"/>
        <v>0</v>
      </c>
      <c r="G45" s="544">
        <f t="shared" si="25"/>
        <v>0</v>
      </c>
      <c r="H45" s="544">
        <f t="shared" si="25"/>
        <v>0</v>
      </c>
      <c r="I45" s="544">
        <f t="shared" si="25"/>
        <v>0</v>
      </c>
      <c r="J45" s="544">
        <f t="shared" si="25"/>
        <v>0</v>
      </c>
      <c r="K45" s="544">
        <f t="shared" si="25"/>
        <v>0</v>
      </c>
      <c r="M45" s="174"/>
      <c r="N45" s="39"/>
      <c r="O45" s="39"/>
      <c r="P45" s="39"/>
      <c r="Q45" s="39"/>
      <c r="R45" s="39"/>
      <c r="S45" s="39"/>
      <c r="T45" s="39"/>
      <c r="U45" s="39"/>
      <c r="V45" s="175"/>
    </row>
    <row r="46" spans="1:22" ht="11.25" customHeight="1">
      <c r="A46" s="96"/>
      <c r="B46" s="295" t="s">
        <v>200</v>
      </c>
      <c r="C46" s="380" t="s">
        <v>202</v>
      </c>
      <c r="D46" s="540">
        <v>0</v>
      </c>
      <c r="E46" s="540">
        <f>D46</f>
        <v>0</v>
      </c>
      <c r="F46" s="540">
        <f t="shared" ref="F46:K48" si="26">E46</f>
        <v>0</v>
      </c>
      <c r="G46" s="540">
        <f>F46</f>
        <v>0</v>
      </c>
      <c r="H46" s="540">
        <f t="shared" si="26"/>
        <v>0</v>
      </c>
      <c r="I46" s="540">
        <f t="shared" si="26"/>
        <v>0</v>
      </c>
      <c r="J46" s="540">
        <f t="shared" si="26"/>
        <v>0</v>
      </c>
      <c r="K46" s="540">
        <f t="shared" si="26"/>
        <v>0</v>
      </c>
      <c r="M46" s="174"/>
      <c r="N46" s="39"/>
      <c r="O46" s="39"/>
      <c r="P46" s="39"/>
      <c r="Q46" s="39"/>
      <c r="R46" s="39"/>
      <c r="S46" s="39"/>
      <c r="T46" s="39"/>
      <c r="U46" s="39"/>
      <c r="V46" s="175"/>
    </row>
    <row r="47" spans="1:22" ht="11.25" customHeight="1">
      <c r="B47" s="275" t="s">
        <v>204</v>
      </c>
      <c r="C47" s="311" t="s">
        <v>170</v>
      </c>
      <c r="D47" s="543">
        <v>0</v>
      </c>
      <c r="E47" s="544">
        <f t="shared" ref="E47:K47" si="27">E46*E48</f>
        <v>0</v>
      </c>
      <c r="F47" s="544">
        <f t="shared" si="27"/>
        <v>0</v>
      </c>
      <c r="G47" s="544">
        <f t="shared" si="27"/>
        <v>0</v>
      </c>
      <c r="H47" s="544">
        <f t="shared" si="27"/>
        <v>0</v>
      </c>
      <c r="I47" s="544">
        <f t="shared" si="27"/>
        <v>0</v>
      </c>
      <c r="J47" s="544">
        <f t="shared" si="27"/>
        <v>0</v>
      </c>
      <c r="K47" s="544">
        <f t="shared" si="27"/>
        <v>0</v>
      </c>
      <c r="M47" s="174"/>
      <c r="N47" s="39"/>
      <c r="O47" s="39"/>
      <c r="P47" s="39"/>
      <c r="Q47" s="39"/>
      <c r="R47" s="39"/>
      <c r="S47" s="39"/>
      <c r="T47" s="39"/>
      <c r="U47" s="39"/>
      <c r="V47" s="175"/>
    </row>
    <row r="48" spans="1:22" ht="11.25" customHeight="1">
      <c r="A48" s="96"/>
      <c r="B48" s="761" t="s">
        <v>201</v>
      </c>
      <c r="C48" s="762"/>
      <c r="D48" s="554">
        <f>IF(D47=0,0,D47/D46)</f>
        <v>0</v>
      </c>
      <c r="E48" s="543">
        <f>D48</f>
        <v>0</v>
      </c>
      <c r="F48" s="543">
        <f t="shared" si="26"/>
        <v>0</v>
      </c>
      <c r="G48" s="543">
        <f t="shared" si="26"/>
        <v>0</v>
      </c>
      <c r="H48" s="543">
        <f t="shared" si="26"/>
        <v>0</v>
      </c>
      <c r="I48" s="543">
        <f t="shared" si="26"/>
        <v>0</v>
      </c>
      <c r="J48" s="543">
        <f t="shared" si="26"/>
        <v>0</v>
      </c>
      <c r="K48" s="543">
        <f t="shared" si="26"/>
        <v>0</v>
      </c>
      <c r="M48" s="174"/>
      <c r="N48" s="39"/>
      <c r="O48" s="39"/>
      <c r="P48" s="39"/>
      <c r="Q48" s="39"/>
      <c r="R48" s="39"/>
      <c r="S48" s="39"/>
      <c r="T48" s="39"/>
      <c r="U48" s="39"/>
      <c r="V48" s="175"/>
    </row>
    <row r="49" spans="1:22" ht="11.25" customHeight="1">
      <c r="A49" s="96"/>
      <c r="B49" s="764" t="s">
        <v>203</v>
      </c>
      <c r="C49" s="764"/>
      <c r="D49" s="549">
        <f>IF(D47=0,0,D45/D47)</f>
        <v>0</v>
      </c>
      <c r="E49" s="551">
        <f t="shared" ref="E49:K49" si="28">D49</f>
        <v>0</v>
      </c>
      <c r="F49" s="551">
        <f t="shared" si="28"/>
        <v>0</v>
      </c>
      <c r="G49" s="551">
        <f t="shared" si="28"/>
        <v>0</v>
      </c>
      <c r="H49" s="551">
        <f t="shared" si="28"/>
        <v>0</v>
      </c>
      <c r="I49" s="551">
        <f t="shared" si="28"/>
        <v>0</v>
      </c>
      <c r="J49" s="551">
        <f t="shared" si="28"/>
        <v>0</v>
      </c>
      <c r="K49" s="551">
        <f t="shared" si="28"/>
        <v>0</v>
      </c>
      <c r="M49" s="174"/>
      <c r="N49" s="39"/>
      <c r="O49" s="39"/>
      <c r="P49" s="39"/>
      <c r="Q49" s="39"/>
      <c r="R49" s="39"/>
      <c r="S49" s="39"/>
      <c r="T49" s="39"/>
      <c r="U49" s="39"/>
      <c r="V49" s="175"/>
    </row>
    <row r="50" spans="1:22" ht="3" customHeight="1">
      <c r="A50" s="212"/>
      <c r="B50" s="61"/>
      <c r="C50" s="299"/>
      <c r="D50" s="548"/>
      <c r="E50" s="548"/>
      <c r="F50" s="548"/>
      <c r="G50" s="548"/>
      <c r="H50" s="548"/>
      <c r="I50" s="548"/>
      <c r="J50" s="548"/>
      <c r="K50" s="548"/>
      <c r="M50" s="298"/>
      <c r="N50" s="297"/>
      <c r="O50" s="297"/>
      <c r="P50" s="297"/>
      <c r="Q50" s="297"/>
      <c r="R50" s="297"/>
      <c r="S50" s="297"/>
      <c r="T50" s="297"/>
      <c r="U50" s="297"/>
      <c r="V50" s="296"/>
    </row>
    <row r="51" spans="1:22" ht="11.25" customHeight="1">
      <c r="A51" s="96"/>
      <c r="B51" s="252" t="s">
        <v>88</v>
      </c>
      <c r="C51" s="293" t="s">
        <v>308</v>
      </c>
      <c r="D51" s="543">
        <v>0</v>
      </c>
      <c r="E51" s="544">
        <f t="shared" ref="E51:K51" si="29">E53*E55</f>
        <v>0</v>
      </c>
      <c r="F51" s="544">
        <f t="shared" si="29"/>
        <v>0</v>
      </c>
      <c r="G51" s="544">
        <f t="shared" si="29"/>
        <v>0</v>
      </c>
      <c r="H51" s="544">
        <f t="shared" si="29"/>
        <v>0</v>
      </c>
      <c r="I51" s="544">
        <f t="shared" si="29"/>
        <v>0</v>
      </c>
      <c r="J51" s="544">
        <f t="shared" si="29"/>
        <v>0</v>
      </c>
      <c r="K51" s="544">
        <f t="shared" si="29"/>
        <v>0</v>
      </c>
      <c r="M51" s="174"/>
      <c r="N51" s="39"/>
      <c r="O51" s="39"/>
      <c r="P51" s="39"/>
      <c r="Q51" s="39"/>
      <c r="R51" s="39"/>
      <c r="S51" s="39"/>
      <c r="T51" s="39"/>
      <c r="U51" s="39"/>
      <c r="V51" s="175"/>
    </row>
    <row r="52" spans="1:22" ht="11.25" customHeight="1">
      <c r="A52" s="96"/>
      <c r="B52" s="295" t="s">
        <v>200</v>
      </c>
      <c r="C52" s="380" t="s">
        <v>202</v>
      </c>
      <c r="D52" s="540">
        <v>0</v>
      </c>
      <c r="E52" s="540">
        <f t="shared" ref="E52" si="30">D52</f>
        <v>0</v>
      </c>
      <c r="F52" s="540">
        <f t="shared" ref="F52" si="31">E52</f>
        <v>0</v>
      </c>
      <c r="G52" s="540">
        <f t="shared" ref="G52" si="32">F52</f>
        <v>0</v>
      </c>
      <c r="H52" s="540">
        <f t="shared" ref="H52" si="33">G52</f>
        <v>0</v>
      </c>
      <c r="I52" s="540">
        <f t="shared" ref="I52" si="34">H52</f>
        <v>0</v>
      </c>
      <c r="J52" s="540">
        <f t="shared" ref="J52" si="35">I52</f>
        <v>0</v>
      </c>
      <c r="K52" s="540">
        <f t="shared" ref="K52" si="36">J52</f>
        <v>0</v>
      </c>
      <c r="M52" s="174"/>
      <c r="N52" s="39"/>
      <c r="O52" s="39"/>
      <c r="P52" s="39"/>
      <c r="Q52" s="39"/>
      <c r="R52" s="39"/>
      <c r="S52" s="39"/>
      <c r="T52" s="39"/>
      <c r="U52" s="39"/>
      <c r="V52" s="175"/>
    </row>
    <row r="53" spans="1:22" ht="11.25" customHeight="1">
      <c r="A53" s="96"/>
      <c r="B53" s="275" t="s">
        <v>204</v>
      </c>
      <c r="C53" s="311" t="s">
        <v>170</v>
      </c>
      <c r="D53" s="543">
        <v>0</v>
      </c>
      <c r="E53" s="544">
        <f t="shared" ref="E53:K53" si="37">E52*E54</f>
        <v>0</v>
      </c>
      <c r="F53" s="544">
        <f t="shared" si="37"/>
        <v>0</v>
      </c>
      <c r="G53" s="544">
        <f t="shared" si="37"/>
        <v>0</v>
      </c>
      <c r="H53" s="544">
        <f t="shared" si="37"/>
        <v>0</v>
      </c>
      <c r="I53" s="544">
        <f t="shared" si="37"/>
        <v>0</v>
      </c>
      <c r="J53" s="544">
        <f t="shared" si="37"/>
        <v>0</v>
      </c>
      <c r="K53" s="544">
        <f t="shared" si="37"/>
        <v>0</v>
      </c>
      <c r="M53" s="174"/>
      <c r="N53" s="39"/>
      <c r="O53" s="39"/>
      <c r="P53" s="39"/>
      <c r="Q53" s="39"/>
      <c r="R53" s="39"/>
      <c r="S53" s="39"/>
      <c r="T53" s="39"/>
      <c r="U53" s="39"/>
      <c r="V53" s="175"/>
    </row>
    <row r="54" spans="1:22" ht="11.25" customHeight="1">
      <c r="A54" s="96"/>
      <c r="B54" s="761" t="s">
        <v>201</v>
      </c>
      <c r="C54" s="762"/>
      <c r="D54" s="554">
        <f>IF(D53=0,0,D53/D52)</f>
        <v>0</v>
      </c>
      <c r="E54" s="543">
        <f>D54</f>
        <v>0</v>
      </c>
      <c r="F54" s="543">
        <f t="shared" ref="F54:F55" si="38">E54</f>
        <v>0</v>
      </c>
      <c r="G54" s="543">
        <f t="shared" ref="G54:G55" si="39">F54</f>
        <v>0</v>
      </c>
      <c r="H54" s="543">
        <f t="shared" ref="H54:H55" si="40">G54</f>
        <v>0</v>
      </c>
      <c r="I54" s="543">
        <f t="shared" ref="I54:I55" si="41">H54</f>
        <v>0</v>
      </c>
      <c r="J54" s="543">
        <f t="shared" ref="J54:J55" si="42">I54</f>
        <v>0</v>
      </c>
      <c r="K54" s="543">
        <f t="shared" ref="K54:K55" si="43">J54</f>
        <v>0</v>
      </c>
      <c r="M54" s="174"/>
      <c r="N54" s="39"/>
      <c r="O54" s="39"/>
      <c r="P54" s="39"/>
      <c r="Q54" s="39"/>
      <c r="R54" s="39"/>
      <c r="S54" s="39"/>
      <c r="T54" s="39"/>
      <c r="U54" s="39"/>
      <c r="V54" s="175"/>
    </row>
    <row r="55" spans="1:22" ht="11.25" customHeight="1">
      <c r="B55" s="764" t="s">
        <v>203</v>
      </c>
      <c r="C55" s="764"/>
      <c r="D55" s="549">
        <f>IF(D53=0,0,D51/D53)</f>
        <v>0</v>
      </c>
      <c r="E55" s="551">
        <f t="shared" ref="E55" si="44">D55</f>
        <v>0</v>
      </c>
      <c r="F55" s="551">
        <f t="shared" si="38"/>
        <v>0</v>
      </c>
      <c r="G55" s="551">
        <f t="shared" si="39"/>
        <v>0</v>
      </c>
      <c r="H55" s="551">
        <f t="shared" si="40"/>
        <v>0</v>
      </c>
      <c r="I55" s="551">
        <f t="shared" si="41"/>
        <v>0</v>
      </c>
      <c r="J55" s="551">
        <f t="shared" si="42"/>
        <v>0</v>
      </c>
      <c r="K55" s="551">
        <f t="shared" si="43"/>
        <v>0</v>
      </c>
      <c r="M55" s="174"/>
      <c r="N55" s="39"/>
      <c r="O55" s="39"/>
      <c r="P55" s="39"/>
      <c r="Q55" s="39"/>
      <c r="R55" s="39"/>
      <c r="S55" s="39"/>
      <c r="T55" s="39"/>
      <c r="U55" s="39"/>
      <c r="V55" s="175"/>
    </row>
    <row r="56" spans="1:22" ht="3" customHeight="1">
      <c r="A56" s="96"/>
      <c r="B56" s="61"/>
      <c r="C56" s="299"/>
      <c r="D56" s="548"/>
      <c r="E56" s="548"/>
      <c r="F56" s="548"/>
      <c r="G56" s="548"/>
      <c r="H56" s="548"/>
      <c r="I56" s="548"/>
      <c r="J56" s="548"/>
      <c r="K56" s="548"/>
      <c r="M56" s="298"/>
      <c r="N56" s="297"/>
      <c r="O56" s="297"/>
      <c r="P56" s="297"/>
      <c r="Q56" s="297"/>
      <c r="R56" s="297"/>
      <c r="S56" s="297"/>
      <c r="T56" s="297"/>
      <c r="U56" s="297"/>
      <c r="V56" s="296"/>
    </row>
    <row r="57" spans="1:22" ht="11.25" customHeight="1">
      <c r="A57" s="2"/>
      <c r="B57" s="252" t="s">
        <v>89</v>
      </c>
      <c r="C57" s="293" t="s">
        <v>308</v>
      </c>
      <c r="D57" s="543">
        <v>0</v>
      </c>
      <c r="E57" s="544">
        <f t="shared" ref="E57:K57" si="45">E59*E61</f>
        <v>0</v>
      </c>
      <c r="F57" s="544">
        <f t="shared" si="45"/>
        <v>0</v>
      </c>
      <c r="G57" s="544">
        <f t="shared" si="45"/>
        <v>0</v>
      </c>
      <c r="H57" s="544">
        <f t="shared" si="45"/>
        <v>0</v>
      </c>
      <c r="I57" s="544">
        <f t="shared" si="45"/>
        <v>0</v>
      </c>
      <c r="J57" s="544">
        <f t="shared" si="45"/>
        <v>0</v>
      </c>
      <c r="K57" s="544">
        <f t="shared" si="45"/>
        <v>0</v>
      </c>
      <c r="M57" s="174"/>
      <c r="N57" s="39"/>
      <c r="O57" s="39"/>
      <c r="P57" s="39"/>
      <c r="Q57" s="39"/>
      <c r="R57" s="39"/>
      <c r="S57" s="39"/>
      <c r="T57" s="39"/>
      <c r="U57" s="39"/>
      <c r="V57" s="175"/>
    </row>
    <row r="58" spans="1:22" ht="11.25" customHeight="1">
      <c r="A58" s="2"/>
      <c r="B58" s="295" t="s">
        <v>200</v>
      </c>
      <c r="C58" s="380" t="s">
        <v>202</v>
      </c>
      <c r="D58" s="540">
        <v>0</v>
      </c>
      <c r="E58" s="540">
        <f t="shared" ref="E58" si="46">D58</f>
        <v>0</v>
      </c>
      <c r="F58" s="540">
        <f t="shared" ref="F58" si="47">E58</f>
        <v>0</v>
      </c>
      <c r="G58" s="540">
        <f t="shared" ref="G58" si="48">F58</f>
        <v>0</v>
      </c>
      <c r="H58" s="540">
        <f t="shared" ref="H58" si="49">G58</f>
        <v>0</v>
      </c>
      <c r="I58" s="540">
        <f t="shared" ref="I58" si="50">H58</f>
        <v>0</v>
      </c>
      <c r="J58" s="540">
        <f t="shared" ref="J58" si="51">I58</f>
        <v>0</v>
      </c>
      <c r="K58" s="540">
        <f t="shared" ref="K58" si="52">J58</f>
        <v>0</v>
      </c>
      <c r="M58" s="174"/>
      <c r="N58" s="39"/>
      <c r="O58" s="39"/>
      <c r="P58" s="39"/>
      <c r="Q58" s="39"/>
      <c r="R58" s="39"/>
      <c r="S58" s="39"/>
      <c r="T58" s="39"/>
      <c r="U58" s="39"/>
      <c r="V58" s="175"/>
    </row>
    <row r="59" spans="1:22" ht="11.25" customHeight="1">
      <c r="A59" s="2"/>
      <c r="B59" s="275" t="s">
        <v>204</v>
      </c>
      <c r="C59" s="311" t="s">
        <v>170</v>
      </c>
      <c r="D59" s="543">
        <v>0</v>
      </c>
      <c r="E59" s="544">
        <f t="shared" ref="E59:K59" si="53">E58*E60</f>
        <v>0</v>
      </c>
      <c r="F59" s="544">
        <f t="shared" si="53"/>
        <v>0</v>
      </c>
      <c r="G59" s="544">
        <f t="shared" si="53"/>
        <v>0</v>
      </c>
      <c r="H59" s="544">
        <f t="shared" si="53"/>
        <v>0</v>
      </c>
      <c r="I59" s="544">
        <f t="shared" si="53"/>
        <v>0</v>
      </c>
      <c r="J59" s="544">
        <f t="shared" si="53"/>
        <v>0</v>
      </c>
      <c r="K59" s="544">
        <f t="shared" si="53"/>
        <v>0</v>
      </c>
      <c r="M59" s="174"/>
      <c r="N59" s="39"/>
      <c r="O59" s="39"/>
      <c r="P59" s="39"/>
      <c r="Q59" s="39"/>
      <c r="R59" s="39"/>
      <c r="S59" s="39"/>
      <c r="T59" s="39"/>
      <c r="U59" s="39"/>
      <c r="V59" s="175"/>
    </row>
    <row r="60" spans="1:22" ht="11.25" customHeight="1">
      <c r="A60" s="2"/>
      <c r="B60" s="761" t="s">
        <v>201</v>
      </c>
      <c r="C60" s="762"/>
      <c r="D60" s="554">
        <f>IF(D59=0,0,D59/D58)</f>
        <v>0</v>
      </c>
      <c r="E60" s="543">
        <f>D60</f>
        <v>0</v>
      </c>
      <c r="F60" s="543">
        <f t="shared" ref="F60:F61" si="54">E60</f>
        <v>0</v>
      </c>
      <c r="G60" s="543">
        <f t="shared" ref="G60:G61" si="55">F60</f>
        <v>0</v>
      </c>
      <c r="H60" s="543">
        <f t="shared" ref="H60:H61" si="56">G60</f>
        <v>0</v>
      </c>
      <c r="I60" s="543">
        <f t="shared" ref="I60:I61" si="57">H60</f>
        <v>0</v>
      </c>
      <c r="J60" s="543">
        <f t="shared" ref="J60:J61" si="58">I60</f>
        <v>0</v>
      </c>
      <c r="K60" s="543">
        <f t="shared" ref="K60:K61" si="59">J60</f>
        <v>0</v>
      </c>
      <c r="M60" s="174"/>
      <c r="N60" s="39"/>
      <c r="O60" s="39"/>
      <c r="P60" s="39"/>
      <c r="Q60" s="39"/>
      <c r="R60" s="39"/>
      <c r="S60" s="39"/>
      <c r="T60" s="39"/>
      <c r="U60" s="39"/>
      <c r="V60" s="175"/>
    </row>
    <row r="61" spans="1:22" ht="11.25" customHeight="1">
      <c r="A61" s="96"/>
      <c r="B61" s="764" t="s">
        <v>203</v>
      </c>
      <c r="C61" s="764"/>
      <c r="D61" s="549">
        <f>IF(D59=0,0,D57/D59)</f>
        <v>0</v>
      </c>
      <c r="E61" s="551">
        <f t="shared" ref="E61" si="60">D61</f>
        <v>0</v>
      </c>
      <c r="F61" s="551">
        <f t="shared" si="54"/>
        <v>0</v>
      </c>
      <c r="G61" s="551">
        <f t="shared" si="55"/>
        <v>0</v>
      </c>
      <c r="H61" s="551">
        <f t="shared" si="56"/>
        <v>0</v>
      </c>
      <c r="I61" s="551">
        <f t="shared" si="57"/>
        <v>0</v>
      </c>
      <c r="J61" s="551">
        <f t="shared" si="58"/>
        <v>0</v>
      </c>
      <c r="K61" s="551">
        <f t="shared" si="59"/>
        <v>0</v>
      </c>
      <c r="M61" s="174"/>
      <c r="N61" s="39"/>
      <c r="O61" s="39"/>
      <c r="P61" s="39"/>
      <c r="Q61" s="39"/>
      <c r="R61" s="39"/>
      <c r="S61" s="39"/>
      <c r="T61" s="39"/>
      <c r="U61" s="39"/>
      <c r="V61" s="175"/>
    </row>
    <row r="62" spans="1:22" ht="3" customHeight="1">
      <c r="B62" s="61"/>
      <c r="C62" s="299"/>
      <c r="D62" s="548"/>
      <c r="E62" s="548"/>
      <c r="F62" s="548"/>
      <c r="G62" s="548"/>
      <c r="H62" s="548"/>
      <c r="I62" s="548"/>
      <c r="J62" s="548"/>
      <c r="K62" s="548"/>
      <c r="M62" s="298"/>
      <c r="N62" s="297"/>
      <c r="O62" s="297"/>
      <c r="P62" s="297"/>
      <c r="Q62" s="297"/>
      <c r="R62" s="297"/>
      <c r="S62" s="297"/>
      <c r="T62" s="297"/>
      <c r="U62" s="297"/>
      <c r="V62" s="296"/>
    </row>
    <row r="63" spans="1:22" ht="11.25" customHeight="1">
      <c r="A63" s="96"/>
      <c r="B63" s="252" t="s">
        <v>90</v>
      </c>
      <c r="C63" s="293" t="s">
        <v>308</v>
      </c>
      <c r="D63" s="543">
        <v>0</v>
      </c>
      <c r="E63" s="544">
        <f t="shared" ref="E63:K63" si="61">E65*E67</f>
        <v>0</v>
      </c>
      <c r="F63" s="544">
        <f t="shared" si="61"/>
        <v>0</v>
      </c>
      <c r="G63" s="544">
        <f t="shared" si="61"/>
        <v>0</v>
      </c>
      <c r="H63" s="544">
        <f t="shared" si="61"/>
        <v>0</v>
      </c>
      <c r="I63" s="544">
        <f t="shared" si="61"/>
        <v>0</v>
      </c>
      <c r="J63" s="544">
        <f t="shared" si="61"/>
        <v>0</v>
      </c>
      <c r="K63" s="544">
        <f t="shared" si="61"/>
        <v>0</v>
      </c>
      <c r="M63" s="174"/>
      <c r="N63" s="39"/>
      <c r="O63" s="39"/>
      <c r="P63" s="39"/>
      <c r="Q63" s="39"/>
      <c r="R63" s="39"/>
      <c r="S63" s="39"/>
      <c r="T63" s="39"/>
      <c r="U63" s="39"/>
      <c r="V63" s="175"/>
    </row>
    <row r="64" spans="1:22" ht="11.25" customHeight="1">
      <c r="A64" s="96"/>
      <c r="B64" s="295" t="s">
        <v>200</v>
      </c>
      <c r="C64" s="380" t="s">
        <v>202</v>
      </c>
      <c r="D64" s="540">
        <v>0</v>
      </c>
      <c r="E64" s="540">
        <f t="shared" ref="E64" si="62">D64</f>
        <v>0</v>
      </c>
      <c r="F64" s="540">
        <f t="shared" ref="F64" si="63">E64</f>
        <v>0</v>
      </c>
      <c r="G64" s="540">
        <f t="shared" ref="G64" si="64">F64</f>
        <v>0</v>
      </c>
      <c r="H64" s="540">
        <f t="shared" ref="H64" si="65">G64</f>
        <v>0</v>
      </c>
      <c r="I64" s="540">
        <f t="shared" ref="I64" si="66">H64</f>
        <v>0</v>
      </c>
      <c r="J64" s="540">
        <f t="shared" ref="J64" si="67">I64</f>
        <v>0</v>
      </c>
      <c r="K64" s="540">
        <f t="shared" ref="K64" si="68">J64</f>
        <v>0</v>
      </c>
      <c r="M64" s="174"/>
      <c r="N64" s="39"/>
      <c r="O64" s="39"/>
      <c r="P64" s="39"/>
      <c r="Q64" s="39"/>
      <c r="R64" s="39"/>
      <c r="S64" s="39"/>
      <c r="T64" s="39"/>
      <c r="U64" s="39"/>
      <c r="V64" s="175"/>
    </row>
    <row r="65" spans="1:22" ht="11.25" customHeight="1">
      <c r="A65" s="96"/>
      <c r="B65" s="275" t="s">
        <v>204</v>
      </c>
      <c r="C65" s="311" t="s">
        <v>170</v>
      </c>
      <c r="D65" s="543">
        <v>0</v>
      </c>
      <c r="E65" s="544">
        <f t="shared" ref="E65:K65" si="69">E64*E66</f>
        <v>0</v>
      </c>
      <c r="F65" s="544">
        <f t="shared" si="69"/>
        <v>0</v>
      </c>
      <c r="G65" s="544">
        <f t="shared" si="69"/>
        <v>0</v>
      </c>
      <c r="H65" s="544">
        <f t="shared" si="69"/>
        <v>0</v>
      </c>
      <c r="I65" s="544">
        <f t="shared" si="69"/>
        <v>0</v>
      </c>
      <c r="J65" s="544">
        <f t="shared" si="69"/>
        <v>0</v>
      </c>
      <c r="K65" s="544">
        <f t="shared" si="69"/>
        <v>0</v>
      </c>
      <c r="M65" s="174"/>
      <c r="N65" s="39"/>
      <c r="O65" s="39"/>
      <c r="P65" s="39"/>
      <c r="Q65" s="39"/>
      <c r="R65" s="39"/>
      <c r="S65" s="39"/>
      <c r="T65" s="39"/>
      <c r="U65" s="39"/>
      <c r="V65" s="175"/>
    </row>
    <row r="66" spans="1:22" ht="11.25" customHeight="1">
      <c r="A66" s="2"/>
      <c r="B66" s="761" t="s">
        <v>201</v>
      </c>
      <c r="C66" s="762"/>
      <c r="D66" s="554">
        <f>IF(D65=0,0,D65/D64)</f>
        <v>0</v>
      </c>
      <c r="E66" s="543">
        <f>D66</f>
        <v>0</v>
      </c>
      <c r="F66" s="543">
        <f t="shared" ref="F66:F67" si="70">E66</f>
        <v>0</v>
      </c>
      <c r="G66" s="543">
        <f t="shared" ref="G66:G67" si="71">F66</f>
        <v>0</v>
      </c>
      <c r="H66" s="543">
        <f t="shared" ref="H66:H67" si="72">G66</f>
        <v>0</v>
      </c>
      <c r="I66" s="543">
        <f t="shared" ref="I66:I67" si="73">H66</f>
        <v>0</v>
      </c>
      <c r="J66" s="543">
        <f t="shared" ref="J66:J67" si="74">I66</f>
        <v>0</v>
      </c>
      <c r="K66" s="543">
        <f t="shared" ref="K66:K67" si="75">J66</f>
        <v>0</v>
      </c>
      <c r="M66" s="174"/>
      <c r="N66" s="39"/>
      <c r="O66" s="39"/>
      <c r="P66" s="39"/>
      <c r="Q66" s="39"/>
      <c r="R66" s="39"/>
      <c r="S66" s="39"/>
      <c r="T66" s="39"/>
      <c r="U66" s="39"/>
      <c r="V66" s="175"/>
    </row>
    <row r="67" spans="1:22" ht="11.25" customHeight="1">
      <c r="B67" s="764" t="s">
        <v>203</v>
      </c>
      <c r="C67" s="764"/>
      <c r="D67" s="549">
        <f>IF(D65=0,0,D63/D65)</f>
        <v>0</v>
      </c>
      <c r="E67" s="551">
        <f t="shared" ref="E67" si="76">D67</f>
        <v>0</v>
      </c>
      <c r="F67" s="551">
        <f t="shared" si="70"/>
        <v>0</v>
      </c>
      <c r="G67" s="551">
        <f t="shared" si="71"/>
        <v>0</v>
      </c>
      <c r="H67" s="551">
        <f t="shared" si="72"/>
        <v>0</v>
      </c>
      <c r="I67" s="551">
        <f t="shared" si="73"/>
        <v>0</v>
      </c>
      <c r="J67" s="551">
        <f t="shared" si="74"/>
        <v>0</v>
      </c>
      <c r="K67" s="551">
        <f t="shared" si="75"/>
        <v>0</v>
      </c>
      <c r="M67" s="174"/>
      <c r="N67" s="39"/>
      <c r="O67" s="39"/>
      <c r="P67" s="39"/>
      <c r="Q67" s="39"/>
      <c r="R67" s="39"/>
      <c r="S67" s="39"/>
      <c r="T67" s="39"/>
      <c r="U67" s="39"/>
      <c r="V67" s="175"/>
    </row>
    <row r="68" spans="1:22" ht="3" customHeight="1">
      <c r="A68" s="96"/>
      <c r="B68" s="61"/>
      <c r="C68" s="299"/>
      <c r="D68" s="548"/>
      <c r="E68" s="548"/>
      <c r="F68" s="548"/>
      <c r="G68" s="548"/>
      <c r="H68" s="548"/>
      <c r="I68" s="548"/>
      <c r="J68" s="548"/>
      <c r="K68" s="548"/>
      <c r="M68" s="298"/>
      <c r="N68" s="297"/>
      <c r="O68" s="297"/>
      <c r="P68" s="297"/>
      <c r="Q68" s="297"/>
      <c r="R68" s="297"/>
      <c r="S68" s="297"/>
      <c r="T68" s="297"/>
      <c r="U68" s="297"/>
      <c r="V68" s="296"/>
    </row>
    <row r="69" spans="1:22" ht="11.25" customHeight="1">
      <c r="B69" s="252" t="s">
        <v>91</v>
      </c>
      <c r="C69" s="293" t="s">
        <v>308</v>
      </c>
      <c r="D69" s="543">
        <v>0</v>
      </c>
      <c r="E69" s="544">
        <f t="shared" ref="E69:K69" si="77">E71*E73</f>
        <v>0</v>
      </c>
      <c r="F69" s="544">
        <f t="shared" si="77"/>
        <v>0</v>
      </c>
      <c r="G69" s="544">
        <f t="shared" si="77"/>
        <v>0</v>
      </c>
      <c r="H69" s="544">
        <f t="shared" si="77"/>
        <v>0</v>
      </c>
      <c r="I69" s="544">
        <f t="shared" si="77"/>
        <v>0</v>
      </c>
      <c r="J69" s="544">
        <f t="shared" si="77"/>
        <v>0</v>
      </c>
      <c r="K69" s="544">
        <f t="shared" si="77"/>
        <v>0</v>
      </c>
      <c r="M69" s="174"/>
      <c r="N69" s="39"/>
      <c r="O69" s="39"/>
      <c r="P69" s="39"/>
      <c r="Q69" s="39"/>
      <c r="R69" s="39"/>
      <c r="S69" s="39"/>
      <c r="T69" s="39"/>
      <c r="U69" s="39"/>
      <c r="V69" s="175"/>
    </row>
    <row r="70" spans="1:22" ht="11.25" customHeight="1">
      <c r="B70" s="295" t="s">
        <v>200</v>
      </c>
      <c r="C70" s="380" t="s">
        <v>202</v>
      </c>
      <c r="D70" s="540">
        <v>0</v>
      </c>
      <c r="E70" s="540">
        <f t="shared" ref="E70:F70" si="78">D70</f>
        <v>0</v>
      </c>
      <c r="F70" s="540">
        <f t="shared" si="78"/>
        <v>0</v>
      </c>
      <c r="G70" s="540">
        <f t="shared" ref="G70" si="79">F70</f>
        <v>0</v>
      </c>
      <c r="H70" s="540">
        <f t="shared" ref="H70" si="80">G70</f>
        <v>0</v>
      </c>
      <c r="I70" s="540">
        <f t="shared" ref="I70" si="81">H70</f>
        <v>0</v>
      </c>
      <c r="J70" s="540">
        <f t="shared" ref="J70" si="82">I70</f>
        <v>0</v>
      </c>
      <c r="K70" s="540">
        <f t="shared" ref="K70" si="83">J70</f>
        <v>0</v>
      </c>
      <c r="M70" s="174"/>
      <c r="N70" s="39"/>
      <c r="O70" s="39"/>
      <c r="P70" s="39"/>
      <c r="Q70" s="39"/>
      <c r="R70" s="39"/>
      <c r="S70" s="39"/>
      <c r="T70" s="39"/>
      <c r="U70" s="39"/>
      <c r="V70" s="175"/>
    </row>
    <row r="71" spans="1:22" ht="11.25" customHeight="1">
      <c r="B71" s="275" t="s">
        <v>204</v>
      </c>
      <c r="C71" s="311" t="s">
        <v>170</v>
      </c>
      <c r="D71" s="543">
        <v>0</v>
      </c>
      <c r="E71" s="544">
        <f t="shared" ref="E71:K71" si="84">E70*E72</f>
        <v>0</v>
      </c>
      <c r="F71" s="544">
        <f t="shared" si="84"/>
        <v>0</v>
      </c>
      <c r="G71" s="544">
        <f t="shared" si="84"/>
        <v>0</v>
      </c>
      <c r="H71" s="544">
        <f t="shared" si="84"/>
        <v>0</v>
      </c>
      <c r="I71" s="544">
        <f t="shared" si="84"/>
        <v>0</v>
      </c>
      <c r="J71" s="544">
        <f t="shared" si="84"/>
        <v>0</v>
      </c>
      <c r="K71" s="544">
        <f t="shared" si="84"/>
        <v>0</v>
      </c>
      <c r="M71" s="174"/>
      <c r="N71" s="39"/>
      <c r="O71" s="39"/>
      <c r="P71" s="39"/>
      <c r="Q71" s="39"/>
      <c r="R71" s="39"/>
      <c r="S71" s="39"/>
      <c r="T71" s="39"/>
      <c r="U71" s="39"/>
      <c r="V71" s="175"/>
    </row>
    <row r="72" spans="1:22" ht="11.25" customHeight="1">
      <c r="A72" s="96"/>
      <c r="B72" s="295" t="s">
        <v>201</v>
      </c>
      <c r="C72" s="276"/>
      <c r="D72" s="554">
        <f>IF(D71=0,0,D71/D70)</f>
        <v>0</v>
      </c>
      <c r="E72" s="543">
        <f>D72</f>
        <v>0</v>
      </c>
      <c r="F72" s="543">
        <f t="shared" ref="F72:F73" si="85">E72</f>
        <v>0</v>
      </c>
      <c r="G72" s="543">
        <f t="shared" ref="G72:G73" si="86">F72</f>
        <v>0</v>
      </c>
      <c r="H72" s="543">
        <f t="shared" ref="H72:H73" si="87">G72</f>
        <v>0</v>
      </c>
      <c r="I72" s="543">
        <f t="shared" ref="I72:I73" si="88">H72</f>
        <v>0</v>
      </c>
      <c r="J72" s="543">
        <f t="shared" ref="J72:J73" si="89">I72</f>
        <v>0</v>
      </c>
      <c r="K72" s="543">
        <f t="shared" ref="K72:K73" si="90">J72</f>
        <v>0</v>
      </c>
      <c r="M72" s="174"/>
      <c r="N72" s="39"/>
      <c r="O72" s="39"/>
      <c r="P72" s="39"/>
      <c r="Q72" s="39"/>
      <c r="R72" s="39"/>
      <c r="S72" s="39"/>
      <c r="T72" s="39"/>
      <c r="U72" s="39"/>
      <c r="V72" s="175"/>
    </row>
    <row r="73" spans="1:22" ht="11.25" customHeight="1">
      <c r="B73" s="764" t="s">
        <v>203</v>
      </c>
      <c r="C73" s="764"/>
      <c r="D73" s="549">
        <f>IF(D71=0,0,D69/D71)</f>
        <v>0</v>
      </c>
      <c r="E73" s="551">
        <f t="shared" ref="E73" si="91">D73</f>
        <v>0</v>
      </c>
      <c r="F73" s="551">
        <f t="shared" si="85"/>
        <v>0</v>
      </c>
      <c r="G73" s="551">
        <f t="shared" si="86"/>
        <v>0</v>
      </c>
      <c r="H73" s="551">
        <f t="shared" si="87"/>
        <v>0</v>
      </c>
      <c r="I73" s="551">
        <f t="shared" si="88"/>
        <v>0</v>
      </c>
      <c r="J73" s="551">
        <f t="shared" si="89"/>
        <v>0</v>
      </c>
      <c r="K73" s="551">
        <f t="shared" si="90"/>
        <v>0</v>
      </c>
      <c r="M73" s="174"/>
      <c r="N73" s="39"/>
      <c r="O73" s="39"/>
      <c r="P73" s="39"/>
      <c r="Q73" s="39"/>
      <c r="R73" s="39"/>
      <c r="S73" s="39"/>
      <c r="T73" s="39"/>
      <c r="U73" s="39"/>
      <c r="V73" s="175"/>
    </row>
    <row r="74" spans="1:22" ht="11.25" customHeight="1">
      <c r="B74" s="294" t="s">
        <v>263</v>
      </c>
      <c r="C74" s="293"/>
      <c r="D74" s="555">
        <f ca="1">IF(Ohjeet!$H67&gt;Ohjeet!$B$40,0,D45+D51+D57+D63+D69)</f>
        <v>0</v>
      </c>
      <c r="E74" s="555">
        <f ca="1">IF(Ohjeet!$H67&gt;Ohjeet!$B$40,0,E45+E51+E57+E63+E69)</f>
        <v>0</v>
      </c>
      <c r="F74" s="555">
        <f ca="1">IF(Ohjeet!$H67&gt;Ohjeet!$B$40,0,F45+F51+F57+F63+F69)</f>
        <v>0</v>
      </c>
      <c r="G74" s="555">
        <f ca="1">IF(Ohjeet!$H67&gt;Ohjeet!$B$40,0,G45+G51+G57+G63+G69)</f>
        <v>0</v>
      </c>
      <c r="H74" s="555">
        <f ca="1">IF(Ohjeet!$H67&gt;Ohjeet!$B$40,0,H45+H51+H57+H63+H69)</f>
        <v>0</v>
      </c>
      <c r="I74" s="555">
        <f ca="1">IF(Ohjeet!$H67&gt;Ohjeet!$B$40,0,I45+I51+I57+I63+I69)</f>
        <v>0</v>
      </c>
      <c r="J74" s="555">
        <f ca="1">IF(Ohjeet!$H67&gt;Ohjeet!$B$40,0,J45+J51+J57+J63+J69)</f>
        <v>0</v>
      </c>
      <c r="K74" s="555">
        <f ca="1">IF(Ohjeet!$H67&gt;Ohjeet!$B$40,0,K45+K51+K57+K63+K69)</f>
        <v>0</v>
      </c>
      <c r="M74" s="174"/>
      <c r="N74" s="39"/>
      <c r="O74" s="39"/>
      <c r="P74" s="39"/>
      <c r="Q74" s="39"/>
      <c r="R74" s="39"/>
      <c r="S74" s="39"/>
      <c r="T74" s="39"/>
      <c r="U74" s="39"/>
      <c r="V74" s="175"/>
    </row>
    <row r="75" spans="1:22" ht="4.5" customHeight="1" thickBot="1">
      <c r="B75" s="291"/>
      <c r="C75" s="292"/>
      <c r="D75" s="292"/>
      <c r="E75" s="292"/>
      <c r="F75" s="292"/>
      <c r="G75" s="292"/>
      <c r="H75" s="292"/>
      <c r="I75" s="292"/>
      <c r="J75" s="292"/>
      <c r="K75" s="292"/>
      <c r="M75" s="290"/>
      <c r="N75" s="289"/>
      <c r="O75" s="289"/>
      <c r="P75" s="289"/>
      <c r="Q75" s="289"/>
      <c r="R75" s="289"/>
      <c r="S75" s="289"/>
      <c r="T75" s="289"/>
      <c r="U75" s="289"/>
      <c r="V75" s="288"/>
    </row>
    <row r="76" spans="1:22" ht="11.25" customHeight="1" thickBot="1">
      <c r="B76" s="765" t="s">
        <v>264</v>
      </c>
      <c r="C76" s="766"/>
      <c r="D76" s="556">
        <f t="shared" ref="D76:K76" ca="1" si="92">D41+D74</f>
        <v>0</v>
      </c>
      <c r="E76" s="556">
        <f t="shared" ca="1" si="92"/>
        <v>0</v>
      </c>
      <c r="F76" s="556">
        <f t="shared" ca="1" si="92"/>
        <v>0</v>
      </c>
      <c r="G76" s="556">
        <f t="shared" ca="1" si="92"/>
        <v>0</v>
      </c>
      <c r="H76" s="556">
        <f t="shared" ca="1" si="92"/>
        <v>0</v>
      </c>
      <c r="I76" s="556">
        <f t="shared" ca="1" si="92"/>
        <v>0</v>
      </c>
      <c r="J76" s="556">
        <f t="shared" ca="1" si="92"/>
        <v>0</v>
      </c>
      <c r="K76" s="557">
        <f t="shared" ca="1" si="92"/>
        <v>0</v>
      </c>
    </row>
    <row r="77" spans="1:22" ht="19.5" customHeight="1">
      <c r="B77" s="763"/>
      <c r="C77" s="763"/>
      <c r="D77" s="763"/>
      <c r="E77" s="763"/>
      <c r="F77" s="763"/>
      <c r="G77" s="763"/>
      <c r="H77" s="659"/>
      <c r="I77" s="659"/>
      <c r="J77" s="659"/>
      <c r="K77" s="659" t="str">
        <f>'T1 Taloussuunnitelma'!T45</f>
        <v>Yritystulkin tarjoaa:</v>
      </c>
    </row>
    <row r="78" spans="1:22" ht="13.2" customHeight="1">
      <c r="B78" s="696"/>
      <c r="C78" s="696"/>
      <c r="D78" s="696"/>
      <c r="E78" s="696"/>
      <c r="F78" s="696"/>
      <c r="K78" s="561" t="str">
        <f>Ohjeet!E38</f>
        <v>Siilinjärvi/Sydän-Savon maaseutupalvelut</v>
      </c>
    </row>
    <row r="79" spans="1:22">
      <c r="B79" s="652" t="s">
        <v>265</v>
      </c>
      <c r="C79" s="653"/>
      <c r="D79" s="558">
        <f>D70+D64+D58+D52+D46</f>
        <v>0</v>
      </c>
      <c r="E79" s="558">
        <f t="shared" ref="E79:K79" si="93">E70+E64+E58+E52+E46</f>
        <v>0</v>
      </c>
      <c r="F79" s="558">
        <f t="shared" si="93"/>
        <v>0</v>
      </c>
      <c r="G79" s="558">
        <f t="shared" si="93"/>
        <v>0</v>
      </c>
      <c r="H79" s="558">
        <f t="shared" si="93"/>
        <v>0</v>
      </c>
      <c r="I79" s="558">
        <f t="shared" si="93"/>
        <v>0</v>
      </c>
      <c r="J79" s="558">
        <f t="shared" si="93"/>
        <v>0</v>
      </c>
      <c r="K79" s="558">
        <f t="shared" si="93"/>
        <v>0</v>
      </c>
    </row>
    <row r="80" spans="1:22">
      <c r="B80" s="211"/>
    </row>
    <row r="81" spans="2:2">
      <c r="B81" s="80"/>
    </row>
    <row r="82" spans="2:2">
      <c r="B82" s="80"/>
    </row>
  </sheetData>
  <sheetProtection algorithmName="SHA-512" hashValue="TKljRbob23jva/6Sr7DirXNOvoo0jOUCtOQCNbCc4IzDn9eFCsCkD4i7NVbzEo2DIAwZmmv2ebrMfO3y5gYOaw==" saltValue="GCZjA8GlmwKOzYndmstcAw==" spinCount="100000" sheet="1" objects="1" scenarios="1"/>
  <mergeCells count="18">
    <mergeCell ref="B66:C66"/>
    <mergeCell ref="B77:G77"/>
    <mergeCell ref="B78:F78"/>
    <mergeCell ref="L5:O5"/>
    <mergeCell ref="B67:C67"/>
    <mergeCell ref="B73:C73"/>
    <mergeCell ref="B76:C76"/>
    <mergeCell ref="B49:C49"/>
    <mergeCell ref="B55:C55"/>
    <mergeCell ref="B61:C61"/>
    <mergeCell ref="B48:C48"/>
    <mergeCell ref="B54:C54"/>
    <mergeCell ref="B60:C60"/>
    <mergeCell ref="B1:J1"/>
    <mergeCell ref="B4:D4"/>
    <mergeCell ref="H4:I4"/>
    <mergeCell ref="B6:C7"/>
    <mergeCell ref="B43:C4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alignWithMargins="0"/>
  <colBreaks count="1" manualBreakCount="1">
    <brk id="11" min="1" max="7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46"/>
  <sheetViews>
    <sheetView showGridLines="0" showZeros="0" defaultGridColor="0" colorId="55" zoomScaleNormal="100" workbookViewId="0">
      <selection activeCell="C8" sqref="C8"/>
    </sheetView>
  </sheetViews>
  <sheetFormatPr defaultRowHeight="12.45"/>
  <cols>
    <col min="1" max="1" width="5.4609375" customWidth="1"/>
    <col min="2" max="2" width="24.07421875" customWidth="1"/>
    <col min="3" max="5" width="11.69140625" customWidth="1"/>
    <col min="6" max="6" width="4.3046875" customWidth="1"/>
    <col min="7" max="7" width="27.69140625" customWidth="1"/>
    <col min="8" max="10" width="11.69140625" customWidth="1"/>
    <col min="13" max="13" width="7.4609375" customWidth="1"/>
    <col min="15" max="15" width="11.53515625" customWidth="1"/>
    <col min="16" max="18" width="10.69140625" customWidth="1"/>
  </cols>
  <sheetData>
    <row r="1" spans="2:18" ht="15.45">
      <c r="C1" s="118"/>
      <c r="D1" s="118"/>
      <c r="E1" s="118"/>
    </row>
    <row r="2" spans="2:18" ht="15.9">
      <c r="B2" s="119" t="s">
        <v>115</v>
      </c>
      <c r="C2" s="119"/>
      <c r="D2" s="119"/>
      <c r="E2" s="119"/>
      <c r="G2" s="120" t="s">
        <v>115</v>
      </c>
      <c r="H2" s="118"/>
      <c r="I2" s="118"/>
      <c r="J2" s="118"/>
      <c r="L2" s="120" t="s">
        <v>127</v>
      </c>
      <c r="M2" s="118"/>
      <c r="N2" s="118"/>
      <c r="O2" s="118"/>
    </row>
    <row r="3" spans="2:18" ht="18">
      <c r="B3" s="270"/>
      <c r="C3" s="120"/>
      <c r="D3" s="120"/>
      <c r="E3" s="120"/>
      <c r="G3" s="136"/>
      <c r="H3" s="118"/>
      <c r="I3" s="118"/>
      <c r="J3" s="118"/>
      <c r="L3" s="136"/>
      <c r="M3" s="118"/>
      <c r="N3" s="118"/>
      <c r="O3" s="118"/>
    </row>
    <row r="4" spans="2:18" ht="15.9">
      <c r="B4" s="268" t="s">
        <v>175</v>
      </c>
      <c r="C4" s="120"/>
      <c r="D4" s="120"/>
      <c r="E4" s="120"/>
      <c r="G4" s="269" t="s">
        <v>174</v>
      </c>
      <c r="H4" s="118"/>
      <c r="I4" s="118"/>
      <c r="J4" s="118"/>
      <c r="L4" s="271" t="s">
        <v>177</v>
      </c>
      <c r="M4" s="1"/>
      <c r="N4" s="1"/>
      <c r="O4" s="1"/>
      <c r="P4" s="1"/>
      <c r="Q4" s="1"/>
      <c r="R4" s="1"/>
    </row>
    <row r="5" spans="2:18" ht="16.3" thickBot="1">
      <c r="G5" s="268" t="s">
        <v>176</v>
      </c>
      <c r="H5" s="118"/>
      <c r="I5" s="118"/>
      <c r="J5" s="118"/>
      <c r="L5" s="271" t="s">
        <v>178</v>
      </c>
      <c r="M5" s="2"/>
      <c r="N5" s="2"/>
      <c r="O5" s="2"/>
      <c r="P5" s="2"/>
      <c r="Q5" s="1"/>
      <c r="R5" s="1"/>
    </row>
    <row r="6" spans="2:18" ht="13.5" customHeight="1" thickBot="1">
      <c r="B6" s="118"/>
      <c r="C6" s="767" t="s">
        <v>116</v>
      </c>
      <c r="D6" s="768"/>
      <c r="E6" s="769"/>
      <c r="L6" s="151"/>
      <c r="M6" s="151"/>
      <c r="N6" s="151"/>
      <c r="O6" s="1"/>
      <c r="P6" s="151"/>
      <c r="Q6" s="1"/>
      <c r="R6" s="151"/>
    </row>
    <row r="7" spans="2:18" ht="13.5" customHeight="1" thickBot="1">
      <c r="C7" s="406">
        <v>1</v>
      </c>
      <c r="D7" s="407">
        <v>2</v>
      </c>
      <c r="E7" s="408">
        <v>3</v>
      </c>
      <c r="H7" s="767" t="s">
        <v>116</v>
      </c>
      <c r="I7" s="768"/>
      <c r="J7" s="769"/>
      <c r="L7" s="770" t="s">
        <v>135</v>
      </c>
      <c r="M7" s="770"/>
      <c r="N7" s="771"/>
      <c r="O7" s="185">
        <v>0</v>
      </c>
      <c r="P7" s="2" t="s">
        <v>128</v>
      </c>
      <c r="Q7" s="1" t="s">
        <v>0</v>
      </c>
      <c r="R7" s="1"/>
    </row>
    <row r="8" spans="2:18" ht="13.5" customHeight="1" thickBot="1">
      <c r="B8" s="412" t="s">
        <v>125</v>
      </c>
      <c r="C8" s="195">
        <v>0</v>
      </c>
      <c r="D8" s="196">
        <v>0</v>
      </c>
      <c r="E8" s="197">
        <v>0</v>
      </c>
      <c r="H8" s="409">
        <v>1</v>
      </c>
      <c r="I8" s="410">
        <v>2</v>
      </c>
      <c r="J8" s="411">
        <v>3</v>
      </c>
      <c r="L8" s="157" t="s">
        <v>136</v>
      </c>
      <c r="M8" s="38"/>
      <c r="N8" s="154"/>
      <c r="O8" s="186">
        <v>0</v>
      </c>
      <c r="P8" s="158" t="s">
        <v>129</v>
      </c>
      <c r="Q8" s="1"/>
      <c r="R8" s="156"/>
    </row>
    <row r="9" spans="2:18" ht="13.5" customHeight="1" thickBot="1">
      <c r="B9" s="413" t="s">
        <v>117</v>
      </c>
      <c r="C9" s="191">
        <v>0</v>
      </c>
      <c r="D9" s="192">
        <v>0</v>
      </c>
      <c r="E9" s="198">
        <v>0</v>
      </c>
      <c r="G9" s="412" t="s">
        <v>125</v>
      </c>
      <c r="H9" s="189">
        <v>0</v>
      </c>
      <c r="I9" s="190">
        <v>0</v>
      </c>
      <c r="J9" s="190">
        <v>0</v>
      </c>
      <c r="L9" s="157" t="s">
        <v>137</v>
      </c>
      <c r="M9" s="38"/>
      <c r="N9" s="155"/>
      <c r="O9" s="186">
        <v>0</v>
      </c>
      <c r="P9" s="158" t="s">
        <v>129</v>
      </c>
      <c r="Q9" s="1"/>
      <c r="R9" s="156"/>
    </row>
    <row r="10" spans="2:18" ht="13.5" customHeight="1" thickBot="1">
      <c r="B10" s="413" t="s">
        <v>118</v>
      </c>
      <c r="C10" s="199">
        <v>0</v>
      </c>
      <c r="D10" s="200">
        <v>0</v>
      </c>
      <c r="E10" s="201">
        <v>0</v>
      </c>
      <c r="G10" s="413" t="s">
        <v>117</v>
      </c>
      <c r="H10" s="191">
        <v>0</v>
      </c>
      <c r="I10" s="192">
        <v>0</v>
      </c>
      <c r="J10" s="192">
        <v>0</v>
      </c>
      <c r="L10" s="157" t="s">
        <v>138</v>
      </c>
      <c r="M10" s="38"/>
      <c r="N10" s="155"/>
      <c r="O10" s="159">
        <f>O8-O9</f>
        <v>0</v>
      </c>
      <c r="P10" s="158" t="s">
        <v>129</v>
      </c>
      <c r="Q10" s="1"/>
      <c r="R10" s="156"/>
    </row>
    <row r="11" spans="2:18" ht="13.5" customHeight="1">
      <c r="B11" s="413" t="s">
        <v>119</v>
      </c>
      <c r="C11" s="202">
        <v>0</v>
      </c>
      <c r="D11" s="203">
        <v>0</v>
      </c>
      <c r="E11" s="204">
        <v>0</v>
      </c>
      <c r="G11" s="413" t="s">
        <v>118</v>
      </c>
      <c r="H11" s="138">
        <v>12</v>
      </c>
      <c r="I11" s="139">
        <v>12</v>
      </c>
      <c r="J11" s="139">
        <v>12</v>
      </c>
      <c r="Q11" s="1"/>
      <c r="R11" s="156"/>
    </row>
    <row r="12" spans="2:18" ht="13.5" customHeight="1" thickBot="1">
      <c r="B12" s="414" t="s">
        <v>120</v>
      </c>
      <c r="C12" s="133">
        <f>C11*C10</f>
        <v>0</v>
      </c>
      <c r="D12" s="134">
        <f>D11*D10</f>
        <v>0</v>
      </c>
      <c r="E12" s="135">
        <f>E11*E10</f>
        <v>0</v>
      </c>
      <c r="G12" s="413" t="s">
        <v>126</v>
      </c>
      <c r="H12" s="193">
        <v>0</v>
      </c>
      <c r="I12" s="194">
        <v>0</v>
      </c>
      <c r="J12" s="194">
        <v>0</v>
      </c>
      <c r="L12" s="2"/>
      <c r="M12" s="1"/>
      <c r="N12" s="1"/>
      <c r="O12" s="2"/>
      <c r="P12" s="1"/>
      <c r="Q12" s="1"/>
      <c r="R12" s="1"/>
    </row>
    <row r="13" spans="2:18" ht="13.5" customHeight="1" thickBot="1">
      <c r="B13" s="121"/>
      <c r="C13" s="122"/>
      <c r="D13" s="122"/>
      <c r="E13" s="122"/>
      <c r="G13" s="414" t="s">
        <v>123</v>
      </c>
      <c r="H13" s="143">
        <f>H12*H11</f>
        <v>0</v>
      </c>
      <c r="I13" s="144">
        <f>I12*I11</f>
        <v>0</v>
      </c>
      <c r="J13" s="144">
        <f>J12*J11</f>
        <v>0</v>
      </c>
      <c r="L13" s="777" t="s">
        <v>97</v>
      </c>
      <c r="M13" s="780" t="s">
        <v>130</v>
      </c>
      <c r="N13" s="781"/>
      <c r="O13" s="774" t="s">
        <v>131</v>
      </c>
      <c r="P13" s="774" t="s">
        <v>132</v>
      </c>
      <c r="Q13" s="774" t="s">
        <v>133</v>
      </c>
      <c r="R13" s="788" t="s">
        <v>134</v>
      </c>
    </row>
    <row r="14" spans="2:18" ht="13.5" customHeight="1" thickBot="1">
      <c r="B14" s="415" t="s">
        <v>124</v>
      </c>
      <c r="C14" s="145">
        <f>IF(C12=0,0,IF(C10=0,0,-PMT(C9/C10,C12,C8)))</f>
        <v>0</v>
      </c>
      <c r="D14" s="146">
        <f>IF(D12=0,0,IF(D10=0,0,-PMT(D9/D10,D12,D8)))</f>
        <v>0</v>
      </c>
      <c r="E14" s="147">
        <f>IF(E12=0,0,IF(E10=0,0,-PMT(E9/E10,E12,E8)))</f>
        <v>0</v>
      </c>
      <c r="G14" s="2"/>
      <c r="H14" s="140"/>
      <c r="I14" s="140"/>
      <c r="J14" s="140"/>
      <c r="L14" s="778"/>
      <c r="M14" s="782"/>
      <c r="N14" s="783"/>
      <c r="O14" s="775"/>
      <c r="P14" s="775"/>
      <c r="Q14" s="775"/>
      <c r="R14" s="789"/>
    </row>
    <row r="15" spans="2:18" ht="13.5" customHeight="1" thickBot="1">
      <c r="B15" s="416" t="s">
        <v>121</v>
      </c>
      <c r="C15" s="130">
        <f>IF(C8=0,0,C14/C8)</f>
        <v>0</v>
      </c>
      <c r="D15" s="131">
        <f>IF(D8=0,0,D14/D8)</f>
        <v>0</v>
      </c>
      <c r="E15" s="132">
        <f>IF(E8=0,0,E14/E8)</f>
        <v>0</v>
      </c>
      <c r="G15" s="418" t="s">
        <v>122</v>
      </c>
      <c r="H15" s="141">
        <f>IF(H12=0,0,H9/(H13-H9/2*H10))</f>
        <v>0</v>
      </c>
      <c r="I15" s="142">
        <f>IF(I12=0,0,I9/(I13-I9/2*I10))</f>
        <v>0</v>
      </c>
      <c r="J15" s="142">
        <f>IF(J12=0,0,J9/(J13-J9/2*J10))</f>
        <v>0</v>
      </c>
      <c r="L15" s="779"/>
      <c r="M15" s="784"/>
      <c r="N15" s="785"/>
      <c r="O15" s="776"/>
      <c r="P15" s="776"/>
      <c r="Q15" s="776"/>
      <c r="R15" s="790"/>
    </row>
    <row r="16" spans="2:18" ht="13.5" customHeight="1" thickBot="1">
      <c r="B16" s="417" t="s">
        <v>123</v>
      </c>
      <c r="C16" s="148">
        <f>C14*C10</f>
        <v>0</v>
      </c>
      <c r="D16" s="149">
        <f>D14*D10</f>
        <v>0</v>
      </c>
      <c r="E16" s="150">
        <f>E14*E10</f>
        <v>0</v>
      </c>
      <c r="L16" s="188">
        <v>2024</v>
      </c>
      <c r="M16" s="786">
        <f>O7</f>
        <v>0</v>
      </c>
      <c r="N16" s="787"/>
      <c r="O16" s="187">
        <v>0.1</v>
      </c>
      <c r="P16" s="152">
        <f>IF(O$7=0,0,IF(O$9=2,0,IF(O$9=1,0,O$7/O$10)))</f>
        <v>0</v>
      </c>
      <c r="Q16" s="152">
        <f t="shared" ref="Q16:Q30" si="0">(M16*O16)</f>
        <v>0</v>
      </c>
      <c r="R16" s="152">
        <f t="shared" ref="R16:R30" si="1">Q16+P16</f>
        <v>0</v>
      </c>
    </row>
    <row r="17" spans="2:18" ht="15.45">
      <c r="B17" s="118"/>
      <c r="C17" s="123"/>
      <c r="D17" s="123"/>
      <c r="E17" s="123"/>
      <c r="L17" s="160">
        <f t="shared" ref="L17:L30" si="2">L16+1</f>
        <v>2025</v>
      </c>
      <c r="M17" s="772">
        <f>IF(M16-P16&lt;0,0,M16-P16)</f>
        <v>0</v>
      </c>
      <c r="N17" s="773"/>
      <c r="O17" s="187">
        <f>O16</f>
        <v>0.1</v>
      </c>
      <c r="P17" s="152">
        <f>IF(O$7=0,0,IF(O$9=2,0,O$7/O$10))</f>
        <v>0</v>
      </c>
      <c r="Q17" s="153">
        <f t="shared" si="0"/>
        <v>0</v>
      </c>
      <c r="R17" s="153">
        <f t="shared" si="1"/>
        <v>0</v>
      </c>
    </row>
    <row r="18" spans="2:18">
      <c r="J18" s="137"/>
      <c r="L18" s="160">
        <f t="shared" si="2"/>
        <v>2026</v>
      </c>
      <c r="M18" s="772">
        <f t="shared" ref="M18:M29" si="3">IF(M17-P17&lt;0,0,M17-P17)</f>
        <v>0</v>
      </c>
      <c r="N18" s="773"/>
      <c r="O18" s="187">
        <f>O17</f>
        <v>0.1</v>
      </c>
      <c r="P18" s="153">
        <f t="shared" ref="P18:P30" si="4">IF((L18-L$16)&gt;O$8-1,0,O$7/O$10)</f>
        <v>0</v>
      </c>
      <c r="Q18" s="153">
        <f t="shared" si="0"/>
        <v>0</v>
      </c>
      <c r="R18" s="153">
        <f t="shared" si="1"/>
        <v>0</v>
      </c>
    </row>
    <row r="19" spans="2:18">
      <c r="B19" s="124"/>
      <c r="E19" s="125"/>
      <c r="L19" s="160">
        <f t="shared" si="2"/>
        <v>2027</v>
      </c>
      <c r="M19" s="772">
        <f t="shared" si="3"/>
        <v>0</v>
      </c>
      <c r="N19" s="773"/>
      <c r="O19" s="187">
        <f t="shared" ref="O19:O30" si="5">O18</f>
        <v>0.1</v>
      </c>
      <c r="P19" s="153">
        <f t="shared" si="4"/>
        <v>0</v>
      </c>
      <c r="Q19" s="153">
        <f t="shared" si="0"/>
        <v>0</v>
      </c>
      <c r="R19" s="153">
        <f t="shared" si="1"/>
        <v>0</v>
      </c>
    </row>
    <row r="20" spans="2:18">
      <c r="B20" s="126"/>
      <c r="C20" s="127" t="s">
        <v>0</v>
      </c>
      <c r="D20" s="128"/>
      <c r="E20" s="129"/>
      <c r="G20" s="170"/>
      <c r="H20" s="171"/>
      <c r="I20" s="172"/>
      <c r="J20" s="173"/>
      <c r="L20" s="160">
        <f t="shared" si="2"/>
        <v>2028</v>
      </c>
      <c r="M20" s="772">
        <f t="shared" si="3"/>
        <v>0</v>
      </c>
      <c r="N20" s="773"/>
      <c r="O20" s="187">
        <f t="shared" si="5"/>
        <v>0.1</v>
      </c>
      <c r="P20" s="153">
        <f t="shared" si="4"/>
        <v>0</v>
      </c>
      <c r="Q20" s="153">
        <f t="shared" si="0"/>
        <v>0</v>
      </c>
      <c r="R20" s="153">
        <f t="shared" si="1"/>
        <v>0</v>
      </c>
    </row>
    <row r="21" spans="2:18">
      <c r="B21" s="164"/>
      <c r="C21" s="165"/>
      <c r="D21" s="165"/>
      <c r="E21" s="166"/>
      <c r="G21" s="174"/>
      <c r="H21" s="39"/>
      <c r="I21" s="39"/>
      <c r="J21" s="175"/>
      <c r="L21" s="160">
        <f t="shared" si="2"/>
        <v>2029</v>
      </c>
      <c r="M21" s="772">
        <f t="shared" si="3"/>
        <v>0</v>
      </c>
      <c r="N21" s="773"/>
      <c r="O21" s="187">
        <f t="shared" si="5"/>
        <v>0.1</v>
      </c>
      <c r="P21" s="153">
        <f t="shared" si="4"/>
        <v>0</v>
      </c>
      <c r="Q21" s="153">
        <f t="shared" si="0"/>
        <v>0</v>
      </c>
      <c r="R21" s="153">
        <f t="shared" si="1"/>
        <v>0</v>
      </c>
    </row>
    <row r="22" spans="2:18">
      <c r="B22" s="164"/>
      <c r="C22" s="165"/>
      <c r="D22" s="165"/>
      <c r="E22" s="166"/>
      <c r="G22" s="174"/>
      <c r="H22" s="39"/>
      <c r="I22" s="39"/>
      <c r="J22" s="175"/>
      <c r="L22" s="160">
        <f t="shared" si="2"/>
        <v>2030</v>
      </c>
      <c r="M22" s="772">
        <f t="shared" si="3"/>
        <v>0</v>
      </c>
      <c r="N22" s="773"/>
      <c r="O22" s="187">
        <f t="shared" si="5"/>
        <v>0.1</v>
      </c>
      <c r="P22" s="153">
        <f t="shared" si="4"/>
        <v>0</v>
      </c>
      <c r="Q22" s="153">
        <f t="shared" si="0"/>
        <v>0</v>
      </c>
      <c r="R22" s="153">
        <f t="shared" si="1"/>
        <v>0</v>
      </c>
    </row>
    <row r="23" spans="2:18">
      <c r="B23" s="164"/>
      <c r="C23" s="165"/>
      <c r="D23" s="165"/>
      <c r="E23" s="166"/>
      <c r="G23" s="174"/>
      <c r="H23" s="39"/>
      <c r="I23" s="39"/>
      <c r="J23" s="175"/>
      <c r="L23" s="160">
        <f t="shared" si="2"/>
        <v>2031</v>
      </c>
      <c r="M23" s="772">
        <f t="shared" si="3"/>
        <v>0</v>
      </c>
      <c r="N23" s="773"/>
      <c r="O23" s="187">
        <f t="shared" si="5"/>
        <v>0.1</v>
      </c>
      <c r="P23" s="153">
        <f t="shared" si="4"/>
        <v>0</v>
      </c>
      <c r="Q23" s="153">
        <f t="shared" si="0"/>
        <v>0</v>
      </c>
      <c r="R23" s="153">
        <f t="shared" si="1"/>
        <v>0</v>
      </c>
    </row>
    <row r="24" spans="2:18">
      <c r="B24" s="164"/>
      <c r="C24" s="165"/>
      <c r="D24" s="165"/>
      <c r="E24" s="166"/>
      <c r="G24" s="174"/>
      <c r="H24" s="39"/>
      <c r="I24" s="39"/>
      <c r="J24" s="175"/>
      <c r="L24" s="160">
        <f t="shared" si="2"/>
        <v>2032</v>
      </c>
      <c r="M24" s="772">
        <f t="shared" si="3"/>
        <v>0</v>
      </c>
      <c r="N24" s="773"/>
      <c r="O24" s="187">
        <f t="shared" si="5"/>
        <v>0.1</v>
      </c>
      <c r="P24" s="153">
        <f t="shared" si="4"/>
        <v>0</v>
      </c>
      <c r="Q24" s="153">
        <f t="shared" si="0"/>
        <v>0</v>
      </c>
      <c r="R24" s="153">
        <f t="shared" si="1"/>
        <v>0</v>
      </c>
    </row>
    <row r="25" spans="2:18">
      <c r="B25" s="164"/>
      <c r="C25" s="165"/>
      <c r="D25" s="165"/>
      <c r="E25" s="166"/>
      <c r="G25" s="174"/>
      <c r="H25" s="39"/>
      <c r="I25" s="39"/>
      <c r="J25" s="175"/>
      <c r="L25" s="160">
        <f t="shared" si="2"/>
        <v>2033</v>
      </c>
      <c r="M25" s="772">
        <f t="shared" si="3"/>
        <v>0</v>
      </c>
      <c r="N25" s="773"/>
      <c r="O25" s="187">
        <f t="shared" si="5"/>
        <v>0.1</v>
      </c>
      <c r="P25" s="153">
        <f t="shared" si="4"/>
        <v>0</v>
      </c>
      <c r="Q25" s="153">
        <f t="shared" si="0"/>
        <v>0</v>
      </c>
      <c r="R25" s="153">
        <f t="shared" si="1"/>
        <v>0</v>
      </c>
    </row>
    <row r="26" spans="2:18">
      <c r="B26" s="164"/>
      <c r="C26" s="165"/>
      <c r="D26" s="165"/>
      <c r="E26" s="166"/>
      <c r="G26" s="174"/>
      <c r="H26" s="39"/>
      <c r="I26" s="39"/>
      <c r="J26" s="175"/>
      <c r="L26" s="160">
        <f t="shared" si="2"/>
        <v>2034</v>
      </c>
      <c r="M26" s="772">
        <f t="shared" si="3"/>
        <v>0</v>
      </c>
      <c r="N26" s="773"/>
      <c r="O26" s="187">
        <f t="shared" si="5"/>
        <v>0.1</v>
      </c>
      <c r="P26" s="153">
        <f t="shared" si="4"/>
        <v>0</v>
      </c>
      <c r="Q26" s="153">
        <f t="shared" si="0"/>
        <v>0</v>
      </c>
      <c r="R26" s="153">
        <f t="shared" si="1"/>
        <v>0</v>
      </c>
    </row>
    <row r="27" spans="2:18">
      <c r="B27" s="164"/>
      <c r="C27" s="165"/>
      <c r="D27" s="165"/>
      <c r="E27" s="166"/>
      <c r="G27" s="174"/>
      <c r="H27" s="39"/>
      <c r="I27" s="39"/>
      <c r="J27" s="175"/>
      <c r="L27" s="160">
        <f t="shared" si="2"/>
        <v>2035</v>
      </c>
      <c r="M27" s="772">
        <f t="shared" si="3"/>
        <v>0</v>
      </c>
      <c r="N27" s="773"/>
      <c r="O27" s="187">
        <f t="shared" si="5"/>
        <v>0.1</v>
      </c>
      <c r="P27" s="153">
        <f t="shared" si="4"/>
        <v>0</v>
      </c>
      <c r="Q27" s="153">
        <f t="shared" si="0"/>
        <v>0</v>
      </c>
      <c r="R27" s="153">
        <f t="shared" si="1"/>
        <v>0</v>
      </c>
    </row>
    <row r="28" spans="2:18">
      <c r="B28" s="164"/>
      <c r="C28" s="165"/>
      <c r="D28" s="165"/>
      <c r="E28" s="166"/>
      <c r="G28" s="174"/>
      <c r="H28" s="39"/>
      <c r="I28" s="39"/>
      <c r="J28" s="175"/>
      <c r="L28" s="160">
        <f t="shared" si="2"/>
        <v>2036</v>
      </c>
      <c r="M28" s="772">
        <f t="shared" si="3"/>
        <v>0</v>
      </c>
      <c r="N28" s="773"/>
      <c r="O28" s="187">
        <f t="shared" si="5"/>
        <v>0.1</v>
      </c>
      <c r="P28" s="153">
        <f t="shared" si="4"/>
        <v>0</v>
      </c>
      <c r="Q28" s="153">
        <f t="shared" si="0"/>
        <v>0</v>
      </c>
      <c r="R28" s="153">
        <f t="shared" si="1"/>
        <v>0</v>
      </c>
    </row>
    <row r="29" spans="2:18">
      <c r="B29" s="164"/>
      <c r="C29" s="165"/>
      <c r="D29" s="165"/>
      <c r="E29" s="166"/>
      <c r="G29" s="174"/>
      <c r="H29" s="39"/>
      <c r="I29" s="39"/>
      <c r="J29" s="175"/>
      <c r="L29" s="160">
        <f t="shared" si="2"/>
        <v>2037</v>
      </c>
      <c r="M29" s="772">
        <f t="shared" si="3"/>
        <v>0</v>
      </c>
      <c r="N29" s="773"/>
      <c r="O29" s="187">
        <f t="shared" si="5"/>
        <v>0.1</v>
      </c>
      <c r="P29" s="153">
        <f t="shared" si="4"/>
        <v>0</v>
      </c>
      <c r="Q29" s="153">
        <f t="shared" si="0"/>
        <v>0</v>
      </c>
      <c r="R29" s="153">
        <f t="shared" si="1"/>
        <v>0</v>
      </c>
    </row>
    <row r="30" spans="2:18">
      <c r="B30" s="164"/>
      <c r="C30" s="165"/>
      <c r="D30" s="165"/>
      <c r="E30" s="166"/>
      <c r="G30" s="174"/>
      <c r="H30" s="39"/>
      <c r="I30" s="39"/>
      <c r="J30" s="175"/>
      <c r="L30" s="160">
        <f t="shared" si="2"/>
        <v>2038</v>
      </c>
      <c r="M30" s="772">
        <f>IF(M29-P29&lt;0,0,M29-P29)</f>
        <v>0</v>
      </c>
      <c r="N30" s="773"/>
      <c r="O30" s="187">
        <f t="shared" si="5"/>
        <v>0.1</v>
      </c>
      <c r="P30" s="153">
        <f t="shared" si="4"/>
        <v>0</v>
      </c>
      <c r="Q30" s="153">
        <f t="shared" si="0"/>
        <v>0</v>
      </c>
      <c r="R30" s="153">
        <f t="shared" si="1"/>
        <v>0</v>
      </c>
    </row>
    <row r="31" spans="2:18">
      <c r="B31" s="164"/>
      <c r="C31" s="165"/>
      <c r="D31" s="165"/>
      <c r="E31" s="166"/>
      <c r="G31" s="174"/>
      <c r="H31" s="39"/>
      <c r="I31" s="39"/>
      <c r="J31" s="175"/>
    </row>
    <row r="32" spans="2:18">
      <c r="B32" s="164"/>
      <c r="C32" s="165"/>
      <c r="D32" s="165"/>
      <c r="E32" s="166"/>
      <c r="G32" s="174"/>
      <c r="H32" s="39"/>
      <c r="I32" s="39"/>
      <c r="J32" s="175"/>
    </row>
    <row r="33" spans="2:18">
      <c r="B33" s="164"/>
      <c r="C33" s="165"/>
      <c r="D33" s="165"/>
      <c r="E33" s="166"/>
      <c r="G33" s="174"/>
      <c r="H33" s="39"/>
      <c r="I33" s="39"/>
      <c r="J33" s="175"/>
      <c r="L33" s="161"/>
      <c r="M33" s="162"/>
      <c r="N33" s="162"/>
      <c r="O33" s="162"/>
      <c r="P33" s="162"/>
      <c r="Q33" s="162"/>
      <c r="R33" s="163"/>
    </row>
    <row r="34" spans="2:18">
      <c r="B34" s="164"/>
      <c r="C34" s="165"/>
      <c r="D34" s="165"/>
      <c r="E34" s="166"/>
      <c r="G34" s="174"/>
      <c r="H34" s="39"/>
      <c r="I34" s="39"/>
      <c r="J34" s="175"/>
      <c r="L34" s="179"/>
      <c r="M34" s="180"/>
      <c r="N34" s="180"/>
      <c r="O34" s="180"/>
      <c r="P34" s="180"/>
      <c r="Q34" s="180"/>
      <c r="R34" s="181"/>
    </row>
    <row r="35" spans="2:18">
      <c r="B35" s="164"/>
      <c r="C35" s="165"/>
      <c r="D35" s="165"/>
      <c r="E35" s="166"/>
      <c r="G35" s="174"/>
      <c r="H35" s="39"/>
      <c r="I35" s="39"/>
      <c r="J35" s="175"/>
      <c r="L35" s="179"/>
      <c r="M35" s="180"/>
      <c r="N35" s="180"/>
      <c r="O35" s="180"/>
      <c r="P35" s="180"/>
      <c r="Q35" s="180"/>
      <c r="R35" s="181"/>
    </row>
    <row r="36" spans="2:18">
      <c r="B36" s="164"/>
      <c r="C36" s="165"/>
      <c r="D36" s="165"/>
      <c r="E36" s="166"/>
      <c r="G36" s="174"/>
      <c r="H36" s="39"/>
      <c r="I36" s="39"/>
      <c r="J36" s="175"/>
      <c r="L36" s="179"/>
      <c r="M36" s="180"/>
      <c r="N36" s="180"/>
      <c r="O36" s="180"/>
      <c r="P36" s="180"/>
      <c r="Q36" s="180"/>
      <c r="R36" s="181"/>
    </row>
    <row r="37" spans="2:18">
      <c r="B37" s="164"/>
      <c r="C37" s="165"/>
      <c r="D37" s="165"/>
      <c r="E37" s="166"/>
      <c r="G37" s="174"/>
      <c r="H37" s="39"/>
      <c r="I37" s="39"/>
      <c r="J37" s="175"/>
      <c r="L37" s="179"/>
      <c r="M37" s="180"/>
      <c r="N37" s="180"/>
      <c r="O37" s="180"/>
      <c r="P37" s="180"/>
      <c r="Q37" s="180"/>
      <c r="R37" s="181"/>
    </row>
    <row r="38" spans="2:18">
      <c r="B38" s="164"/>
      <c r="C38" s="165"/>
      <c r="D38" s="165"/>
      <c r="E38" s="166"/>
      <c r="G38" s="174"/>
      <c r="H38" s="39"/>
      <c r="I38" s="39"/>
      <c r="J38" s="175"/>
      <c r="L38" s="179"/>
      <c r="M38" s="180"/>
      <c r="N38" s="180"/>
      <c r="O38" s="180"/>
      <c r="P38" s="180"/>
      <c r="Q38" s="180"/>
      <c r="R38" s="181"/>
    </row>
    <row r="39" spans="2:18">
      <c r="B39" s="164"/>
      <c r="C39" s="165"/>
      <c r="D39" s="165"/>
      <c r="E39" s="166"/>
      <c r="G39" s="174"/>
      <c r="H39" s="39"/>
      <c r="I39" s="39"/>
      <c r="J39" s="175"/>
      <c r="L39" s="179"/>
      <c r="M39" s="180"/>
      <c r="N39" s="180"/>
      <c r="O39" s="180"/>
      <c r="P39" s="180"/>
      <c r="Q39" s="180"/>
      <c r="R39" s="181"/>
    </row>
    <row r="40" spans="2:18">
      <c r="B40" s="164"/>
      <c r="C40" s="165"/>
      <c r="D40" s="165"/>
      <c r="E40" s="166"/>
      <c r="G40" s="174"/>
      <c r="H40" s="39"/>
      <c r="I40" s="39"/>
      <c r="J40" s="175"/>
      <c r="L40" s="179"/>
      <c r="M40" s="180"/>
      <c r="N40" s="180"/>
      <c r="O40" s="180"/>
      <c r="P40" s="180"/>
      <c r="Q40" s="180"/>
      <c r="R40" s="181"/>
    </row>
    <row r="41" spans="2:18">
      <c r="B41" s="167"/>
      <c r="C41" s="168"/>
      <c r="D41" s="168"/>
      <c r="E41" s="169"/>
      <c r="G41" s="176"/>
      <c r="H41" s="177"/>
      <c r="I41" s="177"/>
      <c r="J41" s="178"/>
      <c r="L41" s="182"/>
      <c r="M41" s="183"/>
      <c r="N41" s="183"/>
      <c r="O41" s="183"/>
      <c r="P41" s="183"/>
      <c r="Q41" s="183"/>
      <c r="R41" s="184"/>
    </row>
    <row r="42" spans="2:18">
      <c r="L42" s="241"/>
      <c r="M42" s="241"/>
      <c r="N42" s="241"/>
      <c r="O42" s="241"/>
      <c r="P42" s="241"/>
      <c r="Q42" s="241"/>
      <c r="R42" s="241"/>
    </row>
    <row r="43" spans="2:18">
      <c r="L43" s="220"/>
      <c r="M43" s="220"/>
      <c r="N43" s="220"/>
      <c r="O43" s="220"/>
      <c r="P43" s="220"/>
      <c r="Q43" s="220"/>
      <c r="R43" s="220"/>
    </row>
    <row r="44" spans="2:18">
      <c r="B44" s="211"/>
      <c r="L44" s="220"/>
      <c r="M44" s="220"/>
      <c r="N44" s="220"/>
      <c r="O44" s="220"/>
      <c r="P44" s="220"/>
      <c r="Q44" s="220"/>
      <c r="R44" s="220"/>
    </row>
    <row r="45" spans="2:18">
      <c r="B45" s="80"/>
    </row>
    <row r="46" spans="2:18">
      <c r="B46" s="80"/>
    </row>
  </sheetData>
  <sheetProtection algorithmName="SHA-512" hashValue="z/AP1TE40VA81+wdHopKFdFekY2DZXtL1eBtfTzdoKzC59P+EzweoK5vwKUrXmTY5k2qys1WZDXe40DC1TcQ5w==" saltValue="tNIlOUPtMM5RnMEU32AzsQ==" spinCount="100000" sheet="1" objects="1" scenarios="1" selectLockedCells="1"/>
  <mergeCells count="24">
    <mergeCell ref="P13:P15"/>
    <mergeCell ref="Q13:Q15"/>
    <mergeCell ref="R13:R15"/>
    <mergeCell ref="M30:N30"/>
    <mergeCell ref="M26:N26"/>
    <mergeCell ref="M27:N27"/>
    <mergeCell ref="M28:N28"/>
    <mergeCell ref="M29:N29"/>
    <mergeCell ref="M17:N17"/>
    <mergeCell ref="M23:N23"/>
    <mergeCell ref="M22:N22"/>
    <mergeCell ref="M24:N24"/>
    <mergeCell ref="M25:N25"/>
    <mergeCell ref="M20:N20"/>
    <mergeCell ref="M21:N21"/>
    <mergeCell ref="H7:J7"/>
    <mergeCell ref="C6:E6"/>
    <mergeCell ref="L7:N7"/>
    <mergeCell ref="M19:N19"/>
    <mergeCell ref="O13:O15"/>
    <mergeCell ref="M18:N18"/>
    <mergeCell ref="L13:L15"/>
    <mergeCell ref="M13:N15"/>
    <mergeCell ref="M16:N1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verticalDpi="4" r:id="rId1"/>
  <colBreaks count="1" manualBreakCount="1">
    <brk id="11" min="1" max="4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8</vt:i4>
      </vt:variant>
      <vt:variant>
        <vt:lpstr>Nimetyt alueet</vt:lpstr>
      </vt:variant>
      <vt:variant>
        <vt:i4>9</vt:i4>
      </vt:variant>
    </vt:vector>
  </HeadingPairs>
  <TitlesOfParts>
    <vt:vector size="17" baseType="lpstr">
      <vt:lpstr>Ohjeet</vt:lpstr>
      <vt:lpstr>T1 Taloussuunnitelma</vt:lpstr>
      <vt:lpstr>T2 Investoinnit, rahoitus</vt:lpstr>
      <vt:lpstr>T3 Kustannukset</vt:lpstr>
      <vt:lpstr>Kaavio</vt:lpstr>
      <vt:lpstr>aputaulu</vt:lpstr>
      <vt:lpstr>T4 Tuotanto</vt:lpstr>
      <vt:lpstr>Lainalaskurit</vt:lpstr>
      <vt:lpstr>'T3 Kustannukset'!Teksti37</vt:lpstr>
      <vt:lpstr>'T3 Kustannukset'!Teksti38</vt:lpstr>
      <vt:lpstr>'T3 Kustannukset'!Teksti39</vt:lpstr>
      <vt:lpstr>Lainalaskurit!Tulostusalue</vt:lpstr>
      <vt:lpstr>'T1 Taloussuunnitelma'!Tulostusalue</vt:lpstr>
      <vt:lpstr>'T2 Investoinnit, rahoitus'!Tulostusalue</vt:lpstr>
      <vt:lpstr>'T3 Kustannukset'!Tulostusalue</vt:lpstr>
      <vt:lpstr>'T4 Tuotanto'!Tulostusalue</vt:lpstr>
      <vt:lpstr>'T3 Kustannukset'!Tulostusotsikot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TalousAgri</dc:title>
  <dc:creator>Yritystulkki</dc:creator>
  <cp:lastModifiedBy>Yritystulkki</cp:lastModifiedBy>
  <cp:lastPrinted>2024-02-05T09:10:30Z</cp:lastPrinted>
  <dcterms:created xsi:type="dcterms:W3CDTF">2006-08-01T10:09:48Z</dcterms:created>
  <dcterms:modified xsi:type="dcterms:W3CDTF">2024-02-05T11:18:47Z</dcterms:modified>
</cp:coreProperties>
</file>