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opbox\AGRIn asiakasversiot\"/>
    </mc:Choice>
  </mc:AlternateContent>
  <workbookProtection workbookPassword="9675" lockStructure="1"/>
  <bookViews>
    <workbookView xWindow="-15" yWindow="6495" windowWidth="24240" windowHeight="6540" tabRatio="737"/>
  </bookViews>
  <sheets>
    <sheet name="Ohjeet" sheetId="23" r:id="rId1"/>
    <sheet name="T1 Taloussuunnitelma" sheetId="20" r:id="rId2"/>
    <sheet name="T2 Investoinnit, rahoitus" sheetId="11" r:id="rId3"/>
    <sheet name="T3 Kustannukset" sheetId="1" r:id="rId4"/>
    <sheet name="T4 Tuotanto" sheetId="2" r:id="rId5"/>
    <sheet name="Taul1" sheetId="22" state="hidden" r:id="rId6"/>
    <sheet name="aputaulu" sheetId="24" state="hidden" r:id="rId7"/>
    <sheet name="Lainalaskurit" sheetId="25" r:id="rId8"/>
    <sheet name="Taul2" sheetId="26" state="hidden" r:id="rId9"/>
  </sheets>
  <definedNames>
    <definedName name="Rahapalkat__TyEL_työntekijät">'T3 Kustannukset'!#REF!</definedName>
    <definedName name="Teksti37" localSheetId="3">'T3 Kustannukset'!$F$6</definedName>
    <definedName name="Teksti38" localSheetId="3">'T3 Kustannukset'!$F$8</definedName>
    <definedName name="Teksti39" localSheetId="3">'T3 Kustannukset'!$H$8</definedName>
    <definedName name="Teksti39">#REF!</definedName>
    <definedName name="_xlnm.Print_Area" localSheetId="7">Lainalaskurit!$B$2:$R$41</definedName>
    <definedName name="_xlnm.Print_Area" localSheetId="1">'T1 Taloussuunnitelma'!$B$2:$T$81</definedName>
    <definedName name="_xlnm.Print_Area" localSheetId="2">'T2 Investoinnit, rahoitus'!$B$1:$W$148</definedName>
    <definedName name="_xlnm.Print_Area" localSheetId="3">'T3 Kustannukset'!$B$3:$AH$89</definedName>
    <definedName name="_xlnm.Print_Area" localSheetId="4">'T4 Tuotanto'!$B$1:$V$79</definedName>
    <definedName name="_xlnm.Print_Titles" localSheetId="3">'T3 Kustannukset'!$2:$8</definedName>
  </definedNames>
  <calcPr calcId="152511" fullCalcOnLoad="1"/>
</workbook>
</file>

<file path=xl/calcChain.xml><?xml version="1.0" encoding="utf-8"?>
<calcChain xmlns="http://schemas.openxmlformats.org/spreadsheetml/2006/main">
  <c r="F35" i="1" l="1"/>
  <c r="E48" i="2"/>
  <c r="E81" i="2"/>
  <c r="E60" i="2"/>
  <c r="G32" i="20"/>
  <c r="H21" i="1"/>
  <c r="J21" i="1"/>
  <c r="H24" i="1"/>
  <c r="J24" i="1"/>
  <c r="L24" i="1"/>
  <c r="N24" i="1"/>
  <c r="P24" i="1"/>
  <c r="D42" i="1"/>
  <c r="D48" i="1"/>
  <c r="F50" i="1"/>
  <c r="F66" i="1"/>
  <c r="V66" i="1"/>
  <c r="W66" i="1"/>
  <c r="X66" i="1"/>
  <c r="Y66" i="1"/>
  <c r="Z66" i="1"/>
  <c r="AA66" i="1"/>
  <c r="F32" i="1"/>
  <c r="H31" i="1"/>
  <c r="W34" i="1"/>
  <c r="H34" i="1"/>
  <c r="H33" i="1"/>
  <c r="J33" i="1"/>
  <c r="F29" i="1"/>
  <c r="W31" i="1"/>
  <c r="X31" i="1"/>
  <c r="Y31" i="1"/>
  <c r="Z31" i="1"/>
  <c r="AA31" i="1"/>
  <c r="H30" i="1"/>
  <c r="T81" i="20"/>
  <c r="W47" i="1"/>
  <c r="X47" i="1"/>
  <c r="Y47" i="1"/>
  <c r="Z47" i="1"/>
  <c r="AA47" i="1"/>
  <c r="F69" i="1"/>
  <c r="D68" i="1"/>
  <c r="F70" i="1"/>
  <c r="H70" i="1"/>
  <c r="J70" i="1"/>
  <c r="L70" i="1"/>
  <c r="N70" i="1"/>
  <c r="P70" i="1"/>
  <c r="R70" i="1"/>
  <c r="D81" i="2"/>
  <c r="D73" i="2"/>
  <c r="E73" i="2"/>
  <c r="D69" i="2"/>
  <c r="E69" i="2"/>
  <c r="F69" i="2"/>
  <c r="G69" i="2"/>
  <c r="H69" i="2"/>
  <c r="I69" i="2"/>
  <c r="J69" i="2"/>
  <c r="K69" i="2"/>
  <c r="D67" i="2"/>
  <c r="E67" i="2"/>
  <c r="E66" i="2"/>
  <c r="F66" i="2"/>
  <c r="G66" i="2"/>
  <c r="H66" i="2"/>
  <c r="I66" i="2"/>
  <c r="J66" i="2"/>
  <c r="K66" i="2"/>
  <c r="D75" i="2"/>
  <c r="E75" i="2"/>
  <c r="F75" i="2"/>
  <c r="G75" i="2"/>
  <c r="H75" i="2"/>
  <c r="I75" i="2"/>
  <c r="J75" i="2"/>
  <c r="K75" i="2"/>
  <c r="E72" i="2"/>
  <c r="F72" i="2"/>
  <c r="G72" i="2"/>
  <c r="H72" i="2"/>
  <c r="I72" i="2"/>
  <c r="J72" i="2"/>
  <c r="K72" i="2"/>
  <c r="D63" i="2"/>
  <c r="E63" i="2"/>
  <c r="F63" i="2"/>
  <c r="G63" i="2"/>
  <c r="H63" i="2"/>
  <c r="I63" i="2"/>
  <c r="J63" i="2"/>
  <c r="K63" i="2"/>
  <c r="D61" i="2"/>
  <c r="E61" i="2"/>
  <c r="F60" i="2"/>
  <c r="G60" i="2"/>
  <c r="D57" i="2"/>
  <c r="E57" i="2"/>
  <c r="F57" i="2"/>
  <c r="G57" i="2"/>
  <c r="H57" i="2"/>
  <c r="I57" i="2"/>
  <c r="J57" i="2"/>
  <c r="K57" i="2"/>
  <c r="D55" i="2"/>
  <c r="E55" i="2"/>
  <c r="E54" i="2"/>
  <c r="F54" i="2"/>
  <c r="G54" i="2"/>
  <c r="H54" i="2"/>
  <c r="I54" i="2"/>
  <c r="J54" i="2"/>
  <c r="K54" i="2"/>
  <c r="D49" i="2"/>
  <c r="E49" i="2"/>
  <c r="F49" i="2"/>
  <c r="G49" i="2"/>
  <c r="H49" i="2"/>
  <c r="I49" i="2"/>
  <c r="J49" i="2"/>
  <c r="K49" i="2"/>
  <c r="I23" i="11"/>
  <c r="G23" i="11"/>
  <c r="H23" i="11"/>
  <c r="E15" i="2"/>
  <c r="F15" i="2"/>
  <c r="G15" i="2"/>
  <c r="F52" i="1"/>
  <c r="F15" i="1"/>
  <c r="H15" i="1"/>
  <c r="W15" i="1"/>
  <c r="X15" i="1"/>
  <c r="Y15" i="1"/>
  <c r="Z15" i="1"/>
  <c r="AA15" i="1"/>
  <c r="F67" i="1"/>
  <c r="D65" i="1"/>
  <c r="F64" i="1"/>
  <c r="F63" i="1"/>
  <c r="F62" i="1"/>
  <c r="V64" i="1"/>
  <c r="W64" i="1"/>
  <c r="X64" i="1"/>
  <c r="Y64" i="1"/>
  <c r="Z64" i="1"/>
  <c r="AA64" i="1"/>
  <c r="V63" i="1"/>
  <c r="W63" i="1"/>
  <c r="X63" i="1"/>
  <c r="Y63" i="1"/>
  <c r="Z63" i="1"/>
  <c r="AA63" i="1"/>
  <c r="V62" i="1"/>
  <c r="W62" i="1"/>
  <c r="X62" i="1"/>
  <c r="Y62" i="1"/>
  <c r="Z62" i="1"/>
  <c r="AA62" i="1"/>
  <c r="H25" i="1"/>
  <c r="H22" i="1"/>
  <c r="H47" i="1"/>
  <c r="H41" i="1"/>
  <c r="W41" i="1"/>
  <c r="H38" i="1"/>
  <c r="J38" i="1"/>
  <c r="L38" i="1"/>
  <c r="N38" i="1"/>
  <c r="P38" i="1"/>
  <c r="R38" i="1"/>
  <c r="H40" i="1"/>
  <c r="J40" i="1"/>
  <c r="L40" i="1"/>
  <c r="N40" i="1"/>
  <c r="P40" i="1"/>
  <c r="R40" i="1"/>
  <c r="H39" i="1"/>
  <c r="J39" i="1"/>
  <c r="L39" i="1"/>
  <c r="N39" i="1"/>
  <c r="P39" i="1"/>
  <c r="R39" i="1"/>
  <c r="H37" i="1"/>
  <c r="J37" i="1"/>
  <c r="L37" i="1"/>
  <c r="N37" i="1"/>
  <c r="P37" i="1"/>
  <c r="R37" i="1"/>
  <c r="H36" i="1"/>
  <c r="W36" i="1"/>
  <c r="X36" i="1"/>
  <c r="Y36" i="1"/>
  <c r="Z36" i="1"/>
  <c r="AA36" i="1"/>
  <c r="H46" i="1"/>
  <c r="J46" i="1"/>
  <c r="L46" i="1"/>
  <c r="N46" i="1"/>
  <c r="P46" i="1"/>
  <c r="R46" i="1"/>
  <c r="F76" i="1"/>
  <c r="F75" i="1"/>
  <c r="F74" i="1"/>
  <c r="F73" i="1"/>
  <c r="F72" i="1"/>
  <c r="F71" i="1"/>
  <c r="F54" i="1"/>
  <c r="F53" i="1"/>
  <c r="F49" i="1"/>
  <c r="H28" i="1"/>
  <c r="H27" i="1"/>
  <c r="J27" i="1"/>
  <c r="L27" i="1"/>
  <c r="N27" i="1"/>
  <c r="P27" i="1"/>
  <c r="R27" i="1"/>
  <c r="V50" i="1"/>
  <c r="W50" i="1"/>
  <c r="X50" i="1"/>
  <c r="Y50" i="1"/>
  <c r="Z50" i="1"/>
  <c r="AA50" i="1"/>
  <c r="V49" i="1"/>
  <c r="W49" i="1"/>
  <c r="X49" i="1"/>
  <c r="Y49" i="1"/>
  <c r="Z49" i="1"/>
  <c r="AA49" i="1"/>
  <c r="V54" i="1"/>
  <c r="W54" i="1"/>
  <c r="X54" i="1"/>
  <c r="Y54" i="1"/>
  <c r="Z54" i="1"/>
  <c r="AA54" i="1"/>
  <c r="V53" i="1"/>
  <c r="W53" i="1"/>
  <c r="X53" i="1"/>
  <c r="Y53" i="1"/>
  <c r="Z53" i="1"/>
  <c r="AA53" i="1"/>
  <c r="V52" i="1"/>
  <c r="W52" i="1"/>
  <c r="X52" i="1"/>
  <c r="Y52" i="1"/>
  <c r="Z52" i="1"/>
  <c r="AA52" i="1"/>
  <c r="V76" i="1"/>
  <c r="W76" i="1"/>
  <c r="X76" i="1"/>
  <c r="Y76" i="1"/>
  <c r="Z76" i="1"/>
  <c r="AA76" i="1"/>
  <c r="V75" i="1"/>
  <c r="W75" i="1"/>
  <c r="X75" i="1"/>
  <c r="Y75" i="1"/>
  <c r="Z75" i="1"/>
  <c r="AA75" i="1"/>
  <c r="V74" i="1"/>
  <c r="W74" i="1"/>
  <c r="X74" i="1"/>
  <c r="Y74" i="1"/>
  <c r="Z74" i="1"/>
  <c r="AA74" i="1"/>
  <c r="V73" i="1"/>
  <c r="W73" i="1"/>
  <c r="V72" i="1"/>
  <c r="W72" i="1"/>
  <c r="X72" i="1"/>
  <c r="Y72" i="1"/>
  <c r="Z72" i="1"/>
  <c r="AA72" i="1"/>
  <c r="V71" i="1"/>
  <c r="W71" i="1"/>
  <c r="X71" i="1"/>
  <c r="Y71" i="1"/>
  <c r="Z71" i="1"/>
  <c r="AA71" i="1"/>
  <c r="V69" i="1"/>
  <c r="W69" i="1"/>
  <c r="X69" i="1"/>
  <c r="Y69" i="1"/>
  <c r="Z69" i="1"/>
  <c r="AA69" i="1"/>
  <c r="W57" i="1"/>
  <c r="X57" i="1"/>
  <c r="Y57" i="1"/>
  <c r="Z57" i="1"/>
  <c r="AA57" i="1"/>
  <c r="W14" i="1"/>
  <c r="X14" i="1"/>
  <c r="Y14" i="1"/>
  <c r="Z14" i="1"/>
  <c r="AA14" i="1"/>
  <c r="W11" i="1"/>
  <c r="X11" i="1"/>
  <c r="Y11" i="1"/>
  <c r="Z11" i="1"/>
  <c r="AA11" i="1"/>
  <c r="W28" i="1"/>
  <c r="X28" i="1"/>
  <c r="W25" i="1"/>
  <c r="W22" i="1"/>
  <c r="X22" i="1"/>
  <c r="Y22" i="1"/>
  <c r="Z22" i="1"/>
  <c r="AA22" i="1"/>
  <c r="H19" i="1"/>
  <c r="H17" i="1"/>
  <c r="H18" i="1"/>
  <c r="J18" i="1"/>
  <c r="L18" i="1"/>
  <c r="W19" i="1"/>
  <c r="F26" i="1"/>
  <c r="F17" i="1"/>
  <c r="F23" i="1"/>
  <c r="F20" i="1"/>
  <c r="F55" i="1"/>
  <c r="H55" i="1"/>
  <c r="J55" i="1"/>
  <c r="L55" i="1"/>
  <c r="N55" i="1"/>
  <c r="P55" i="1"/>
  <c r="R55" i="1"/>
  <c r="G30" i="11"/>
  <c r="O10" i="25"/>
  <c r="C12" i="25"/>
  <c r="D12" i="25"/>
  <c r="E12" i="25"/>
  <c r="E14" i="25"/>
  <c r="E16" i="25"/>
  <c r="H13" i="25"/>
  <c r="I13" i="25"/>
  <c r="J13" i="25"/>
  <c r="C14" i="25"/>
  <c r="D14" i="25"/>
  <c r="D16" i="25"/>
  <c r="C15" i="25"/>
  <c r="D15" i="25"/>
  <c r="E15" i="25"/>
  <c r="H15" i="25"/>
  <c r="I15" i="25"/>
  <c r="J15" i="25"/>
  <c r="C16" i="25"/>
  <c r="M16" i="25"/>
  <c r="Q16" i="25"/>
  <c r="R16" i="25"/>
  <c r="P16" i="25"/>
  <c r="L17" i="25"/>
  <c r="L18" i="25"/>
  <c r="M17" i="25"/>
  <c r="P17" i="25"/>
  <c r="E3" i="24"/>
  <c r="E50" i="24"/>
  <c r="B4" i="24"/>
  <c r="F4" i="24"/>
  <c r="F10" i="24"/>
  <c r="G10" i="24"/>
  <c r="G11" i="24"/>
  <c r="G4" i="24"/>
  <c r="H4" i="24"/>
  <c r="I4" i="24"/>
  <c r="J4" i="24"/>
  <c r="K4" i="24"/>
  <c r="L4" i="24"/>
  <c r="F5" i="24"/>
  <c r="F9" i="24"/>
  <c r="F8" i="24"/>
  <c r="F55" i="11"/>
  <c r="F6" i="24"/>
  <c r="F7" i="24"/>
  <c r="B15" i="24"/>
  <c r="F15" i="24"/>
  <c r="F21" i="24"/>
  <c r="F22" i="24"/>
  <c r="F25" i="24"/>
  <c r="G15" i="24"/>
  <c r="H15" i="24"/>
  <c r="I15" i="24"/>
  <c r="J15" i="24"/>
  <c r="K15" i="24"/>
  <c r="L15" i="24"/>
  <c r="F16" i="24"/>
  <c r="F17" i="24"/>
  <c r="F18" i="24"/>
  <c r="F20" i="24"/>
  <c r="F19" i="24"/>
  <c r="F62" i="11"/>
  <c r="B26" i="24"/>
  <c r="F26" i="24"/>
  <c r="F32" i="24"/>
  <c r="G32" i="24"/>
  <c r="G26" i="24"/>
  <c r="H26" i="24"/>
  <c r="I26" i="24"/>
  <c r="J26" i="24"/>
  <c r="K26" i="24"/>
  <c r="L26" i="24"/>
  <c r="F27" i="24"/>
  <c r="F28" i="24"/>
  <c r="F29" i="24"/>
  <c r="F31" i="24"/>
  <c r="F30" i="24"/>
  <c r="F69" i="11"/>
  <c r="B37" i="24"/>
  <c r="F37" i="24"/>
  <c r="F43" i="24"/>
  <c r="G37" i="24"/>
  <c r="H37" i="24"/>
  <c r="I37" i="24"/>
  <c r="J37" i="24"/>
  <c r="K37" i="24"/>
  <c r="L37" i="24"/>
  <c r="F38" i="24"/>
  <c r="F42" i="24"/>
  <c r="F41" i="24"/>
  <c r="F39" i="24"/>
  <c r="F40" i="24"/>
  <c r="B51" i="24"/>
  <c r="E51" i="24"/>
  <c r="F52" i="24"/>
  <c r="F54" i="24"/>
  <c r="F53" i="24"/>
  <c r="F119" i="11"/>
  <c r="F117" i="11"/>
  <c r="G56" i="24"/>
  <c r="H56" i="24"/>
  <c r="I56" i="24"/>
  <c r="J56" i="24"/>
  <c r="K56" i="24"/>
  <c r="L56" i="24"/>
  <c r="G57" i="24"/>
  <c r="H57" i="24"/>
  <c r="I57" i="24"/>
  <c r="J57" i="24"/>
  <c r="K57" i="24"/>
  <c r="L57" i="24"/>
  <c r="B58" i="24"/>
  <c r="E58" i="24"/>
  <c r="F59" i="24"/>
  <c r="F61" i="24"/>
  <c r="H60" i="24"/>
  <c r="H124" i="11"/>
  <c r="G62" i="24"/>
  <c r="G126" i="11"/>
  <c r="I62" i="24"/>
  <c r="I126" i="11"/>
  <c r="G63" i="24"/>
  <c r="H63" i="24"/>
  <c r="I63" i="24"/>
  <c r="J63" i="24"/>
  <c r="K63" i="24"/>
  <c r="L63" i="24"/>
  <c r="G64" i="24"/>
  <c r="H64" i="24"/>
  <c r="I64" i="24"/>
  <c r="J64" i="24"/>
  <c r="K64" i="24"/>
  <c r="L64" i="24"/>
  <c r="B65" i="24"/>
  <c r="E65" i="24"/>
  <c r="F66" i="24"/>
  <c r="F68" i="24"/>
  <c r="G67" i="24"/>
  <c r="G129" i="11"/>
  <c r="G70" i="24"/>
  <c r="H70" i="24"/>
  <c r="I70" i="24"/>
  <c r="J70" i="24"/>
  <c r="K70" i="24"/>
  <c r="L70" i="24"/>
  <c r="G71" i="24"/>
  <c r="H71" i="24"/>
  <c r="I71" i="24"/>
  <c r="J71" i="24"/>
  <c r="K71" i="24"/>
  <c r="L71" i="24"/>
  <c r="B72" i="24"/>
  <c r="E72" i="24"/>
  <c r="F73" i="24"/>
  <c r="F75" i="24"/>
  <c r="F76" i="24"/>
  <c r="F136" i="11"/>
  <c r="G77" i="24"/>
  <c r="H77" i="24"/>
  <c r="I77" i="24"/>
  <c r="J77" i="24"/>
  <c r="K77" i="24"/>
  <c r="L77" i="24"/>
  <c r="G78" i="24"/>
  <c r="H78" i="24"/>
  <c r="I78" i="24"/>
  <c r="J78" i="24"/>
  <c r="K78" i="24"/>
  <c r="L78" i="24"/>
  <c r="B79" i="24"/>
  <c r="E79" i="24"/>
  <c r="F80" i="24"/>
  <c r="F82" i="24"/>
  <c r="K83" i="24"/>
  <c r="K141" i="11"/>
  <c r="G84" i="24"/>
  <c r="H84" i="24"/>
  <c r="I84" i="24"/>
  <c r="J84" i="24"/>
  <c r="K84" i="24"/>
  <c r="L84" i="24"/>
  <c r="G85" i="24"/>
  <c r="H85" i="24"/>
  <c r="I85" i="24"/>
  <c r="J85" i="24"/>
  <c r="K85" i="24"/>
  <c r="L85" i="24"/>
  <c r="C5" i="22"/>
  <c r="C7" i="22"/>
  <c r="C13" i="22"/>
  <c r="E9" i="2"/>
  <c r="F9" i="2"/>
  <c r="G9" i="2"/>
  <c r="H9" i="2"/>
  <c r="I9" i="2"/>
  <c r="D10" i="2"/>
  <c r="E10" i="2"/>
  <c r="F10" i="2"/>
  <c r="G10" i="2"/>
  <c r="D12" i="2"/>
  <c r="E12" i="2"/>
  <c r="F12" i="2"/>
  <c r="G12" i="2"/>
  <c r="H12" i="2"/>
  <c r="I12" i="2"/>
  <c r="J12" i="2"/>
  <c r="K12" i="2"/>
  <c r="D16" i="2"/>
  <c r="E16" i="2"/>
  <c r="D18" i="2"/>
  <c r="E18" i="2"/>
  <c r="F18" i="2"/>
  <c r="G18" i="2"/>
  <c r="H18" i="2"/>
  <c r="I18" i="2"/>
  <c r="J18" i="2"/>
  <c r="K18" i="2"/>
  <c r="E21" i="2"/>
  <c r="F21" i="2"/>
  <c r="G21" i="2"/>
  <c r="H21" i="2"/>
  <c r="D22" i="2"/>
  <c r="E22" i="2"/>
  <c r="D24" i="2"/>
  <c r="E24" i="2"/>
  <c r="F24" i="2"/>
  <c r="G24" i="2"/>
  <c r="H24" i="2"/>
  <c r="I24" i="2"/>
  <c r="J24" i="2"/>
  <c r="K24" i="2"/>
  <c r="E27" i="2"/>
  <c r="D28" i="2"/>
  <c r="E28" i="2"/>
  <c r="F28" i="2"/>
  <c r="D30" i="2"/>
  <c r="E30" i="2"/>
  <c r="F30" i="2"/>
  <c r="G30" i="2"/>
  <c r="H30" i="2"/>
  <c r="I30" i="2"/>
  <c r="J30" i="2"/>
  <c r="K30" i="2"/>
  <c r="E33" i="2"/>
  <c r="F33" i="2"/>
  <c r="F35" i="2"/>
  <c r="F32" i="2"/>
  <c r="D34" i="2"/>
  <c r="E34" i="2"/>
  <c r="F34" i="2"/>
  <c r="G34" i="2"/>
  <c r="H34" i="2"/>
  <c r="I34" i="2"/>
  <c r="J34" i="2"/>
  <c r="K34" i="2"/>
  <c r="D36" i="2"/>
  <c r="F36" i="2"/>
  <c r="G36" i="2"/>
  <c r="E39" i="2"/>
  <c r="F39" i="2"/>
  <c r="G39" i="2"/>
  <c r="D40" i="2"/>
  <c r="E40" i="2"/>
  <c r="D42" i="2"/>
  <c r="F42" i="2"/>
  <c r="G42" i="2"/>
  <c r="D43" i="2"/>
  <c r="E26" i="20"/>
  <c r="D45" i="2"/>
  <c r="E45" i="2"/>
  <c r="F45" i="2"/>
  <c r="G45" i="2"/>
  <c r="H45" i="2"/>
  <c r="I45" i="2"/>
  <c r="J45" i="2"/>
  <c r="K45" i="2"/>
  <c r="D51" i="2"/>
  <c r="E51" i="2"/>
  <c r="F51" i="2"/>
  <c r="G51" i="2"/>
  <c r="H51" i="2"/>
  <c r="I51" i="2"/>
  <c r="J51" i="2"/>
  <c r="K51" i="2"/>
  <c r="C79" i="2"/>
  <c r="D5" i="1"/>
  <c r="F10" i="1"/>
  <c r="H10" i="1"/>
  <c r="D11" i="1"/>
  <c r="F11" i="1"/>
  <c r="F13" i="1"/>
  <c r="H13" i="1"/>
  <c r="J13" i="1"/>
  <c r="L13" i="1"/>
  <c r="N13" i="1"/>
  <c r="D14" i="1"/>
  <c r="F14" i="1"/>
  <c r="H14" i="1"/>
  <c r="D51" i="1"/>
  <c r="D57" i="1"/>
  <c r="F57" i="1"/>
  <c r="H57" i="1"/>
  <c r="J57" i="1"/>
  <c r="F58" i="1"/>
  <c r="F59" i="1"/>
  <c r="H59" i="1"/>
  <c r="J59" i="1"/>
  <c r="L59" i="1"/>
  <c r="N59" i="1"/>
  <c r="P59" i="1"/>
  <c r="R59" i="1"/>
  <c r="F60" i="1"/>
  <c r="H60" i="1"/>
  <c r="J60" i="1"/>
  <c r="L60" i="1"/>
  <c r="N60" i="1"/>
  <c r="P60" i="1"/>
  <c r="R60" i="1"/>
  <c r="D61" i="1"/>
  <c r="D77" i="1"/>
  <c r="F78" i="1"/>
  <c r="H78" i="1"/>
  <c r="F79" i="1"/>
  <c r="H79" i="1"/>
  <c r="J79" i="1"/>
  <c r="L79" i="1"/>
  <c r="N79" i="1"/>
  <c r="P79" i="1"/>
  <c r="R79" i="1"/>
  <c r="F80" i="1"/>
  <c r="F81" i="1"/>
  <c r="H81" i="1"/>
  <c r="J81" i="1"/>
  <c r="L81" i="1"/>
  <c r="N81" i="1"/>
  <c r="P81" i="1"/>
  <c r="R81" i="1"/>
  <c r="F82" i="1"/>
  <c r="H82" i="1"/>
  <c r="J82" i="1"/>
  <c r="L82" i="1"/>
  <c r="N82" i="1"/>
  <c r="P82" i="1"/>
  <c r="R82" i="1"/>
  <c r="F83" i="1"/>
  <c r="H83" i="1"/>
  <c r="J83" i="1"/>
  <c r="L83" i="1"/>
  <c r="N83" i="1"/>
  <c r="P83" i="1"/>
  <c r="R83" i="1"/>
  <c r="F84" i="1"/>
  <c r="H84" i="1"/>
  <c r="J84" i="1"/>
  <c r="L84" i="1"/>
  <c r="N84" i="1"/>
  <c r="P84" i="1"/>
  <c r="R84" i="1"/>
  <c r="F85" i="1"/>
  <c r="H85" i="1"/>
  <c r="J85" i="1"/>
  <c r="L85" i="1"/>
  <c r="N85" i="1"/>
  <c r="P85" i="1"/>
  <c r="R85" i="1"/>
  <c r="F86" i="1"/>
  <c r="H86" i="1"/>
  <c r="J86" i="1"/>
  <c r="L86" i="1"/>
  <c r="N86" i="1"/>
  <c r="P86" i="1"/>
  <c r="R86" i="1"/>
  <c r="D89" i="1"/>
  <c r="B3" i="11"/>
  <c r="B5" i="1"/>
  <c r="E3" i="11"/>
  <c r="E4" i="2"/>
  <c r="H3" i="11"/>
  <c r="J5" i="1"/>
  <c r="E6" i="11"/>
  <c r="D8" i="1"/>
  <c r="F6" i="11"/>
  <c r="F8" i="1"/>
  <c r="U46" i="1"/>
  <c r="F9" i="11"/>
  <c r="G12" i="11"/>
  <c r="H12" i="11"/>
  <c r="I12" i="11"/>
  <c r="J12" i="11"/>
  <c r="K12" i="11"/>
  <c r="L12" i="11"/>
  <c r="F15" i="11"/>
  <c r="F19" i="11"/>
  <c r="G18" i="11"/>
  <c r="H18" i="11"/>
  <c r="I18" i="11"/>
  <c r="J18" i="11"/>
  <c r="K18" i="11"/>
  <c r="L18" i="11"/>
  <c r="F14" i="11"/>
  <c r="F25" i="11"/>
  <c r="G25" i="11"/>
  <c r="H25" i="11"/>
  <c r="I25" i="11"/>
  <c r="I84" i="11"/>
  <c r="J25" i="11"/>
  <c r="K25" i="11"/>
  <c r="L25" i="11"/>
  <c r="F29" i="11"/>
  <c r="H30" i="11"/>
  <c r="I30" i="11"/>
  <c r="G31" i="11"/>
  <c r="H31" i="11"/>
  <c r="I31" i="11"/>
  <c r="J31" i="11"/>
  <c r="K31" i="11"/>
  <c r="L31" i="11"/>
  <c r="F32" i="11"/>
  <c r="F33" i="11"/>
  <c r="F35" i="11"/>
  <c r="F39" i="11"/>
  <c r="G35" i="11"/>
  <c r="G39" i="11"/>
  <c r="H35" i="11"/>
  <c r="H38" i="11"/>
  <c r="G36" i="11"/>
  <c r="H36" i="11"/>
  <c r="I36" i="11"/>
  <c r="J36" i="11"/>
  <c r="K36" i="11"/>
  <c r="L36" i="11"/>
  <c r="G37" i="11"/>
  <c r="H37" i="11"/>
  <c r="I37" i="11"/>
  <c r="J37" i="11"/>
  <c r="K37" i="11"/>
  <c r="L37" i="11"/>
  <c r="F38" i="11"/>
  <c r="F41" i="11"/>
  <c r="G41" i="11"/>
  <c r="G44" i="11"/>
  <c r="G42" i="11"/>
  <c r="H42" i="11"/>
  <c r="I42" i="11"/>
  <c r="J42" i="11"/>
  <c r="K42" i="11"/>
  <c r="L42" i="11"/>
  <c r="G43" i="11"/>
  <c r="H43" i="11"/>
  <c r="I43" i="11"/>
  <c r="J43" i="11"/>
  <c r="K43" i="11"/>
  <c r="L43" i="11"/>
  <c r="F44" i="11"/>
  <c r="F45" i="11"/>
  <c r="F47" i="11"/>
  <c r="G48" i="11"/>
  <c r="H48" i="11"/>
  <c r="I48" i="11"/>
  <c r="J48" i="11"/>
  <c r="K48" i="11"/>
  <c r="L48" i="11"/>
  <c r="G49" i="11"/>
  <c r="H49" i="11"/>
  <c r="I49" i="11"/>
  <c r="J49" i="11"/>
  <c r="K49" i="11"/>
  <c r="L49" i="11"/>
  <c r="F50" i="11"/>
  <c r="F51" i="11"/>
  <c r="G47" i="11"/>
  <c r="G53" i="11"/>
  <c r="G6" i="24"/>
  <c r="H53" i="11"/>
  <c r="G54" i="11"/>
  <c r="G5" i="24"/>
  <c r="G9" i="24"/>
  <c r="G8" i="24"/>
  <c r="G55" i="11"/>
  <c r="G60" i="11"/>
  <c r="G17" i="24"/>
  <c r="G61" i="11"/>
  <c r="G67" i="11"/>
  <c r="G28" i="24"/>
  <c r="G68" i="11"/>
  <c r="G74" i="11"/>
  <c r="G39" i="24"/>
  <c r="H74" i="11"/>
  <c r="H39" i="24"/>
  <c r="G75" i="11"/>
  <c r="G38" i="24"/>
  <c r="G42" i="24"/>
  <c r="G41" i="24"/>
  <c r="G76" i="11"/>
  <c r="H75" i="11"/>
  <c r="I75" i="11"/>
  <c r="F81" i="11"/>
  <c r="G19" i="20"/>
  <c r="G81" i="11"/>
  <c r="H81" i="11"/>
  <c r="I81" i="11"/>
  <c r="M19" i="20"/>
  <c r="J81" i="11"/>
  <c r="K81" i="11"/>
  <c r="L81" i="11"/>
  <c r="F82" i="11"/>
  <c r="G82" i="11"/>
  <c r="H82" i="11"/>
  <c r="H83" i="11"/>
  <c r="F84" i="11"/>
  <c r="G84" i="11"/>
  <c r="G83" i="11"/>
  <c r="I21" i="20"/>
  <c r="I22" i="20"/>
  <c r="H84" i="11"/>
  <c r="J84" i="11"/>
  <c r="K84" i="11"/>
  <c r="L84" i="11"/>
  <c r="F88" i="11"/>
  <c r="F91" i="11"/>
  <c r="G89" i="11"/>
  <c r="H89" i="11"/>
  <c r="I89" i="11"/>
  <c r="J89" i="11"/>
  <c r="K89" i="11"/>
  <c r="L89" i="11"/>
  <c r="G90" i="11"/>
  <c r="H90" i="11"/>
  <c r="I90" i="11"/>
  <c r="J90" i="11"/>
  <c r="K90" i="11"/>
  <c r="L90" i="11"/>
  <c r="F93" i="11"/>
  <c r="F92" i="11"/>
  <c r="G93" i="11"/>
  <c r="G94" i="11"/>
  <c r="H94" i="11"/>
  <c r="I94" i="11"/>
  <c r="J94" i="11"/>
  <c r="K94" i="11"/>
  <c r="L94" i="11"/>
  <c r="G95" i="11"/>
  <c r="H95" i="11"/>
  <c r="I95" i="11"/>
  <c r="J95" i="11"/>
  <c r="K95" i="11"/>
  <c r="L95" i="11"/>
  <c r="F96" i="11"/>
  <c r="F98" i="11"/>
  <c r="F97" i="11"/>
  <c r="G98" i="11"/>
  <c r="G97" i="11"/>
  <c r="H98" i="11"/>
  <c r="G99" i="11"/>
  <c r="H99" i="11"/>
  <c r="I99" i="11"/>
  <c r="G100" i="11"/>
  <c r="H100" i="11"/>
  <c r="I100" i="11"/>
  <c r="J100" i="11"/>
  <c r="K100" i="11"/>
  <c r="L100" i="11"/>
  <c r="F101" i="11"/>
  <c r="G103" i="11"/>
  <c r="F103" i="11"/>
  <c r="F102" i="11"/>
  <c r="F106" i="11"/>
  <c r="G104" i="11"/>
  <c r="H104" i="11"/>
  <c r="I104" i="11"/>
  <c r="J104" i="11"/>
  <c r="K104" i="11"/>
  <c r="L104" i="11"/>
  <c r="G105" i="11"/>
  <c r="H105" i="11"/>
  <c r="I105" i="11"/>
  <c r="J105" i="11"/>
  <c r="K105" i="11"/>
  <c r="L105" i="11"/>
  <c r="F108" i="11"/>
  <c r="G109" i="11"/>
  <c r="H109" i="11"/>
  <c r="I109" i="11"/>
  <c r="J109" i="11"/>
  <c r="K109" i="11"/>
  <c r="L109" i="11"/>
  <c r="G110" i="11"/>
  <c r="H110" i="11"/>
  <c r="I110" i="11"/>
  <c r="J110" i="11"/>
  <c r="K110" i="11"/>
  <c r="L110" i="11"/>
  <c r="F112" i="11"/>
  <c r="G113" i="11"/>
  <c r="F113" i="11"/>
  <c r="G114" i="11"/>
  <c r="H114" i="11"/>
  <c r="I114" i="11"/>
  <c r="J114" i="11"/>
  <c r="K114" i="11"/>
  <c r="L114" i="11"/>
  <c r="G115" i="11"/>
  <c r="H115" i="11"/>
  <c r="I115" i="11"/>
  <c r="J115" i="11"/>
  <c r="K115" i="11"/>
  <c r="L115" i="11"/>
  <c r="F116" i="11"/>
  <c r="G118" i="11"/>
  <c r="G52" i="24"/>
  <c r="H118" i="11"/>
  <c r="I118" i="11"/>
  <c r="G123" i="11"/>
  <c r="G59" i="24"/>
  <c r="H123" i="11"/>
  <c r="H59" i="24"/>
  <c r="G125" i="11"/>
  <c r="G61" i="24"/>
  <c r="H125" i="11"/>
  <c r="H61" i="24"/>
  <c r="G128" i="11"/>
  <c r="G66" i="24"/>
  <c r="H128" i="11"/>
  <c r="H66" i="24"/>
  <c r="G130" i="11"/>
  <c r="G68" i="24"/>
  <c r="H130" i="11"/>
  <c r="H68" i="24"/>
  <c r="G133" i="11"/>
  <c r="H133" i="11"/>
  <c r="G138" i="11"/>
  <c r="G80" i="24"/>
  <c r="E142" i="11"/>
  <c r="C148" i="11"/>
  <c r="C89" i="1"/>
  <c r="D148" i="11"/>
  <c r="G8" i="20"/>
  <c r="I8" i="20"/>
  <c r="K8" i="20"/>
  <c r="M8" i="20"/>
  <c r="O8" i="20"/>
  <c r="Q8" i="20"/>
  <c r="S8" i="20"/>
  <c r="E9" i="20"/>
  <c r="G10" i="20"/>
  <c r="I10" i="20"/>
  <c r="K10" i="20"/>
  <c r="M10" i="20"/>
  <c r="O10" i="20"/>
  <c r="Q10" i="20"/>
  <c r="S10" i="20"/>
  <c r="S9" i="20"/>
  <c r="S15" i="20"/>
  <c r="G11" i="20"/>
  <c r="I11" i="20"/>
  <c r="I9" i="20"/>
  <c r="K11" i="20"/>
  <c r="K9" i="20"/>
  <c r="K15" i="20"/>
  <c r="M11" i="20"/>
  <c r="O11" i="20"/>
  <c r="O9" i="20"/>
  <c r="Q11" i="20"/>
  <c r="Q9" i="20"/>
  <c r="Q15" i="20"/>
  <c r="S11" i="20"/>
  <c r="G12" i="20"/>
  <c r="I12" i="20"/>
  <c r="K12" i="20"/>
  <c r="M12" i="20"/>
  <c r="O12" i="20"/>
  <c r="Q12" i="20"/>
  <c r="S12" i="20"/>
  <c r="G13" i="20"/>
  <c r="I13" i="20"/>
  <c r="K13" i="20"/>
  <c r="M13" i="20"/>
  <c r="O13" i="20"/>
  <c r="Q13" i="20"/>
  <c r="S13" i="20"/>
  <c r="E15" i="20"/>
  <c r="E17" i="20"/>
  <c r="G17" i="20"/>
  <c r="I17" i="20"/>
  <c r="K17" i="20"/>
  <c r="M17" i="20"/>
  <c r="O17" i="20"/>
  <c r="Q17" i="20"/>
  <c r="S17" i="20"/>
  <c r="G18" i="20"/>
  <c r="I18" i="20"/>
  <c r="K18" i="20"/>
  <c r="M18" i="20"/>
  <c r="O18" i="20"/>
  <c r="Q18" i="20"/>
  <c r="S18" i="20"/>
  <c r="I19" i="20"/>
  <c r="K19" i="20"/>
  <c r="O19" i="20"/>
  <c r="Q19" i="20"/>
  <c r="S19" i="20"/>
  <c r="I20" i="20"/>
  <c r="K20" i="20"/>
  <c r="K21" i="20"/>
  <c r="E25" i="20"/>
  <c r="G25" i="20"/>
  <c r="I25" i="20"/>
  <c r="K25" i="20"/>
  <c r="M25" i="20"/>
  <c r="O25" i="20"/>
  <c r="Q25" i="20"/>
  <c r="S25" i="20"/>
  <c r="E28" i="20"/>
  <c r="I28" i="20"/>
  <c r="K28" i="20"/>
  <c r="M28" i="20"/>
  <c r="O28" i="20"/>
  <c r="Q28" i="20"/>
  <c r="S28" i="20"/>
  <c r="D5" i="22"/>
  <c r="G31" i="20"/>
  <c r="I31" i="20"/>
  <c r="I32" i="20"/>
  <c r="K32" i="20"/>
  <c r="M32" i="20"/>
  <c r="O32" i="20"/>
  <c r="Q32" i="20"/>
  <c r="S32" i="20"/>
  <c r="G33" i="20"/>
  <c r="I33" i="20"/>
  <c r="K33" i="20"/>
  <c r="M33" i="20"/>
  <c r="O33" i="20"/>
  <c r="Q33" i="20"/>
  <c r="S33" i="20"/>
  <c r="G34" i="20"/>
  <c r="I34" i="20"/>
  <c r="K34" i="20"/>
  <c r="M34" i="20"/>
  <c r="O34" i="20"/>
  <c r="Q34" i="20"/>
  <c r="S34" i="20"/>
  <c r="G38" i="20"/>
  <c r="I38" i="20"/>
  <c r="K38" i="20"/>
  <c r="M38" i="20"/>
  <c r="O38" i="20"/>
  <c r="Q38" i="20"/>
  <c r="S38" i="20"/>
  <c r="C45" i="20"/>
  <c r="D45" i="20"/>
  <c r="B50" i="20"/>
  <c r="E50" i="20"/>
  <c r="J50" i="20"/>
  <c r="M50" i="20"/>
  <c r="H67" i="23"/>
  <c r="J76" i="2" s="1"/>
  <c r="E7" i="22"/>
  <c r="K31" i="20"/>
  <c r="F7" i="22"/>
  <c r="B4" i="2"/>
  <c r="D7" i="22"/>
  <c r="H4" i="2"/>
  <c r="F27" i="2"/>
  <c r="G27" i="2"/>
  <c r="H27" i="2"/>
  <c r="I27" i="2"/>
  <c r="I29" i="20"/>
  <c r="E5" i="22"/>
  <c r="H97" i="11"/>
  <c r="I98" i="11"/>
  <c r="I101" i="11"/>
  <c r="H101" i="11"/>
  <c r="G101" i="11"/>
  <c r="G96" i="11"/>
  <c r="F87" i="11"/>
  <c r="G88" i="11"/>
  <c r="G29" i="11"/>
  <c r="G32" i="11"/>
  <c r="J30" i="11"/>
  <c r="M31" i="20"/>
  <c r="G33" i="11"/>
  <c r="K30" i="11"/>
  <c r="H29" i="11"/>
  <c r="L30" i="11"/>
  <c r="F76" i="11"/>
  <c r="H38" i="24"/>
  <c r="H42" i="24"/>
  <c r="J75" i="11"/>
  <c r="I38" i="24"/>
  <c r="I42" i="24"/>
  <c r="I74" i="11"/>
  <c r="G140" i="11"/>
  <c r="G82" i="24"/>
  <c r="F81" i="24"/>
  <c r="F139" i="11"/>
  <c r="F137" i="11"/>
  <c r="F83" i="24"/>
  <c r="F141" i="11"/>
  <c r="H138" i="11"/>
  <c r="L76" i="24"/>
  <c r="L136" i="11"/>
  <c r="H73" i="24"/>
  <c r="I133" i="11"/>
  <c r="G73" i="24"/>
  <c r="G135" i="11"/>
  <c r="G75" i="24"/>
  <c r="G76" i="24"/>
  <c r="G136" i="11"/>
  <c r="I39" i="24"/>
  <c r="J74" i="11"/>
  <c r="H80" i="24"/>
  <c r="I138" i="11"/>
  <c r="H140" i="11"/>
  <c r="H82" i="24"/>
  <c r="G74" i="24"/>
  <c r="G134" i="11"/>
  <c r="H135" i="11"/>
  <c r="H75" i="24"/>
  <c r="I73" i="24"/>
  <c r="J133" i="11"/>
  <c r="H74" i="24"/>
  <c r="H134" i="11"/>
  <c r="J39" i="24"/>
  <c r="K74" i="11"/>
  <c r="H81" i="24"/>
  <c r="H139" i="11"/>
  <c r="I80" i="24"/>
  <c r="I140" i="11"/>
  <c r="I82" i="24"/>
  <c r="J138" i="11"/>
  <c r="K133" i="11"/>
  <c r="J73" i="24"/>
  <c r="I135" i="11"/>
  <c r="I75" i="24"/>
  <c r="K39" i="24"/>
  <c r="L74" i="11"/>
  <c r="L39" i="24"/>
  <c r="I83" i="24"/>
  <c r="I141" i="11"/>
  <c r="J80" i="24"/>
  <c r="K138" i="11"/>
  <c r="K140" i="11"/>
  <c r="K82" i="24"/>
  <c r="J140" i="11"/>
  <c r="J82" i="24"/>
  <c r="K73" i="24"/>
  <c r="J135" i="11"/>
  <c r="J75" i="24"/>
  <c r="J76" i="24"/>
  <c r="J136" i="11"/>
  <c r="J81" i="24"/>
  <c r="J139" i="11"/>
  <c r="L138" i="11"/>
  <c r="L140" i="11"/>
  <c r="L82" i="24"/>
  <c r="L81" i="24"/>
  <c r="L139" i="11"/>
  <c r="L80" i="24"/>
  <c r="L74" i="24"/>
  <c r="L134" i="11"/>
  <c r="H54" i="11"/>
  <c r="H5" i="24"/>
  <c r="H9" i="24"/>
  <c r="I54" i="11"/>
  <c r="K22" i="20"/>
  <c r="G21" i="24"/>
  <c r="F74" i="24"/>
  <c r="F134" i="11"/>
  <c r="F132" i="11"/>
  <c r="G132" i="11"/>
  <c r="H132" i="11"/>
  <c r="I132" i="11"/>
  <c r="K76" i="24"/>
  <c r="K136" i="11"/>
  <c r="H76" i="24"/>
  <c r="H136" i="11"/>
  <c r="I76" i="24"/>
  <c r="I136" i="11"/>
  <c r="J74" i="24"/>
  <c r="J134" i="11"/>
  <c r="L62" i="24"/>
  <c r="L126" i="11"/>
  <c r="F62" i="24"/>
  <c r="F126" i="11"/>
  <c r="L60" i="24"/>
  <c r="L124" i="11"/>
  <c r="K74" i="24"/>
  <c r="K134" i="11"/>
  <c r="I74" i="24"/>
  <c r="I134" i="11"/>
  <c r="K55" i="24"/>
  <c r="K121" i="11"/>
  <c r="G60" i="24"/>
  <c r="G124" i="11"/>
  <c r="K60" i="24"/>
  <c r="K124" i="11"/>
  <c r="H62" i="24"/>
  <c r="H126" i="11"/>
  <c r="K62" i="24"/>
  <c r="K126" i="11"/>
  <c r="F60" i="24"/>
  <c r="F124" i="11"/>
  <c r="F122" i="11"/>
  <c r="G122" i="11"/>
  <c r="H122" i="11"/>
  <c r="I122" i="11"/>
  <c r="J122" i="11"/>
  <c r="K122" i="11"/>
  <c r="J60" i="24"/>
  <c r="J124" i="11"/>
  <c r="J62" i="24"/>
  <c r="J126" i="11"/>
  <c r="I60" i="24"/>
  <c r="I124" i="11"/>
  <c r="F33" i="24"/>
  <c r="H10" i="24"/>
  <c r="F23" i="24"/>
  <c r="I10" i="24"/>
  <c r="G18" i="24"/>
  <c r="F65" i="11"/>
  <c r="J41" i="1"/>
  <c r="H73" i="1"/>
  <c r="F9" i="1"/>
  <c r="X41" i="1"/>
  <c r="Y41" i="1"/>
  <c r="Z41" i="1"/>
  <c r="AA41" i="1"/>
  <c r="H52" i="1"/>
  <c r="J47" i="1"/>
  <c r="L47" i="1"/>
  <c r="N47" i="1"/>
  <c r="P47" i="1"/>
  <c r="R47" i="1"/>
  <c r="H52" i="24"/>
  <c r="G120" i="11"/>
  <c r="G54" i="24"/>
  <c r="G53" i="24"/>
  <c r="G119" i="11"/>
  <c r="G117" i="11"/>
  <c r="H117" i="11"/>
  <c r="H120" i="11"/>
  <c r="H54" i="24"/>
  <c r="H53" i="24"/>
  <c r="H119" i="11"/>
  <c r="H55" i="24"/>
  <c r="H121" i="11"/>
  <c r="F55" i="24"/>
  <c r="F121" i="11"/>
  <c r="L55" i="24"/>
  <c r="L121" i="11"/>
  <c r="G55" i="24"/>
  <c r="G121" i="11"/>
  <c r="I120" i="11"/>
  <c r="I54" i="24"/>
  <c r="J118" i="11"/>
  <c r="I52" i="24"/>
  <c r="H49" i="1"/>
  <c r="J49" i="1"/>
  <c r="L49" i="1"/>
  <c r="N49" i="1"/>
  <c r="P49" i="1"/>
  <c r="R49" i="1"/>
  <c r="F67" i="2"/>
  <c r="G67" i="2"/>
  <c r="H67" i="2"/>
  <c r="I67" i="2"/>
  <c r="J67" i="2"/>
  <c r="K67" i="2"/>
  <c r="E68" i="2"/>
  <c r="F68" i="2"/>
  <c r="G68" i="2"/>
  <c r="H68" i="2"/>
  <c r="H65" i="2"/>
  <c r="I68" i="2"/>
  <c r="F48" i="2"/>
  <c r="G48" i="2"/>
  <c r="H48" i="2"/>
  <c r="I48" i="2"/>
  <c r="J48" i="2"/>
  <c r="K48" i="2"/>
  <c r="E11" i="2"/>
  <c r="G27" i="20"/>
  <c r="F73" i="2"/>
  <c r="G73" i="2"/>
  <c r="H73" i="2"/>
  <c r="I73" i="2"/>
  <c r="J73" i="2"/>
  <c r="K73" i="2"/>
  <c r="E74" i="2"/>
  <c r="F61" i="2"/>
  <c r="G61" i="2"/>
  <c r="H61" i="2"/>
  <c r="I61" i="2"/>
  <c r="J61" i="2"/>
  <c r="K61" i="2"/>
  <c r="E62" i="2"/>
  <c r="F62" i="2"/>
  <c r="F55" i="2"/>
  <c r="G55" i="2"/>
  <c r="H55" i="2"/>
  <c r="I55" i="2"/>
  <c r="J55" i="2"/>
  <c r="K55" i="2"/>
  <c r="E56" i="2"/>
  <c r="I21" i="2"/>
  <c r="H15" i="2"/>
  <c r="H39" i="2"/>
  <c r="I39" i="2"/>
  <c r="E29" i="2"/>
  <c r="E26" i="2"/>
  <c r="E8" i="2"/>
  <c r="E35" i="2"/>
  <c r="E32" i="2"/>
  <c r="C4" i="22"/>
  <c r="J9" i="2"/>
  <c r="F11" i="2"/>
  <c r="K29" i="20"/>
  <c r="G15" i="11"/>
  <c r="G19" i="11"/>
  <c r="J23" i="11"/>
  <c r="I82" i="11"/>
  <c r="M20" i="20"/>
  <c r="F13" i="11"/>
  <c r="G14" i="24"/>
  <c r="G12" i="24"/>
  <c r="J69" i="24"/>
  <c r="J131" i="11"/>
  <c r="F69" i="24"/>
  <c r="F131" i="11"/>
  <c r="F24" i="24"/>
  <c r="F64" i="11"/>
  <c r="F63" i="11"/>
  <c r="F34" i="24"/>
  <c r="F35" i="24"/>
  <c r="F71" i="11"/>
  <c r="F36" i="24"/>
  <c r="J132" i="11"/>
  <c r="K132" i="11"/>
  <c r="L132" i="11"/>
  <c r="F11" i="24"/>
  <c r="M9" i="20"/>
  <c r="M15" i="20"/>
  <c r="H67" i="24"/>
  <c r="H129" i="11"/>
  <c r="L67" i="24"/>
  <c r="L129" i="11"/>
  <c r="I69" i="24"/>
  <c r="I131" i="11"/>
  <c r="J67" i="24"/>
  <c r="J129" i="11"/>
  <c r="G69" i="24"/>
  <c r="G131" i="11"/>
  <c r="L69" i="24"/>
  <c r="L131" i="11"/>
  <c r="F67" i="24"/>
  <c r="F129" i="11"/>
  <c r="F127" i="11"/>
  <c r="G127" i="11"/>
  <c r="I67" i="24"/>
  <c r="I129" i="11"/>
  <c r="K67" i="24"/>
  <c r="K129" i="11"/>
  <c r="H69" i="24"/>
  <c r="H131" i="11"/>
  <c r="J10" i="24"/>
  <c r="H21" i="24"/>
  <c r="G22" i="24"/>
  <c r="K69" i="24"/>
  <c r="K131" i="11"/>
  <c r="F44" i="24"/>
  <c r="G43" i="24"/>
  <c r="H32" i="24"/>
  <c r="G33" i="24"/>
  <c r="G34" i="24"/>
  <c r="I15" i="20"/>
  <c r="L83" i="24"/>
  <c r="L141" i="11"/>
  <c r="G83" i="24"/>
  <c r="G141" i="11"/>
  <c r="G81" i="24"/>
  <c r="G139" i="11"/>
  <c r="I81" i="24"/>
  <c r="I139" i="11"/>
  <c r="K81" i="24"/>
  <c r="K139" i="11"/>
  <c r="H83" i="24"/>
  <c r="H141" i="11"/>
  <c r="J83" i="24"/>
  <c r="J141" i="11"/>
  <c r="O15" i="20"/>
  <c r="G9" i="20"/>
  <c r="G15" i="20"/>
  <c r="I53" i="24"/>
  <c r="I119" i="11"/>
  <c r="I55" i="24"/>
  <c r="I121" i="11"/>
  <c r="J55" i="24"/>
  <c r="J121" i="11"/>
  <c r="G65" i="2"/>
  <c r="F65" i="2"/>
  <c r="F74" i="2"/>
  <c r="E71" i="2"/>
  <c r="K9" i="2"/>
  <c r="J27" i="2"/>
  <c r="I27" i="20"/>
  <c r="F8" i="2"/>
  <c r="F29" i="2"/>
  <c r="F26" i="2"/>
  <c r="G28" i="2"/>
  <c r="I15" i="2"/>
  <c r="J21" i="2"/>
  <c r="M29" i="20"/>
  <c r="G5" i="22"/>
  <c r="F5" i="22"/>
  <c r="G40" i="20"/>
  <c r="F8" i="11"/>
  <c r="G9" i="11"/>
  <c r="G13" i="11"/>
  <c r="G14" i="11"/>
  <c r="H15" i="11"/>
  <c r="J82" i="11"/>
  <c r="O20" i="20"/>
  <c r="K23" i="11"/>
  <c r="L23" i="11"/>
  <c r="F12" i="24"/>
  <c r="F56" i="11"/>
  <c r="F14" i="24"/>
  <c r="I32" i="24"/>
  <c r="K10" i="24"/>
  <c r="F72" i="11"/>
  <c r="G29" i="24"/>
  <c r="G13" i="24"/>
  <c r="G57" i="11"/>
  <c r="G56" i="11"/>
  <c r="G36" i="24"/>
  <c r="I21" i="24"/>
  <c r="F45" i="24"/>
  <c r="F46" i="24"/>
  <c r="F78" i="11"/>
  <c r="F145" i="11"/>
  <c r="G43" i="20"/>
  <c r="D13" i="22"/>
  <c r="F47" i="24"/>
  <c r="J53" i="24"/>
  <c r="J119" i="11"/>
  <c r="K53" i="24"/>
  <c r="K119" i="11"/>
  <c r="H28" i="2"/>
  <c r="G29" i="2"/>
  <c r="G26" i="2"/>
  <c r="K21" i="2"/>
  <c r="J15" i="2"/>
  <c r="K15" i="2"/>
  <c r="O29" i="20"/>
  <c r="H5" i="22"/>
  <c r="H19" i="11"/>
  <c r="K82" i="11"/>
  <c r="L82" i="11"/>
  <c r="J83" i="11"/>
  <c r="O21" i="20"/>
  <c r="G72" i="11"/>
  <c r="G7" i="24"/>
  <c r="F58" i="11"/>
  <c r="J21" i="24"/>
  <c r="K21" i="24"/>
  <c r="L21" i="24"/>
  <c r="F13" i="24"/>
  <c r="F57" i="11"/>
  <c r="F77" i="11"/>
  <c r="G40" i="24"/>
  <c r="F79" i="11"/>
  <c r="J32" i="24"/>
  <c r="L53" i="24"/>
  <c r="L119" i="11"/>
  <c r="I28" i="2"/>
  <c r="H29" i="2"/>
  <c r="H26" i="2"/>
  <c r="Q29" i="20"/>
  <c r="I5" i="22"/>
  <c r="O22" i="20"/>
  <c r="Q20" i="20"/>
  <c r="K83" i="11"/>
  <c r="Q21" i="20"/>
  <c r="Q22" i="20"/>
  <c r="F80" i="11"/>
  <c r="J28" i="2"/>
  <c r="I29" i="2"/>
  <c r="I26" i="2"/>
  <c r="S29" i="20"/>
  <c r="K28" i="2"/>
  <c r="J5" i="22"/>
  <c r="H42" i="2"/>
  <c r="H36" i="2"/>
  <c r="I36" i="2"/>
  <c r="J36" i="2"/>
  <c r="K36" i="2"/>
  <c r="F81" i="2"/>
  <c r="H23" i="1"/>
  <c r="I42" i="2"/>
  <c r="J42" i="2"/>
  <c r="K42" i="2"/>
  <c r="G58" i="11"/>
  <c r="H7" i="24"/>
  <c r="H8" i="24"/>
  <c r="H55" i="11"/>
  <c r="I40" i="20"/>
  <c r="G8" i="11"/>
  <c r="H9" i="11"/>
  <c r="H14" i="11"/>
  <c r="I15" i="11"/>
  <c r="K27" i="2"/>
  <c r="K29" i="2"/>
  <c r="K26" i="2"/>
  <c r="J29" i="2"/>
  <c r="J26" i="2"/>
  <c r="G35" i="24"/>
  <c r="G71" i="11"/>
  <c r="G70" i="11"/>
  <c r="J120" i="11"/>
  <c r="J54" i="24"/>
  <c r="J52" i="24"/>
  <c r="K118" i="11"/>
  <c r="I117" i="11"/>
  <c r="J117" i="11"/>
  <c r="K117" i="11"/>
  <c r="L117" i="11"/>
  <c r="K32" i="24"/>
  <c r="G74" i="2"/>
  <c r="F71" i="2"/>
  <c r="H127" i="11"/>
  <c r="I127" i="11"/>
  <c r="J127" i="11"/>
  <c r="K127" i="11"/>
  <c r="L127" i="11"/>
  <c r="J68" i="2"/>
  <c r="I65" i="2"/>
  <c r="L122" i="11"/>
  <c r="E41" i="2"/>
  <c r="E38" i="2"/>
  <c r="F40" i="2"/>
  <c r="L83" i="11"/>
  <c r="S21" i="20"/>
  <c r="S20" i="20"/>
  <c r="S22" i="20"/>
  <c r="F70" i="11"/>
  <c r="H29" i="24"/>
  <c r="L10" i="24"/>
  <c r="H43" i="24"/>
  <c r="G44" i="24"/>
  <c r="G23" i="24"/>
  <c r="G25" i="24"/>
  <c r="J39" i="2"/>
  <c r="G33" i="2"/>
  <c r="I5" i="24"/>
  <c r="I9" i="24"/>
  <c r="J54" i="11"/>
  <c r="G137" i="11"/>
  <c r="H137" i="11"/>
  <c r="I137" i="11"/>
  <c r="J137" i="11"/>
  <c r="K137" i="11"/>
  <c r="L137" i="11"/>
  <c r="G102" i="11"/>
  <c r="H103" i="11"/>
  <c r="G106" i="11"/>
  <c r="J99" i="11"/>
  <c r="K99" i="11"/>
  <c r="L99" i="11"/>
  <c r="I97" i="11"/>
  <c r="J98" i="11"/>
  <c r="F146" i="11"/>
  <c r="G37" i="20"/>
  <c r="G20" i="20"/>
  <c r="F83" i="11"/>
  <c r="G21" i="20"/>
  <c r="G22" i="20"/>
  <c r="I83" i="11"/>
  <c r="M21" i="20"/>
  <c r="M22" i="20"/>
  <c r="F56" i="2"/>
  <c r="E53" i="2"/>
  <c r="L133" i="11"/>
  <c r="K135" i="11"/>
  <c r="K75" i="24"/>
  <c r="K75" i="11"/>
  <c r="J38" i="24"/>
  <c r="J42" i="24"/>
  <c r="G7" i="22"/>
  <c r="O31" i="20"/>
  <c r="G91" i="11"/>
  <c r="G87" i="11"/>
  <c r="H61" i="11"/>
  <c r="G16" i="24"/>
  <c r="G20" i="24"/>
  <c r="G19" i="24"/>
  <c r="G62" i="11"/>
  <c r="H33" i="11"/>
  <c r="H32" i="11"/>
  <c r="G116" i="11"/>
  <c r="G112" i="11"/>
  <c r="H113" i="11"/>
  <c r="H10" i="2"/>
  <c r="G11" i="2"/>
  <c r="E65" i="2"/>
  <c r="G27" i="24"/>
  <c r="G31" i="24"/>
  <c r="G30" i="24"/>
  <c r="G69" i="11"/>
  <c r="H68" i="11"/>
  <c r="F22" i="2"/>
  <c r="E23" i="2"/>
  <c r="E20" i="2"/>
  <c r="F16" i="2"/>
  <c r="E17" i="2"/>
  <c r="E14" i="2"/>
  <c r="K80" i="24"/>
  <c r="G92" i="11"/>
  <c r="H93" i="11"/>
  <c r="G38" i="11"/>
  <c r="G51" i="11"/>
  <c r="H47" i="11"/>
  <c r="G50" i="11"/>
  <c r="F107" i="11"/>
  <c r="G108" i="11"/>
  <c r="F111" i="11"/>
  <c r="H6" i="24"/>
  <c r="H11" i="24"/>
  <c r="I53" i="11"/>
  <c r="G45" i="11"/>
  <c r="H39" i="11"/>
  <c r="I35" i="11"/>
  <c r="B79" i="2"/>
  <c r="L19" i="25"/>
  <c r="P18" i="25"/>
  <c r="I128" i="11"/>
  <c r="I123" i="11"/>
  <c r="H67" i="11"/>
  <c r="H60" i="11"/>
  <c r="H58" i="1"/>
  <c r="M18" i="25"/>
  <c r="Q17" i="25"/>
  <c r="R17" i="25"/>
  <c r="H67" i="1"/>
  <c r="J67" i="1"/>
  <c r="L67" i="1"/>
  <c r="N67" i="1"/>
  <c r="P67" i="1"/>
  <c r="R67" i="1"/>
  <c r="I39" i="11"/>
  <c r="J35" i="11"/>
  <c r="I38" i="11"/>
  <c r="G8" i="2"/>
  <c r="K27" i="20"/>
  <c r="H17" i="24"/>
  <c r="H22" i="24"/>
  <c r="I60" i="11"/>
  <c r="H41" i="11"/>
  <c r="G111" i="11"/>
  <c r="G107" i="11"/>
  <c r="H108" i="11"/>
  <c r="H92" i="11"/>
  <c r="I93" i="11"/>
  <c r="H96" i="11"/>
  <c r="I10" i="2"/>
  <c r="H11" i="2"/>
  <c r="I29" i="11"/>
  <c r="Q31" i="20"/>
  <c r="H7" i="22"/>
  <c r="J97" i="11"/>
  <c r="K98" i="11"/>
  <c r="J101" i="11"/>
  <c r="G35" i="2"/>
  <c r="G32" i="2"/>
  <c r="H33" i="2"/>
  <c r="H44" i="24"/>
  <c r="I43" i="24"/>
  <c r="G40" i="2"/>
  <c r="F41" i="2"/>
  <c r="F38" i="2"/>
  <c r="K52" i="24"/>
  <c r="K120" i="11"/>
  <c r="K54" i="24"/>
  <c r="L118" i="11"/>
  <c r="J58" i="1"/>
  <c r="L58" i="1"/>
  <c r="H116" i="11"/>
  <c r="H112" i="11"/>
  <c r="I113" i="11"/>
  <c r="H16" i="24"/>
  <c r="H20" i="24"/>
  <c r="I61" i="11"/>
  <c r="L73" i="24"/>
  <c r="L135" i="11"/>
  <c r="L75" i="24"/>
  <c r="J5" i="24"/>
  <c r="J9" i="24"/>
  <c r="K54" i="11"/>
  <c r="G65" i="11"/>
  <c r="H19" i="24"/>
  <c r="H62" i="11"/>
  <c r="H18" i="24"/>
  <c r="K68" i="2"/>
  <c r="K65" i="2"/>
  <c r="J65" i="2"/>
  <c r="I19" i="11"/>
  <c r="I14" i="11"/>
  <c r="J15" i="11"/>
  <c r="M19" i="25"/>
  <c r="Q18" i="25"/>
  <c r="R18" i="25"/>
  <c r="I66" i="24"/>
  <c r="I130" i="11"/>
  <c r="I68" i="24"/>
  <c r="J128" i="11"/>
  <c r="H28" i="24"/>
  <c r="H33" i="24"/>
  <c r="I67" i="11"/>
  <c r="L20" i="25"/>
  <c r="P19" i="25"/>
  <c r="I6" i="24"/>
  <c r="I11" i="24"/>
  <c r="J53" i="11"/>
  <c r="G22" i="2"/>
  <c r="F23" i="2"/>
  <c r="F20" i="2"/>
  <c r="I59" i="24"/>
  <c r="I125" i="11"/>
  <c r="I61" i="24"/>
  <c r="J123" i="11"/>
  <c r="H14" i="24"/>
  <c r="H12" i="24"/>
  <c r="H51" i="11"/>
  <c r="I47" i="11"/>
  <c r="H50" i="11"/>
  <c r="H27" i="24"/>
  <c r="H31" i="24"/>
  <c r="H30" i="24"/>
  <c r="H69" i="11"/>
  <c r="I68" i="11"/>
  <c r="H88" i="11"/>
  <c r="F53" i="2"/>
  <c r="G56" i="2"/>
  <c r="K39" i="2"/>
  <c r="G63" i="11"/>
  <c r="G24" i="24"/>
  <c r="G64" i="11"/>
  <c r="L32" i="24"/>
  <c r="H13" i="11"/>
  <c r="K40" i="20"/>
  <c r="G16" i="2"/>
  <c r="F17" i="2"/>
  <c r="F14" i="2"/>
  <c r="K38" i="24"/>
  <c r="K42" i="24"/>
  <c r="L75" i="11"/>
  <c r="L38" i="24"/>
  <c r="L42" i="24"/>
  <c r="H106" i="11"/>
  <c r="H102" i="11"/>
  <c r="I103" i="11"/>
  <c r="G47" i="24"/>
  <c r="G45" i="24"/>
  <c r="F142" i="11"/>
  <c r="F144" i="11"/>
  <c r="H74" i="2"/>
  <c r="G71" i="2"/>
  <c r="J19" i="11"/>
  <c r="J14" i="11"/>
  <c r="K15" i="11"/>
  <c r="I106" i="11"/>
  <c r="I102" i="11"/>
  <c r="J103" i="11"/>
  <c r="H56" i="2"/>
  <c r="G53" i="2"/>
  <c r="I27" i="24"/>
  <c r="I31" i="24"/>
  <c r="J68" i="11"/>
  <c r="L21" i="25"/>
  <c r="P20" i="25"/>
  <c r="L54" i="11"/>
  <c r="L5" i="24"/>
  <c r="L9" i="24"/>
  <c r="K5" i="24"/>
  <c r="K9" i="24"/>
  <c r="I16" i="24"/>
  <c r="I20" i="24"/>
  <c r="J61" i="11"/>
  <c r="L52" i="24"/>
  <c r="L120" i="11"/>
  <c r="L54" i="24"/>
  <c r="G41" i="2"/>
  <c r="G38" i="2"/>
  <c r="H40" i="2"/>
  <c r="H71" i="2"/>
  <c r="I74" i="2"/>
  <c r="H58" i="11"/>
  <c r="I7" i="24"/>
  <c r="I8" i="24"/>
  <c r="I55" i="11"/>
  <c r="K53" i="11"/>
  <c r="J6" i="24"/>
  <c r="J11" i="24"/>
  <c r="I28" i="24"/>
  <c r="I33" i="24"/>
  <c r="J67" i="11"/>
  <c r="I32" i="11"/>
  <c r="I33" i="11"/>
  <c r="I96" i="11"/>
  <c r="I92" i="11"/>
  <c r="J93" i="11"/>
  <c r="H45" i="11"/>
  <c r="H44" i="11"/>
  <c r="G46" i="24"/>
  <c r="G78" i="11"/>
  <c r="G77" i="11"/>
  <c r="G146" i="11"/>
  <c r="I37" i="20"/>
  <c r="H16" i="2"/>
  <c r="G17" i="2"/>
  <c r="G14" i="2"/>
  <c r="I12" i="24"/>
  <c r="I14" i="24"/>
  <c r="I116" i="11"/>
  <c r="I112" i="11"/>
  <c r="J113" i="11"/>
  <c r="J43" i="24"/>
  <c r="I44" i="24"/>
  <c r="M27" i="20"/>
  <c r="H8" i="2"/>
  <c r="H111" i="11"/>
  <c r="H107" i="11"/>
  <c r="I108" i="11"/>
  <c r="I17" i="24"/>
  <c r="I22" i="24"/>
  <c r="J60" i="11"/>
  <c r="H87" i="11"/>
  <c r="H91" i="11"/>
  <c r="K123" i="11"/>
  <c r="J59" i="24"/>
  <c r="J125" i="11"/>
  <c r="J61" i="24"/>
  <c r="H36" i="24"/>
  <c r="H34" i="24"/>
  <c r="G79" i="11"/>
  <c r="G80" i="11"/>
  <c r="H40" i="24"/>
  <c r="H41" i="24"/>
  <c r="H76" i="11"/>
  <c r="H8" i="11"/>
  <c r="I9" i="11"/>
  <c r="G142" i="11"/>
  <c r="G144" i="11"/>
  <c r="I51" i="11"/>
  <c r="J47" i="11"/>
  <c r="I50" i="11"/>
  <c r="J66" i="24"/>
  <c r="K128" i="11"/>
  <c r="J130" i="11"/>
  <c r="J68" i="24"/>
  <c r="M20" i="25"/>
  <c r="Q19" i="25"/>
  <c r="R19" i="25"/>
  <c r="H47" i="24"/>
  <c r="H45" i="24"/>
  <c r="K97" i="11"/>
  <c r="L98" i="11"/>
  <c r="K101" i="11"/>
  <c r="I7" i="22"/>
  <c r="S31" i="20"/>
  <c r="J7" i="22"/>
  <c r="J10" i="2"/>
  <c r="I11" i="2"/>
  <c r="H23" i="24"/>
  <c r="H25" i="24"/>
  <c r="J39" i="11"/>
  <c r="K35" i="11"/>
  <c r="J38" i="11"/>
  <c r="G145" i="11"/>
  <c r="I43" i="20"/>
  <c r="E13" i="22"/>
  <c r="H56" i="11"/>
  <c r="H13" i="24"/>
  <c r="H57" i="11"/>
  <c r="H22" i="2"/>
  <c r="G23" i="2"/>
  <c r="G20" i="2"/>
  <c r="I33" i="2"/>
  <c r="H35" i="2"/>
  <c r="H32" i="2"/>
  <c r="K19" i="11"/>
  <c r="K14" i="11"/>
  <c r="L15" i="11"/>
  <c r="K10" i="2"/>
  <c r="K11" i="2"/>
  <c r="J11" i="2"/>
  <c r="I22" i="2"/>
  <c r="H23" i="2"/>
  <c r="H20" i="2"/>
  <c r="H65" i="11"/>
  <c r="I19" i="24"/>
  <c r="I62" i="11"/>
  <c r="I18" i="24"/>
  <c r="H46" i="24"/>
  <c r="H78" i="11"/>
  <c r="H77" i="11"/>
  <c r="J50" i="11"/>
  <c r="J51" i="11"/>
  <c r="K47" i="11"/>
  <c r="I8" i="11"/>
  <c r="J9" i="11"/>
  <c r="I13" i="11"/>
  <c r="M40" i="20"/>
  <c r="H70" i="11"/>
  <c r="H35" i="24"/>
  <c r="H71" i="11"/>
  <c r="H142" i="11"/>
  <c r="I88" i="11"/>
  <c r="J44" i="24"/>
  <c r="K43" i="24"/>
  <c r="I16" i="2"/>
  <c r="H17" i="2"/>
  <c r="H14" i="2"/>
  <c r="I41" i="11"/>
  <c r="K6" i="24"/>
  <c r="K11" i="24"/>
  <c r="L53" i="11"/>
  <c r="L6" i="24"/>
  <c r="L11" i="24"/>
  <c r="J74" i="2"/>
  <c r="I71" i="2"/>
  <c r="J106" i="11"/>
  <c r="J102" i="11"/>
  <c r="K103" i="11"/>
  <c r="H63" i="11"/>
  <c r="H146" i="11"/>
  <c r="K37" i="20"/>
  <c r="H24" i="24"/>
  <c r="H64" i="11"/>
  <c r="H72" i="11"/>
  <c r="H80" i="11"/>
  <c r="I29" i="24"/>
  <c r="I30" i="24"/>
  <c r="I69" i="11"/>
  <c r="J17" i="24"/>
  <c r="J22" i="24"/>
  <c r="K60" i="11"/>
  <c r="J112" i="11"/>
  <c r="K113" i="11"/>
  <c r="J116" i="11"/>
  <c r="J7" i="24"/>
  <c r="I58" i="11"/>
  <c r="J8" i="24"/>
  <c r="J55" i="11"/>
  <c r="J96" i="11"/>
  <c r="J92" i="11"/>
  <c r="K93" i="11"/>
  <c r="K67" i="11"/>
  <c r="J28" i="24"/>
  <c r="J33" i="24"/>
  <c r="L22" i="25"/>
  <c r="P21" i="25"/>
  <c r="I56" i="2"/>
  <c r="H53" i="2"/>
  <c r="H145" i="11"/>
  <c r="K43" i="20"/>
  <c r="F13" i="22"/>
  <c r="K39" i="11"/>
  <c r="L35" i="11"/>
  <c r="K38" i="11"/>
  <c r="I40" i="24"/>
  <c r="H79" i="11"/>
  <c r="I41" i="24"/>
  <c r="I76" i="11"/>
  <c r="K66" i="24"/>
  <c r="L128" i="11"/>
  <c r="K130" i="11"/>
  <c r="K68" i="24"/>
  <c r="J33" i="2"/>
  <c r="I35" i="2"/>
  <c r="I32" i="2"/>
  <c r="I8" i="2"/>
  <c r="O27" i="20"/>
  <c r="K59" i="24"/>
  <c r="L123" i="11"/>
  <c r="K125" i="11"/>
  <c r="K61" i="24"/>
  <c r="I23" i="24"/>
  <c r="I25" i="24"/>
  <c r="I13" i="24"/>
  <c r="I57" i="11"/>
  <c r="I56" i="11"/>
  <c r="I34" i="24"/>
  <c r="I36" i="24"/>
  <c r="I40" i="2"/>
  <c r="H41" i="2"/>
  <c r="H38" i="2"/>
  <c r="J16" i="24"/>
  <c r="J20" i="24"/>
  <c r="K61" i="11"/>
  <c r="J27" i="24"/>
  <c r="J31" i="24"/>
  <c r="K68" i="11"/>
  <c r="L97" i="11"/>
  <c r="L101" i="11"/>
  <c r="M21" i="25"/>
  <c r="Q20" i="25"/>
  <c r="R20" i="25"/>
  <c r="I107" i="11"/>
  <c r="J108" i="11"/>
  <c r="I111" i="11"/>
  <c r="I45" i="24"/>
  <c r="I47" i="24"/>
  <c r="J29" i="11"/>
  <c r="J14" i="24"/>
  <c r="J12" i="24"/>
  <c r="L14" i="11"/>
  <c r="L19" i="11"/>
  <c r="J32" i="11"/>
  <c r="J33" i="11"/>
  <c r="K27" i="24"/>
  <c r="K31" i="24"/>
  <c r="L68" i="11"/>
  <c r="L27" i="24"/>
  <c r="L31" i="24"/>
  <c r="J29" i="24"/>
  <c r="J30" i="24"/>
  <c r="J69" i="11"/>
  <c r="I72" i="11"/>
  <c r="L23" i="25"/>
  <c r="P22" i="25"/>
  <c r="J13" i="24"/>
  <c r="J57" i="11"/>
  <c r="J56" i="11"/>
  <c r="J41" i="24"/>
  <c r="J76" i="11"/>
  <c r="J40" i="24"/>
  <c r="I79" i="11"/>
  <c r="M22" i="25"/>
  <c r="Q21" i="25"/>
  <c r="R21" i="25"/>
  <c r="I70" i="11"/>
  <c r="I35" i="24"/>
  <c r="I71" i="11"/>
  <c r="I63" i="11"/>
  <c r="I24" i="24"/>
  <c r="I64" i="11"/>
  <c r="K33" i="2"/>
  <c r="K35" i="2"/>
  <c r="K32" i="2"/>
  <c r="J35" i="2"/>
  <c r="J32" i="2"/>
  <c r="L38" i="11"/>
  <c r="L39" i="11"/>
  <c r="J34" i="24"/>
  <c r="J36" i="24"/>
  <c r="J23" i="24"/>
  <c r="J25" i="24"/>
  <c r="K74" i="2"/>
  <c r="K71" i="2"/>
  <c r="J71" i="2"/>
  <c r="J16" i="2"/>
  <c r="I17" i="2"/>
  <c r="I14" i="2"/>
  <c r="J47" i="24"/>
  <c r="J45" i="24"/>
  <c r="K51" i="11"/>
  <c r="L47" i="11"/>
  <c r="K50" i="11"/>
  <c r="Q27" i="20"/>
  <c r="J8" i="2"/>
  <c r="I46" i="24"/>
  <c r="I78" i="11"/>
  <c r="I77" i="11"/>
  <c r="K106" i="11"/>
  <c r="K102" i="11"/>
  <c r="L103" i="11"/>
  <c r="L14" i="24"/>
  <c r="L58" i="11"/>
  <c r="L12" i="24"/>
  <c r="I87" i="11"/>
  <c r="I91" i="11"/>
  <c r="K8" i="2"/>
  <c r="S27" i="20"/>
  <c r="J58" i="11"/>
  <c r="K8" i="24"/>
  <c r="K55" i="11"/>
  <c r="K7" i="24"/>
  <c r="J56" i="2"/>
  <c r="I53" i="2"/>
  <c r="K28" i="24"/>
  <c r="K33" i="24"/>
  <c r="L67" i="11"/>
  <c r="L28" i="24"/>
  <c r="L33" i="24"/>
  <c r="J40" i="2"/>
  <c r="I41" i="2"/>
  <c r="I38" i="2"/>
  <c r="I145" i="11"/>
  <c r="M43" i="20"/>
  <c r="G13" i="22"/>
  <c r="L59" i="24"/>
  <c r="L125" i="11"/>
  <c r="L61" i="24"/>
  <c r="L66" i="24"/>
  <c r="L130" i="11"/>
  <c r="L68" i="24"/>
  <c r="K92" i="11"/>
  <c r="L93" i="11"/>
  <c r="K96" i="11"/>
  <c r="K116" i="11"/>
  <c r="K112" i="11"/>
  <c r="L113" i="11"/>
  <c r="K12" i="24"/>
  <c r="K14" i="24"/>
  <c r="I45" i="11"/>
  <c r="I44" i="11"/>
  <c r="H144" i="11"/>
  <c r="J111" i="11"/>
  <c r="J107" i="11"/>
  <c r="K108" i="11"/>
  <c r="K16" i="24"/>
  <c r="K20" i="24"/>
  <c r="L61" i="11"/>
  <c r="L16" i="24"/>
  <c r="L20" i="24"/>
  <c r="J18" i="24"/>
  <c r="J19" i="24"/>
  <c r="J62" i="11"/>
  <c r="I65" i="11"/>
  <c r="K17" i="24"/>
  <c r="K22" i="24"/>
  <c r="L60" i="11"/>
  <c r="L17" i="24"/>
  <c r="L22" i="24"/>
  <c r="L43" i="24"/>
  <c r="L44" i="24"/>
  <c r="K44" i="24"/>
  <c r="J13" i="11"/>
  <c r="O40" i="20"/>
  <c r="J22" i="2"/>
  <c r="I23" i="2"/>
  <c r="I20" i="2"/>
  <c r="L34" i="24"/>
  <c r="L36" i="24"/>
  <c r="L72" i="11"/>
  <c r="K16" i="2"/>
  <c r="K17" i="2"/>
  <c r="K14" i="2"/>
  <c r="J17" i="2"/>
  <c r="J14" i="2"/>
  <c r="J8" i="11"/>
  <c r="K9" i="11"/>
  <c r="K107" i="11"/>
  <c r="L108" i="11"/>
  <c r="K111" i="11"/>
  <c r="J41" i="11"/>
  <c r="I80" i="11"/>
  <c r="K34" i="24"/>
  <c r="K36" i="24"/>
  <c r="I146" i="11"/>
  <c r="M37" i="20"/>
  <c r="L102" i="11"/>
  <c r="L106" i="11"/>
  <c r="J77" i="11"/>
  <c r="J46" i="24"/>
  <c r="J78" i="11"/>
  <c r="J24" i="24"/>
  <c r="J64" i="11"/>
  <c r="J145" i="11"/>
  <c r="O43" i="20"/>
  <c r="H13" i="22"/>
  <c r="J63" i="11"/>
  <c r="K29" i="11"/>
  <c r="L23" i="24"/>
  <c r="L25" i="24"/>
  <c r="L65" i="11"/>
  <c r="K58" i="11"/>
  <c r="L8" i="24"/>
  <c r="L55" i="11"/>
  <c r="L7" i="24"/>
  <c r="K40" i="2"/>
  <c r="K41" i="2"/>
  <c r="K38" i="2"/>
  <c r="J41" i="2"/>
  <c r="J38" i="2"/>
  <c r="J72" i="11"/>
  <c r="K30" i="24"/>
  <c r="K69" i="11"/>
  <c r="K29" i="24"/>
  <c r="K45" i="24"/>
  <c r="K47" i="24"/>
  <c r="J88" i="11"/>
  <c r="I142" i="11"/>
  <c r="I144" i="11"/>
  <c r="K40" i="24"/>
  <c r="K41" i="24"/>
  <c r="K76" i="11"/>
  <c r="J79" i="11"/>
  <c r="K22" i="2"/>
  <c r="K23" i="2"/>
  <c r="K20" i="2"/>
  <c r="J23" i="2"/>
  <c r="J20" i="2"/>
  <c r="L47" i="24"/>
  <c r="L79" i="11"/>
  <c r="L45" i="24"/>
  <c r="K25" i="24"/>
  <c r="K23" i="24"/>
  <c r="K13" i="24"/>
  <c r="K57" i="11"/>
  <c r="K56" i="11"/>
  <c r="L96" i="11"/>
  <c r="L92" i="11"/>
  <c r="K56" i="2"/>
  <c r="K53" i="2"/>
  <c r="J53" i="2"/>
  <c r="L13" i="24"/>
  <c r="L57" i="11"/>
  <c r="L56" i="11"/>
  <c r="J35" i="24"/>
  <c r="J71" i="11"/>
  <c r="J70" i="11"/>
  <c r="Q22" i="25"/>
  <c r="R22" i="25"/>
  <c r="M23" i="25"/>
  <c r="M12" i="24"/>
  <c r="P23" i="25"/>
  <c r="L24" i="25"/>
  <c r="L116" i="11"/>
  <c r="L112" i="11"/>
  <c r="L51" i="11"/>
  <c r="L50" i="11"/>
  <c r="K19" i="24"/>
  <c r="K62" i="11"/>
  <c r="J65" i="11"/>
  <c r="K18" i="24"/>
  <c r="L18" i="24"/>
  <c r="K65" i="11"/>
  <c r="L19" i="24"/>
  <c r="L62" i="11"/>
  <c r="L41" i="24"/>
  <c r="L76" i="11"/>
  <c r="L40" i="24"/>
  <c r="K79" i="11"/>
  <c r="K13" i="11"/>
  <c r="Q40" i="20"/>
  <c r="L70" i="11"/>
  <c r="L35" i="24"/>
  <c r="L71" i="11"/>
  <c r="K77" i="11"/>
  <c r="K46" i="24"/>
  <c r="K78" i="11"/>
  <c r="K32" i="11"/>
  <c r="K33" i="11"/>
  <c r="J45" i="11"/>
  <c r="J44" i="11"/>
  <c r="M24" i="25"/>
  <c r="Q23" i="25"/>
  <c r="R23" i="25"/>
  <c r="L77" i="11"/>
  <c r="L46" i="24"/>
  <c r="L78" i="11"/>
  <c r="L25" i="25"/>
  <c r="P24" i="25"/>
  <c r="L29" i="24"/>
  <c r="K72" i="11"/>
  <c r="L30" i="24"/>
  <c r="L69" i="11"/>
  <c r="K63" i="11"/>
  <c r="K24" i="24"/>
  <c r="K64" i="11"/>
  <c r="K145" i="11"/>
  <c r="Q43" i="20"/>
  <c r="I13" i="22"/>
  <c r="J87" i="11"/>
  <c r="J91" i="11"/>
  <c r="J146" i="11"/>
  <c r="O37" i="20"/>
  <c r="L24" i="24"/>
  <c r="L64" i="11"/>
  <c r="L145" i="11"/>
  <c r="S43" i="20"/>
  <c r="J13" i="22"/>
  <c r="L63" i="11"/>
  <c r="K35" i="24"/>
  <c r="K71" i="11"/>
  <c r="K70" i="11"/>
  <c r="L111" i="11"/>
  <c r="L107" i="11"/>
  <c r="K8" i="11"/>
  <c r="L9" i="11"/>
  <c r="K88" i="11"/>
  <c r="J142" i="11"/>
  <c r="L29" i="11"/>
  <c r="K41" i="11"/>
  <c r="J80" i="11"/>
  <c r="L13" i="11"/>
  <c r="S40" i="20"/>
  <c r="L26" i="25"/>
  <c r="P25" i="25"/>
  <c r="M25" i="25"/>
  <c r="Q24" i="25"/>
  <c r="R24" i="25"/>
  <c r="L27" i="25"/>
  <c r="P26" i="25"/>
  <c r="K44" i="11"/>
  <c r="K45" i="11"/>
  <c r="L32" i="11"/>
  <c r="L33" i="11"/>
  <c r="J144" i="11"/>
  <c r="M26" i="25"/>
  <c r="Q25" i="25"/>
  <c r="R25" i="25"/>
  <c r="L8" i="11"/>
  <c r="K91" i="11"/>
  <c r="K146" i="11"/>
  <c r="Q37" i="20"/>
  <c r="K87" i="11"/>
  <c r="L88" i="11"/>
  <c r="K142" i="11"/>
  <c r="Q26" i="25"/>
  <c r="R26" i="25"/>
  <c r="M27" i="25"/>
  <c r="L41" i="11"/>
  <c r="K80" i="11"/>
  <c r="P27" i="25"/>
  <c r="L28" i="25"/>
  <c r="M28" i="25"/>
  <c r="Q27" i="25"/>
  <c r="R27" i="25"/>
  <c r="L29" i="25"/>
  <c r="P28" i="25"/>
  <c r="K144" i="11"/>
  <c r="L45" i="11"/>
  <c r="L80" i="11"/>
  <c r="L44" i="11"/>
  <c r="L87" i="11"/>
  <c r="L142" i="11"/>
  <c r="L91" i="11"/>
  <c r="L144" i="11"/>
  <c r="L30" i="25"/>
  <c r="P30" i="25"/>
  <c r="P29" i="25"/>
  <c r="L146" i="11"/>
  <c r="S37" i="20"/>
  <c r="M29" i="25"/>
  <c r="Q28" i="25"/>
  <c r="R28" i="25"/>
  <c r="M30" i="25"/>
  <c r="Q30" i="25"/>
  <c r="R30" i="25"/>
  <c r="Q29" i="25"/>
  <c r="R29" i="25"/>
  <c r="E50" i="2"/>
  <c r="G62" i="2"/>
  <c r="F59" i="2"/>
  <c r="G81" i="2"/>
  <c r="H60" i="2"/>
  <c r="E59" i="2"/>
  <c r="E47" i="2"/>
  <c r="F50" i="2"/>
  <c r="G59" i="2"/>
  <c r="H62" i="2"/>
  <c r="I60" i="2"/>
  <c r="H81" i="2"/>
  <c r="G50" i="2"/>
  <c r="F47" i="2"/>
  <c r="H59" i="2"/>
  <c r="I62" i="2"/>
  <c r="I81" i="2"/>
  <c r="J60" i="2"/>
  <c r="G47" i="2"/>
  <c r="H50" i="2"/>
  <c r="J81" i="2"/>
  <c r="K60" i="2"/>
  <c r="K81" i="2"/>
  <c r="I59" i="2"/>
  <c r="J62" i="2"/>
  <c r="I50" i="2"/>
  <c r="H47" i="2"/>
  <c r="J59" i="2"/>
  <c r="K62" i="2"/>
  <c r="K59" i="2"/>
  <c r="I47" i="2"/>
  <c r="J50" i="2"/>
  <c r="J47" i="2"/>
  <c r="K50" i="2"/>
  <c r="K47" i="2"/>
  <c r="F16" i="1"/>
  <c r="H26" i="1"/>
  <c r="H20" i="1"/>
  <c r="H16" i="1"/>
  <c r="H29" i="1"/>
  <c r="J28" i="1"/>
  <c r="J26" i="1"/>
  <c r="F45" i="1"/>
  <c r="H62" i="1"/>
  <c r="H32" i="1"/>
  <c r="F43" i="1"/>
  <c r="J31" i="1"/>
  <c r="L31" i="1"/>
  <c r="N31" i="1"/>
  <c r="P31" i="1"/>
  <c r="R31" i="1"/>
  <c r="F65" i="1"/>
  <c r="H64" i="1"/>
  <c r="J64" i="1"/>
  <c r="L64" i="1"/>
  <c r="N64" i="1"/>
  <c r="P64" i="1"/>
  <c r="R64" i="1"/>
  <c r="H74" i="1"/>
  <c r="H50" i="1"/>
  <c r="J50" i="1"/>
  <c r="L50" i="1"/>
  <c r="N50" i="1"/>
  <c r="P50" i="1"/>
  <c r="R50" i="1"/>
  <c r="H75" i="1"/>
  <c r="J75" i="1"/>
  <c r="L75" i="1"/>
  <c r="N75" i="1"/>
  <c r="P75" i="1"/>
  <c r="R75" i="1"/>
  <c r="H76" i="1"/>
  <c r="J76" i="1"/>
  <c r="L76" i="1"/>
  <c r="N76" i="1"/>
  <c r="P76" i="1"/>
  <c r="R76" i="1"/>
  <c r="F56" i="1"/>
  <c r="F12" i="1"/>
  <c r="H54" i="1"/>
  <c r="J54" i="1"/>
  <c r="L54" i="1"/>
  <c r="N54" i="1"/>
  <c r="P54" i="1"/>
  <c r="R54" i="1"/>
  <c r="J15" i="1"/>
  <c r="L15" i="1"/>
  <c r="N15" i="1"/>
  <c r="P15" i="1"/>
  <c r="R15" i="1"/>
  <c r="F68" i="1"/>
  <c r="H66" i="1"/>
  <c r="J66" i="1"/>
  <c r="J14" i="1"/>
  <c r="J12" i="1"/>
  <c r="H63" i="1"/>
  <c r="H61" i="1"/>
  <c r="L57" i="1"/>
  <c r="N57" i="1"/>
  <c r="P57" i="1"/>
  <c r="R57" i="1"/>
  <c r="J56" i="1"/>
  <c r="J73" i="1"/>
  <c r="X73" i="1"/>
  <c r="Y73" i="1"/>
  <c r="Z73" i="1"/>
  <c r="AA73" i="1"/>
  <c r="N58" i="1"/>
  <c r="H72" i="1"/>
  <c r="J72" i="1"/>
  <c r="L72" i="1"/>
  <c r="N72" i="1"/>
  <c r="P72" i="1"/>
  <c r="R72" i="1"/>
  <c r="F61" i="1"/>
  <c r="J22" i="1"/>
  <c r="L22" i="1"/>
  <c r="N22" i="1"/>
  <c r="P22" i="1"/>
  <c r="R22" i="1"/>
  <c r="L41" i="1"/>
  <c r="N41" i="1"/>
  <c r="P41" i="1"/>
  <c r="R41" i="1"/>
  <c r="H56" i="1"/>
  <c r="H53" i="1"/>
  <c r="J53" i="1"/>
  <c r="L53" i="1"/>
  <c r="N53" i="1"/>
  <c r="P53" i="1"/>
  <c r="R53" i="1"/>
  <c r="H69" i="1"/>
  <c r="J30" i="1"/>
  <c r="H71" i="1"/>
  <c r="J71" i="1"/>
  <c r="L71" i="1"/>
  <c r="N71" i="1"/>
  <c r="P71" i="1"/>
  <c r="R71" i="1"/>
  <c r="I76" i="2"/>
  <c r="H6" i="22" s="1"/>
  <c r="E76" i="2"/>
  <c r="D6" i="22" s="1"/>
  <c r="E43" i="2"/>
  <c r="D4" i="22" s="1"/>
  <c r="H76" i="2"/>
  <c r="M30" i="20" s="1"/>
  <c r="N18" i="1"/>
  <c r="J74" i="1"/>
  <c r="L74" i="1"/>
  <c r="N74" i="1"/>
  <c r="P74" i="1"/>
  <c r="R74" i="1"/>
  <c r="H65" i="1"/>
  <c r="D7" i="2"/>
  <c r="D46" i="2"/>
  <c r="C3" i="22"/>
  <c r="J10" i="1"/>
  <c r="J19" i="1"/>
  <c r="J17" i="1"/>
  <c r="X19" i="1"/>
  <c r="Y19" i="1"/>
  <c r="Z19" i="1"/>
  <c r="AA19" i="1"/>
  <c r="X34" i="1"/>
  <c r="Y34" i="1"/>
  <c r="Z34" i="1"/>
  <c r="AA34" i="1"/>
  <c r="J34" i="1"/>
  <c r="J32" i="1"/>
  <c r="R24" i="1"/>
  <c r="J52" i="1"/>
  <c r="H80" i="1"/>
  <c r="J80" i="1"/>
  <c r="L80" i="1"/>
  <c r="N80" i="1"/>
  <c r="P80" i="1"/>
  <c r="R80" i="1"/>
  <c r="F77" i="1"/>
  <c r="H12" i="1"/>
  <c r="J62" i="1"/>
  <c r="J36" i="1"/>
  <c r="H35" i="1"/>
  <c r="P13" i="1"/>
  <c r="X25" i="1"/>
  <c r="Y25" i="1"/>
  <c r="Z25" i="1"/>
  <c r="AA25" i="1"/>
  <c r="J25" i="1"/>
  <c r="L33" i="1"/>
  <c r="J78" i="1"/>
  <c r="H11" i="1"/>
  <c r="J11" i="1"/>
  <c r="L11" i="1"/>
  <c r="N11" i="1"/>
  <c r="P11" i="1"/>
  <c r="R11" i="1"/>
  <c r="F51" i="1"/>
  <c r="L28" i="1"/>
  <c r="Y28" i="1"/>
  <c r="Z28" i="1"/>
  <c r="AA28" i="1"/>
  <c r="L21" i="1"/>
  <c r="U65" i="1"/>
  <c r="U35" i="1"/>
  <c r="U18" i="1"/>
  <c r="U30" i="1"/>
  <c r="U33" i="1"/>
  <c r="U61" i="1"/>
  <c r="U48" i="1"/>
  <c r="U68" i="1"/>
  <c r="U51" i="1"/>
  <c r="U13" i="1"/>
  <c r="U56" i="1"/>
  <c r="U21" i="1"/>
  <c r="U40" i="1"/>
  <c r="U10" i="1"/>
  <c r="U24" i="1"/>
  <c r="U27" i="1"/>
  <c r="D3" i="22"/>
  <c r="E7" i="2"/>
  <c r="E46" i="2"/>
  <c r="G6" i="11"/>
  <c r="F3" i="24"/>
  <c r="F50" i="24"/>
  <c r="J29" i="1"/>
  <c r="J63" i="1"/>
  <c r="L63" i="1"/>
  <c r="N63" i="1"/>
  <c r="P63" i="1"/>
  <c r="R63" i="1"/>
  <c r="L14" i="1"/>
  <c r="N14" i="1"/>
  <c r="J20" i="1"/>
  <c r="L30" i="1"/>
  <c r="L29" i="1"/>
  <c r="H51" i="1"/>
  <c r="F42" i="1"/>
  <c r="F48" i="1"/>
  <c r="H43" i="1"/>
  <c r="H45" i="1"/>
  <c r="H68" i="1"/>
  <c r="L73" i="1"/>
  <c r="N73" i="1"/>
  <c r="P73" i="1"/>
  <c r="R73" i="1"/>
  <c r="N56" i="1"/>
  <c r="P58" i="1"/>
  <c r="L56" i="1"/>
  <c r="H9" i="1"/>
  <c r="J69" i="1"/>
  <c r="L69" i="1"/>
  <c r="R13" i="1"/>
  <c r="J61" i="1"/>
  <c r="L62" i="1"/>
  <c r="L19" i="1"/>
  <c r="H77" i="1"/>
  <c r="J35" i="1"/>
  <c r="L36" i="1"/>
  <c r="L10" i="1"/>
  <c r="J9" i="1"/>
  <c r="N28" i="1"/>
  <c r="L26" i="1"/>
  <c r="L12" i="1"/>
  <c r="L34" i="1"/>
  <c r="N34" i="1"/>
  <c r="P34" i="1"/>
  <c r="R34" i="1"/>
  <c r="N33" i="1"/>
  <c r="L25" i="1"/>
  <c r="J23" i="1"/>
  <c r="J16" i="1"/>
  <c r="L20" i="1"/>
  <c r="N21" i="1"/>
  <c r="J65" i="1"/>
  <c r="L66" i="1"/>
  <c r="P18" i="1"/>
  <c r="J77" i="1"/>
  <c r="L78" i="1"/>
  <c r="L52" i="1"/>
  <c r="J51" i="1"/>
  <c r="G3" i="24"/>
  <c r="G50" i="24"/>
  <c r="H6" i="11"/>
  <c r="H8" i="1"/>
  <c r="V46" i="1"/>
  <c r="H42" i="1"/>
  <c r="H48" i="1"/>
  <c r="F87" i="1"/>
  <c r="G76" i="1" s="1"/>
  <c r="J68" i="1"/>
  <c r="N30" i="1"/>
  <c r="P30" i="1"/>
  <c r="J43" i="1"/>
  <c r="J45" i="1"/>
  <c r="R58" i="1"/>
  <c r="R56" i="1"/>
  <c r="P56" i="1"/>
  <c r="N20" i="1"/>
  <c r="P21" i="1"/>
  <c r="N19" i="1"/>
  <c r="L17" i="1"/>
  <c r="L77" i="1"/>
  <c r="N78" i="1"/>
  <c r="N25" i="1"/>
  <c r="L23" i="1"/>
  <c r="N52" i="1"/>
  <c r="L51" i="1"/>
  <c r="R18" i="1"/>
  <c r="P14" i="1"/>
  <c r="N12" i="1"/>
  <c r="L65" i="1"/>
  <c r="N66" i="1"/>
  <c r="N69" i="1"/>
  <c r="L68" i="1"/>
  <c r="L9" i="1"/>
  <c r="N10" i="1"/>
  <c r="N62" i="1"/>
  <c r="L61" i="1"/>
  <c r="P33" i="1"/>
  <c r="N32" i="1"/>
  <c r="N36" i="1"/>
  <c r="L35" i="1"/>
  <c r="L32" i="1"/>
  <c r="P28" i="1"/>
  <c r="N26" i="1"/>
  <c r="V35" i="1"/>
  <c r="V24" i="1"/>
  <c r="V61" i="1"/>
  <c r="V56" i="1"/>
  <c r="V13" i="1"/>
  <c r="V40" i="1"/>
  <c r="V27" i="1"/>
  <c r="V30" i="1"/>
  <c r="E3" i="22"/>
  <c r="V65" i="1"/>
  <c r="V18" i="1"/>
  <c r="V10" i="1"/>
  <c r="F7" i="2"/>
  <c r="F46" i="2"/>
  <c r="V33" i="1"/>
  <c r="V21" i="1"/>
  <c r="V51" i="1"/>
  <c r="V48" i="1"/>
  <c r="V68" i="1"/>
  <c r="J8" i="1"/>
  <c r="W46" i="1"/>
  <c r="I6" i="11"/>
  <c r="H3" i="24"/>
  <c r="H50" i="24"/>
  <c r="J42" i="1"/>
  <c r="J48" i="1"/>
  <c r="N29" i="1"/>
  <c r="L43" i="1"/>
  <c r="L45" i="1"/>
  <c r="N65" i="1"/>
  <c r="P66" i="1"/>
  <c r="R28" i="1"/>
  <c r="R26" i="1"/>
  <c r="P26" i="1"/>
  <c r="P32" i="1"/>
  <c r="R33" i="1"/>
  <c r="R32" i="1"/>
  <c r="L16" i="1"/>
  <c r="P19" i="1"/>
  <c r="N17" i="1"/>
  <c r="N61" i="1"/>
  <c r="P62" i="1"/>
  <c r="R30" i="1"/>
  <c r="R29" i="1"/>
  <c r="P29" i="1"/>
  <c r="N9" i="1"/>
  <c r="P10" i="1"/>
  <c r="P25" i="1"/>
  <c r="N23" i="1"/>
  <c r="R21" i="1"/>
  <c r="R20" i="1"/>
  <c r="P20" i="1"/>
  <c r="N51" i="1"/>
  <c r="P52" i="1"/>
  <c r="R14" i="1"/>
  <c r="R12" i="1"/>
  <c r="P12" i="1"/>
  <c r="P36" i="1"/>
  <c r="N35" i="1"/>
  <c r="P69" i="1"/>
  <c r="N68" i="1"/>
  <c r="P78" i="1"/>
  <c r="N77" i="1"/>
  <c r="I3" i="24"/>
  <c r="I50" i="24"/>
  <c r="L8" i="1"/>
  <c r="X46" i="1"/>
  <c r="J6" i="11"/>
  <c r="W18" i="1"/>
  <c r="G7" i="2"/>
  <c r="G46" i="2"/>
  <c r="W27" i="1"/>
  <c r="W56" i="1"/>
  <c r="W51" i="1"/>
  <c r="W33" i="1"/>
  <c r="W30" i="1"/>
  <c r="W35" i="1"/>
  <c r="W21" i="1"/>
  <c r="W65" i="1"/>
  <c r="W61" i="1"/>
  <c r="W24" i="1"/>
  <c r="W48" i="1"/>
  <c r="F3" i="22"/>
  <c r="W10" i="1"/>
  <c r="W68" i="1"/>
  <c r="W40" i="1"/>
  <c r="W13" i="1"/>
  <c r="J87" i="1"/>
  <c r="K60" i="1" s="1"/>
  <c r="N43" i="1"/>
  <c r="N45" i="1"/>
  <c r="N16" i="1"/>
  <c r="R36" i="1"/>
  <c r="R35" i="1"/>
  <c r="P35" i="1"/>
  <c r="P9" i="1"/>
  <c r="R10" i="1"/>
  <c r="R9" i="1"/>
  <c r="R19" i="1"/>
  <c r="R17" i="1"/>
  <c r="P17" i="1"/>
  <c r="P77" i="1"/>
  <c r="R78" i="1"/>
  <c r="R77" i="1"/>
  <c r="L42" i="1"/>
  <c r="R25" i="1"/>
  <c r="R23" i="1"/>
  <c r="P23" i="1"/>
  <c r="R62" i="1"/>
  <c r="R61" i="1"/>
  <c r="P61" i="1"/>
  <c r="P68" i="1"/>
  <c r="R69" i="1"/>
  <c r="R68" i="1"/>
  <c r="R66" i="1"/>
  <c r="R65" i="1"/>
  <c r="P65" i="1"/>
  <c r="P51" i="1"/>
  <c r="R52" i="1"/>
  <c r="R51" i="1"/>
  <c r="N8" i="1"/>
  <c r="Y46" i="1"/>
  <c r="J3" i="24"/>
  <c r="J50" i="24"/>
  <c r="K6" i="11"/>
  <c r="X27" i="1"/>
  <c r="X30" i="1"/>
  <c r="X61" i="1"/>
  <c r="X65" i="1"/>
  <c r="H7" i="2"/>
  <c r="H46" i="2"/>
  <c r="X18" i="1"/>
  <c r="X40" i="1"/>
  <c r="X68" i="1"/>
  <c r="X21" i="1"/>
  <c r="X48" i="1"/>
  <c r="X24" i="1"/>
  <c r="G3" i="22"/>
  <c r="X56" i="1"/>
  <c r="X13" i="1"/>
  <c r="X51" i="1"/>
  <c r="X10" i="1"/>
  <c r="X35" i="1"/>
  <c r="X33" i="1"/>
  <c r="P16" i="1"/>
  <c r="N42" i="1"/>
  <c r="N48" i="1"/>
  <c r="P43" i="1"/>
  <c r="P45" i="1"/>
  <c r="R43" i="1"/>
  <c r="R45" i="1"/>
  <c r="R42" i="1"/>
  <c r="R48" i="1"/>
  <c r="R16" i="1"/>
  <c r="L48" i="1"/>
  <c r="P8" i="1"/>
  <c r="Z46" i="1"/>
  <c r="L6" i="11"/>
  <c r="K3" i="24"/>
  <c r="K50" i="24"/>
  <c r="Y65" i="1"/>
  <c r="Y48" i="1"/>
  <c r="Y56" i="1"/>
  <c r="Y40" i="1"/>
  <c r="Y51" i="1"/>
  <c r="Y68" i="1"/>
  <c r="Y21" i="1"/>
  <c r="Y27" i="1"/>
  <c r="I7" i="2"/>
  <c r="I46" i="2"/>
  <c r="Y30" i="1"/>
  <c r="H3" i="22"/>
  <c r="Y35" i="1"/>
  <c r="Y13" i="1"/>
  <c r="Y24" i="1"/>
  <c r="Y33" i="1"/>
  <c r="Y18" i="1"/>
  <c r="Y61" i="1"/>
  <c r="Y10" i="1"/>
  <c r="N87" i="1"/>
  <c r="O50" i="1" s="1"/>
  <c r="P42" i="1"/>
  <c r="P48" i="1"/>
  <c r="R87" i="1"/>
  <c r="S68" i="1" s="1"/>
  <c r="R8" i="1"/>
  <c r="AA46" i="1"/>
  <c r="L3" i="24"/>
  <c r="L50" i="24"/>
  <c r="Z40" i="1"/>
  <c r="Z30" i="1"/>
  <c r="Z48" i="1"/>
  <c r="Z10" i="1"/>
  <c r="Z21" i="1"/>
  <c r="Z13" i="1"/>
  <c r="Z61" i="1"/>
  <c r="Z68" i="1"/>
  <c r="Z35" i="1"/>
  <c r="I3" i="22"/>
  <c r="Z51" i="1"/>
  <c r="Z65" i="1"/>
  <c r="Z27" i="1"/>
  <c r="Z18" i="1"/>
  <c r="Z33" i="1"/>
  <c r="Z24" i="1"/>
  <c r="J7" i="2"/>
  <c r="J46" i="2"/>
  <c r="Z56" i="1"/>
  <c r="AA35" i="1"/>
  <c r="AA21" i="1"/>
  <c r="AA30" i="1"/>
  <c r="AA56" i="1"/>
  <c r="AA24" i="1"/>
  <c r="AA13" i="1"/>
  <c r="AA10" i="1"/>
  <c r="AA27" i="1"/>
  <c r="J3" i="22"/>
  <c r="AA65" i="1"/>
  <c r="AA68" i="1"/>
  <c r="AA48" i="1"/>
  <c r="AA51" i="1"/>
  <c r="K7" i="2"/>
  <c r="K46" i="2"/>
  <c r="AA40" i="1"/>
  <c r="AA33" i="1"/>
  <c r="AA61" i="1"/>
  <c r="AA18" i="1"/>
  <c r="K42" i="1" l="1"/>
  <c r="O42" i="1"/>
  <c r="O29" i="1"/>
  <c r="G49" i="1"/>
  <c r="O26" i="1"/>
  <c r="Q30" i="20"/>
  <c r="I6" i="22"/>
  <c r="S50" i="1"/>
  <c r="K36" i="20"/>
  <c r="G9" i="1"/>
  <c r="G16" i="1"/>
  <c r="S16" i="1"/>
  <c r="S60" i="1"/>
  <c r="O12" i="1"/>
  <c r="L87" i="1"/>
  <c r="M15" i="1" s="1"/>
  <c r="G12" i="1"/>
  <c r="G59" i="1"/>
  <c r="G15" i="1"/>
  <c r="G26" i="20"/>
  <c r="I43" i="2"/>
  <c r="O26" i="20" s="1"/>
  <c r="F43" i="2"/>
  <c r="S9" i="1"/>
  <c r="J12" i="22"/>
  <c r="O51" i="1"/>
  <c r="G74" i="1"/>
  <c r="G60" i="1"/>
  <c r="G36" i="20"/>
  <c r="G6" i="22"/>
  <c r="K76" i="2"/>
  <c r="J43" i="2"/>
  <c r="I4" i="22" s="1"/>
  <c r="S29" i="1"/>
  <c r="S42" i="1"/>
  <c r="O60" i="1"/>
  <c r="G51" i="1"/>
  <c r="G75" i="1"/>
  <c r="G29" i="1"/>
  <c r="H43" i="2"/>
  <c r="S15" i="1"/>
  <c r="S26" i="1"/>
  <c r="G26" i="1"/>
  <c r="S36" i="20"/>
  <c r="H12" i="22"/>
  <c r="O68" i="1"/>
  <c r="G42" i="1"/>
  <c r="G61" i="1"/>
  <c r="G32" i="1"/>
  <c r="H87" i="1"/>
  <c r="F76" i="2"/>
  <c r="K43" i="2"/>
  <c r="G65" i="1"/>
  <c r="G68" i="1"/>
  <c r="G56" i="1"/>
  <c r="E78" i="2"/>
  <c r="D76" i="2"/>
  <c r="G76" i="2"/>
  <c r="D87" i="1"/>
  <c r="E75" i="1" s="1"/>
  <c r="S76" i="1"/>
  <c r="O74" i="1"/>
  <c r="O65" i="1"/>
  <c r="K49" i="1"/>
  <c r="G77" i="1"/>
  <c r="D12" i="22"/>
  <c r="G35" i="1"/>
  <c r="S65" i="1"/>
  <c r="P87" i="1"/>
  <c r="Q9" i="1" s="1"/>
  <c r="K35" i="1"/>
  <c r="G50" i="1"/>
  <c r="G55" i="1"/>
  <c r="G43" i="2"/>
  <c r="K26" i="20" s="1"/>
  <c r="S49" i="1"/>
  <c r="S74" i="1"/>
  <c r="O15" i="1"/>
  <c r="O32" i="1"/>
  <c r="O76" i="1"/>
  <c r="K32" i="1"/>
  <c r="K61" i="1"/>
  <c r="O30" i="20"/>
  <c r="K29" i="1"/>
  <c r="K74" i="1"/>
  <c r="F12" i="22"/>
  <c r="K50" i="1"/>
  <c r="G30" i="20"/>
  <c r="O75" i="1"/>
  <c r="K15" i="1"/>
  <c r="K56" i="1"/>
  <c r="D10" i="22"/>
  <c r="S51" i="1"/>
  <c r="S55" i="1"/>
  <c r="O59" i="1"/>
  <c r="O49" i="1"/>
  <c r="K65" i="1"/>
  <c r="K26" i="1"/>
  <c r="K12" i="1"/>
  <c r="K16" i="1"/>
  <c r="K51" i="1"/>
  <c r="S75" i="1"/>
  <c r="S77" i="1"/>
  <c r="S59" i="1"/>
  <c r="O36" i="20"/>
  <c r="O61" i="1"/>
  <c r="O9" i="1"/>
  <c r="O35" i="1"/>
  <c r="K68" i="1"/>
  <c r="K59" i="1"/>
  <c r="K9" i="1"/>
  <c r="S12" i="1"/>
  <c r="S56" i="1"/>
  <c r="S35" i="1"/>
  <c r="O56" i="1"/>
  <c r="O16" i="1"/>
  <c r="O55" i="1"/>
  <c r="O77" i="1"/>
  <c r="K55" i="1"/>
  <c r="K77" i="1"/>
  <c r="K76" i="1"/>
  <c r="K75" i="1"/>
  <c r="S61" i="1"/>
  <c r="F4" i="22"/>
  <c r="S32" i="1"/>
  <c r="H4" i="22" l="1"/>
  <c r="H10" i="22" s="1"/>
  <c r="O35" i="20"/>
  <c r="P39" i="20" s="1"/>
  <c r="G78" i="2"/>
  <c r="E15" i="1"/>
  <c r="J78" i="2"/>
  <c r="Q15" i="1"/>
  <c r="Q26" i="20"/>
  <c r="Q35" i="20" s="1"/>
  <c r="R29" i="20" s="1"/>
  <c r="M36" i="20"/>
  <c r="M76" i="1"/>
  <c r="M51" i="1"/>
  <c r="M68" i="1"/>
  <c r="M77" i="1"/>
  <c r="I10" i="22"/>
  <c r="M42" i="1"/>
  <c r="M60" i="1"/>
  <c r="M55" i="1"/>
  <c r="M32" i="1"/>
  <c r="M9" i="1"/>
  <c r="M35" i="1"/>
  <c r="G12" i="22"/>
  <c r="M49" i="1"/>
  <c r="Q26" i="1"/>
  <c r="M12" i="1"/>
  <c r="M56" i="1"/>
  <c r="M16" i="1"/>
  <c r="E55" i="1"/>
  <c r="Q32" i="1"/>
  <c r="Q51" i="1"/>
  <c r="Q29" i="1"/>
  <c r="Q35" i="1"/>
  <c r="M26" i="20"/>
  <c r="M35" i="20" s="1"/>
  <c r="G4" i="22"/>
  <c r="G10" i="22" s="1"/>
  <c r="H78" i="2"/>
  <c r="S30" i="20"/>
  <c r="J6" i="22"/>
  <c r="E4" i="22"/>
  <c r="F78" i="2"/>
  <c r="I26" i="20"/>
  <c r="Q50" i="1"/>
  <c r="P41" i="20"/>
  <c r="Q68" i="1"/>
  <c r="Q16" i="1"/>
  <c r="Q42" i="1"/>
  <c r="I12" i="22"/>
  <c r="Q56" i="1"/>
  <c r="Q76" i="1"/>
  <c r="Q55" i="1"/>
  <c r="Q77" i="1"/>
  <c r="Q12" i="1"/>
  <c r="Q49" i="1"/>
  <c r="Q65" i="1"/>
  <c r="Q60" i="1"/>
  <c r="J4" i="22"/>
  <c r="S26" i="20"/>
  <c r="Q75" i="1"/>
  <c r="E26" i="1"/>
  <c r="E68" i="1"/>
  <c r="E61" i="1"/>
  <c r="E36" i="20"/>
  <c r="E56" i="1"/>
  <c r="C12" i="22"/>
  <c r="E59" i="1"/>
  <c r="E76" i="1"/>
  <c r="E9" i="1"/>
  <c r="E29" i="1"/>
  <c r="E74" i="1"/>
  <c r="E12" i="1"/>
  <c r="E50" i="1"/>
  <c r="E16" i="1"/>
  <c r="E77" i="1"/>
  <c r="E35" i="1"/>
  <c r="E49" i="1"/>
  <c r="E42" i="1"/>
  <c r="E51" i="1"/>
  <c r="E60" i="1"/>
  <c r="I30" i="20"/>
  <c r="E6" i="22"/>
  <c r="I78" i="2"/>
  <c r="Q59" i="1"/>
  <c r="P26" i="20"/>
  <c r="G35" i="20"/>
  <c r="H29" i="20" s="1"/>
  <c r="E32" i="1"/>
  <c r="Q74" i="1"/>
  <c r="F6" i="22"/>
  <c r="F10" i="22" s="1"/>
  <c r="K30" i="20"/>
  <c r="K35" i="20" s="1"/>
  <c r="I15" i="1"/>
  <c r="I35" i="1"/>
  <c r="I16" i="1"/>
  <c r="I51" i="1"/>
  <c r="I42" i="1"/>
  <c r="I60" i="1"/>
  <c r="I26" i="1"/>
  <c r="I75" i="1"/>
  <c r="I56" i="1"/>
  <c r="I61" i="1"/>
  <c r="I77" i="1"/>
  <c r="I59" i="1"/>
  <c r="I74" i="1"/>
  <c r="I55" i="1"/>
  <c r="I29" i="1"/>
  <c r="I50" i="1"/>
  <c r="I32" i="1"/>
  <c r="E12" i="22"/>
  <c r="I49" i="1"/>
  <c r="I9" i="1"/>
  <c r="I12" i="1"/>
  <c r="I76" i="1"/>
  <c r="I68" i="1"/>
  <c r="I65" i="1"/>
  <c r="I36" i="20"/>
  <c r="P40" i="20"/>
  <c r="K78" i="2"/>
  <c r="E65" i="1"/>
  <c r="Q36" i="20"/>
  <c r="E30" i="20"/>
  <c r="E35" i="20" s="1"/>
  <c r="C6" i="22"/>
  <c r="C10" i="22" s="1"/>
  <c r="D78" i="2"/>
  <c r="M75" i="1"/>
  <c r="M59" i="1"/>
  <c r="M26" i="1"/>
  <c r="M61" i="1"/>
  <c r="M74" i="1"/>
  <c r="M29" i="1"/>
  <c r="M50" i="1"/>
  <c r="M65" i="1"/>
  <c r="Q61" i="1"/>
  <c r="R32" i="20"/>
  <c r="H38" i="20"/>
  <c r="J10" i="22" l="1"/>
  <c r="P29" i="20"/>
  <c r="P30" i="20"/>
  <c r="M39" i="20"/>
  <c r="G14" i="22" s="1"/>
  <c r="O39" i="20"/>
  <c r="H14" i="22" s="1"/>
  <c r="P27" i="20"/>
  <c r="P34" i="20"/>
  <c r="P38" i="20"/>
  <c r="O41" i="20"/>
  <c r="H11" i="22" s="1"/>
  <c r="P31" i="20"/>
  <c r="P33" i="20"/>
  <c r="P36" i="20"/>
  <c r="H27" i="20"/>
  <c r="P37" i="20"/>
  <c r="Q41" i="20"/>
  <c r="I11" i="22" s="1"/>
  <c r="R40" i="20"/>
  <c r="R27" i="20"/>
  <c r="R33" i="20"/>
  <c r="R41" i="20"/>
  <c r="R39" i="20"/>
  <c r="R36" i="20"/>
  <c r="R37" i="20"/>
  <c r="R26" i="20"/>
  <c r="P32" i="20"/>
  <c r="Q39" i="20"/>
  <c r="I14" i="22" s="1"/>
  <c r="H32" i="20"/>
  <c r="H40" i="20"/>
  <c r="H33" i="20"/>
  <c r="G39" i="20"/>
  <c r="D14" i="22" s="1"/>
  <c r="H26" i="20"/>
  <c r="H31" i="20"/>
  <c r="G41" i="20"/>
  <c r="D11" i="22" s="1"/>
  <c r="H36" i="20"/>
  <c r="H41" i="20"/>
  <c r="H30" i="20"/>
  <c r="R38" i="20"/>
  <c r="R30" i="20"/>
  <c r="R31" i="20"/>
  <c r="R34" i="20"/>
  <c r="S35" i="20"/>
  <c r="T30" i="20" s="1"/>
  <c r="E10" i="22"/>
  <c r="L41" i="20"/>
  <c r="L27" i="20"/>
  <c r="L40" i="20"/>
  <c r="L39" i="20"/>
  <c r="L30" i="20"/>
  <c r="K41" i="20"/>
  <c r="F11" i="22" s="1"/>
  <c r="L36" i="20"/>
  <c r="L33" i="20"/>
  <c r="L37" i="20"/>
  <c r="L26" i="20"/>
  <c r="K39" i="20"/>
  <c r="F14" i="22" s="1"/>
  <c r="L31" i="20"/>
  <c r="L29" i="20"/>
  <c r="L32" i="20"/>
  <c r="L38" i="20"/>
  <c r="L34" i="20"/>
  <c r="F33" i="20"/>
  <c r="F37" i="20"/>
  <c r="F34" i="20"/>
  <c r="F41" i="20"/>
  <c r="F26" i="20"/>
  <c r="F40" i="20"/>
  <c r="F39" i="20"/>
  <c r="E41" i="20"/>
  <c r="C11" i="22" s="1"/>
  <c r="F30" i="20"/>
  <c r="F38" i="20"/>
  <c r="F27" i="20"/>
  <c r="E39" i="20"/>
  <c r="C14" i="22" s="1"/>
  <c r="F29" i="20"/>
  <c r="F36" i="20"/>
  <c r="F31" i="20"/>
  <c r="F32" i="20"/>
  <c r="H34" i="20"/>
  <c r="H39" i="20"/>
  <c r="N37" i="20"/>
  <c r="N38" i="20"/>
  <c r="N30" i="20"/>
  <c r="N27" i="20"/>
  <c r="N29" i="20"/>
  <c r="N32" i="20"/>
  <c r="N41" i="20"/>
  <c r="N36" i="20"/>
  <c r="N31" i="20"/>
  <c r="N39" i="20"/>
  <c r="N40" i="20"/>
  <c r="N26" i="20"/>
  <c r="N33" i="20"/>
  <c r="N34" i="20"/>
  <c r="I35" i="20"/>
  <c r="M41" i="20"/>
  <c r="G11" i="22" s="1"/>
  <c r="H37" i="20"/>
  <c r="T31" i="20" l="1"/>
  <c r="T36" i="20"/>
  <c r="S39" i="20"/>
  <c r="J14" i="22" s="1"/>
  <c r="T37" i="20"/>
  <c r="T26" i="20"/>
  <c r="T33" i="20"/>
  <c r="S41" i="20"/>
  <c r="J11" i="22" s="1"/>
  <c r="T38" i="20"/>
  <c r="T41" i="20"/>
  <c r="T40" i="20"/>
  <c r="T29" i="20"/>
  <c r="T39" i="20"/>
  <c r="T34" i="20"/>
  <c r="T27" i="20"/>
  <c r="T32" i="20"/>
  <c r="J29" i="20"/>
  <c r="I39" i="20"/>
  <c r="E14" i="22" s="1"/>
  <c r="I41" i="20"/>
  <c r="E11" i="22" s="1"/>
  <c r="J33" i="20"/>
  <c r="J39" i="20"/>
  <c r="J32" i="20"/>
  <c r="J38" i="20"/>
  <c r="J30" i="20"/>
  <c r="J40" i="20"/>
  <c r="J31" i="20"/>
  <c r="J41" i="20"/>
  <c r="J26" i="20"/>
  <c r="J34" i="20"/>
  <c r="J37" i="20"/>
  <c r="J36" i="20"/>
  <c r="J27" i="20"/>
</calcChain>
</file>

<file path=xl/comments1.xml><?xml version="1.0" encoding="utf-8"?>
<comments xmlns="http://schemas.openxmlformats.org/spreadsheetml/2006/main">
  <authors>
    <author>Ari Järvinen</author>
    <author>Jadelcons</author>
  </authors>
  <commentList>
    <comment ref="E26" authorId="0" shapeId="0">
      <text>
        <r>
          <rPr>
            <sz val="9"/>
            <color indexed="81"/>
            <rFont val="Tahoma"/>
            <family val="2"/>
          </rPr>
          <t xml:space="preserve">
Älä yritä kirjoittaa! Solun tieto siirtyy taulukosta T4 Tuotanto
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
Älä yritä kirjoittaa! Solun tieto siirtyy taulukosta T4 Tuotanto
</t>
        </r>
      </text>
    </comment>
    <comment ref="C32" authorId="1" shapeId="0">
      <text>
        <r>
          <rPr>
            <sz val="9"/>
            <color indexed="81"/>
            <rFont val="Tahoma"/>
            <family val="2"/>
          </rPr>
          <t xml:space="preserve">
Maatilan tuloihin laskettavat urakointi- yms. tulot, ei palkkatuloja
</t>
        </r>
      </text>
    </comment>
    <comment ref="E36" authorId="0" shapeId="0">
      <text>
        <r>
          <rPr>
            <sz val="9"/>
            <color indexed="81"/>
            <rFont val="Tahoma"/>
            <family val="2"/>
          </rPr>
          <t xml:space="preserve">
Älä yritä kirjoittaa! Solun tieto siirtyy taulukosta T3 Kustannukset
</t>
        </r>
      </text>
    </comment>
    <comment ref="C38" authorId="0" shapeId="0">
      <text>
        <r>
          <rPr>
            <sz val="9"/>
            <color indexed="81"/>
            <rFont val="Tahoma"/>
            <family val="2"/>
          </rPr>
          <t xml:space="preserve">
Varmista, ettei yrittäjäeläkekuluja ole merkitty myös taulukkoon T3 Kustannukset.
</t>
        </r>
      </text>
    </comment>
    <comment ref="E38" authorId="0" shapeId="0">
      <text>
        <r>
          <rPr>
            <sz val="9"/>
            <color indexed="81"/>
            <rFont val="Tahoma"/>
            <family val="2"/>
          </rPr>
          <t xml:space="preserve">
Varmista, ettei yrittäjäeläkekuluja ole merkitty jo maatalouden tuotantomenoihin.
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
Varmista, ettei yrittäjäeläkekuluja ole merkitty myös taulukkoon T3 Kustannukset.
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I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K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M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O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Q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S39" authorId="0" shapeId="0">
      <text>
        <r>
          <rPr>
            <sz val="9"/>
            <color indexed="81"/>
            <rFont val="Tahoma"/>
            <family val="2"/>
          </rPr>
          <t xml:space="preserve">
Tämä on tärkein luku! Summalla maksetaan verot, kotitalouden menot ja lainanlyhennykset.
</t>
        </r>
      </text>
    </comment>
    <comment ref="C43" authorId="1" shapeId="0">
      <text>
        <r>
          <rPr>
            <sz val="9"/>
            <color indexed="81"/>
            <rFont val="Tahoma"/>
            <family val="2"/>
          </rPr>
          <t xml:space="preserve">
Kohdan 13 luvun on oltava suurempi kuin maatalouden lainanlyhennykset.
</t>
        </r>
      </text>
    </comment>
  </commentList>
</comments>
</file>

<file path=xl/comments2.xml><?xml version="1.0" encoding="utf-8"?>
<comments xmlns="http://schemas.openxmlformats.org/spreadsheetml/2006/main">
  <authors>
    <author>kyyjarvar</author>
    <author>Ari Järvinen</author>
    <author>Jadelcons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Enimmäispoistot:</t>
        </r>
        <r>
          <rPr>
            <sz val="9"/>
            <color indexed="81"/>
            <rFont val="Tahoma"/>
            <family val="2"/>
          </rPr>
          <t xml:space="preserve">
 - Tuotantorakennukset 10 %
 - säiliöt, rakennelmat, salaojat 20 %
 - asuin-, toimisto yms. 6 %</t>
        </r>
      </text>
    </comment>
    <comment ref="F18" authorId="0" shapeId="0">
      <text>
        <r>
          <rPr>
            <sz val="9"/>
            <color indexed="81"/>
            <rFont val="Tahoma"/>
            <family val="2"/>
          </rPr>
          <t xml:space="preserve">
 - poisto enintään 25 %
 - suositellaan taloudellisen 
   käyttöiän mukaista poistoa,
   joka yleensä 5 - 10 vuotta eli 
   20 - 10 %</t>
        </r>
      </text>
    </comment>
    <comment ref="C28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F28" authorId="2" shapeId="0">
      <text>
        <r>
          <rPr>
            <sz val="9"/>
            <color indexed="81"/>
            <rFont val="Tahoma"/>
            <family val="2"/>
          </rPr>
          <t xml:space="preserve">
Nostettava lainasumma merkitään nostovuodelle!
</t>
        </r>
      </text>
    </comment>
    <comment ref="G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0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F34" authorId="2" shapeId="0">
      <text>
        <r>
          <rPr>
            <sz val="9"/>
            <color indexed="81"/>
            <rFont val="Tahoma"/>
            <family val="2"/>
          </rPr>
          <t xml:space="preserve">
Nostettava lainasumma merkitään nostovuodelle!
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6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0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F40" authorId="2" shapeId="0">
      <text>
        <r>
          <rPr>
            <sz val="9"/>
            <color indexed="81"/>
            <rFont val="Tahoma"/>
            <family val="2"/>
          </rPr>
          <t xml:space="preserve">
Nostettava lainasumma merkitään nostovuodelle!
</t>
        </r>
      </text>
    </comment>
    <comment ref="G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2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F46" authorId="2" shapeId="0">
      <text>
        <r>
          <rPr>
            <sz val="9"/>
            <color indexed="81"/>
            <rFont val="Tahoma"/>
            <family val="2"/>
          </rPr>
          <t xml:space="preserve">
Nostettava lainasumma merkitään nostovuodelle!
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8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2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F52" authorId="2" shapeId="0">
      <text>
        <r>
          <rPr>
            <sz val="9"/>
            <color indexed="81"/>
            <rFont val="Tahoma"/>
            <family val="2"/>
          </rPr>
          <t xml:space="preserve">
Nostettava lainasumma merkitään nostovuodelle!
</t>
        </r>
      </text>
    </comment>
    <comment ref="C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
</t>
        </r>
      </text>
    </comment>
    <comment ref="F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G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H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I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J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L53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J5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5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L5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C59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
</t>
        </r>
      </text>
    </comment>
    <comment ref="F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G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H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I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J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60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C66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
</t>
        </r>
      </text>
    </comment>
    <comment ref="F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G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H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I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J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L67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68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C73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
</t>
        </r>
      </text>
    </comment>
    <comment ref="F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G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H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I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J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K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L74" authorId="2" shapeId="0">
      <text>
        <r>
          <rPr>
            <sz val="9"/>
            <color indexed="81"/>
            <rFont val="Tahoma"/>
            <family val="2"/>
          </rPr>
          <t xml:space="preserve">
Laina-aika on sama koko lainan ajan! Lainan tultua maksetuksi tarpeettomat luvut nollataan.
</t>
        </r>
      </text>
    </comment>
    <comment ref="C87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2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7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2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7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9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2" authorId="1" shapeId="0">
      <text>
        <r>
          <rPr>
            <sz val="9"/>
            <color indexed="81"/>
            <rFont val="Tahoma"/>
            <family val="2"/>
          </rPr>
          <t xml:space="preserve">
Laina, jota lyhennetään 2 kertaa vuodessa yhtä suurissa lyhennyserissä.
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4" authorId="1" shapeId="0">
      <text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Kun laina on maksettu, poista ylimääräisen luvut seuraavista sarakkeista.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7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118" authorId="2" shapeId="0">
      <text>
        <r>
          <rPr>
            <sz val="9"/>
            <color indexed="81"/>
            <rFont val="Tahoma"/>
            <family val="2"/>
          </rPr>
          <t xml:space="preserve">
Vuosien määrä vuoden alusta laina-ajan loppuun pyöristettynä kokonaisluvuksi.
</t>
        </r>
      </text>
    </comment>
    <comment ref="C122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123" authorId="2" shapeId="0">
      <text>
        <r>
          <rPr>
            <sz val="9"/>
            <color indexed="81"/>
            <rFont val="Tahoma"/>
            <family val="2"/>
          </rPr>
          <t xml:space="preserve">
Vuosien määrä vuoden alusta laina-ajan loppuun pyöristettynä kokonaisluvuksi.
</t>
        </r>
      </text>
    </comment>
    <comment ref="C127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128" authorId="2" shapeId="0">
      <text>
        <r>
          <rPr>
            <sz val="9"/>
            <color indexed="81"/>
            <rFont val="Tahoma"/>
            <family val="2"/>
          </rPr>
          <t xml:space="preserve">
Vuosien määrä vuoden alusta laina-ajan loppuun pyöristettynä kokonaisluvuksi.
</t>
        </r>
      </text>
    </comment>
    <comment ref="C132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</t>
        </r>
      </text>
    </comment>
    <comment ref="C133" authorId="2" shapeId="0">
      <text>
        <r>
          <rPr>
            <sz val="9"/>
            <color indexed="81"/>
            <rFont val="Tahoma"/>
            <family val="2"/>
          </rPr>
          <t xml:space="preserve">
Vuosien määrä vuoden alusta laina-ajan loppuun pyöristettynä kokonaisluvuksi.
</t>
        </r>
      </text>
    </comment>
    <comment ref="C137" authorId="1" shapeId="0">
      <text>
        <r>
          <rPr>
            <sz val="9"/>
            <color indexed="81"/>
            <rFont val="Tahoma"/>
            <family val="2"/>
          </rPr>
          <t xml:space="preserve">
Laina/osamaksu, jota maksetaan kuukausittain samansuuruisina summina.
Jos lainoja on enemmän kuin 5, käytä tasaerälainoja.</t>
        </r>
      </text>
    </comment>
    <comment ref="C138" authorId="2" shapeId="0">
      <text>
        <r>
          <rPr>
            <sz val="9"/>
            <color indexed="81"/>
            <rFont val="Tahoma"/>
            <family val="2"/>
          </rPr>
          <t xml:space="preserve">
Vuosien määrä vuoden alusta laina-ajan loppuun pyöristettynä kokonaisluvuksi.
</t>
        </r>
      </text>
    </comment>
  </commentList>
</comments>
</file>

<file path=xl/comments3.xml><?xml version="1.0" encoding="utf-8"?>
<comments xmlns="http://schemas.openxmlformats.org/spreadsheetml/2006/main">
  <authors>
    <author>Ari Järvinen</author>
    <author>Jadelcons</author>
    <author>kyyjarvar</author>
  </authors>
  <commentList>
    <comment ref="U11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1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15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19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32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F36" authorId="0" shapeId="0">
      <text>
        <r>
          <rPr>
            <sz val="9"/>
            <color indexed="81"/>
            <rFont val="Tahoma"/>
            <family val="2"/>
          </rPr>
          <t xml:space="preserve">
Tarkoitetaan palkkaa ilman henkilösivukuluja.
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F37" authorId="1" shapeId="0">
      <text>
        <r>
          <rPr>
            <sz val="9"/>
            <color indexed="81"/>
            <rFont val="Tahoma"/>
            <family val="2"/>
          </rPr>
          <t xml:space="preserve">
8 tunnin työpäivä=palkkatunnit 172
7,5 tunnin työpäivä=palkkatunnit 162
</t>
        </r>
      </text>
    </comment>
    <comment ref="F39" authorId="0" shapeId="0">
      <text>
        <r>
          <rPr>
            <sz val="9"/>
            <color indexed="81"/>
            <rFont val="Tahoma"/>
            <family val="2"/>
          </rPr>
          <t xml:space="preserve">
Palkanmaksukuukausia on jatkuvassa työsuhteessa (täysi lomaoikeus) 10,5, jonka lisäksi tulee loma-ajan palkka ja lomaraha. Ohjelma laskee lomapalkkiot valmiiksi.
</t>
        </r>
      </text>
    </comment>
    <comment ref="F40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Peruspalkan lisäksi maksetaan</t>
        </r>
        <r>
          <rPr>
            <sz val="9"/>
            <color indexed="81"/>
            <rFont val="Tahoma"/>
            <family val="2"/>
          </rPr>
          <t xml:space="preserve">
 - loma-ajan palkkaa ja  lomakorvausta
   17,25 % peruspalkasta
 - arkipyhäkorvauksia 2,9 %
Yhteensä 20,15 %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F44" authorId="1" shapeId="0">
      <text>
        <r>
          <rPr>
            <b/>
            <sz val="9"/>
            <color indexed="81"/>
            <rFont val="Tahoma"/>
            <family val="2"/>
          </rPr>
          <t xml:space="preserve">Vuonna 2016
</t>
        </r>
        <r>
          <rPr>
            <sz val="9"/>
            <color indexed="81"/>
            <rFont val="Tahoma"/>
            <family val="2"/>
          </rPr>
          <t>Yritys tilittää vakuutusyhtiölle TyEL-maksua 18 % palkoista, johon lisätään työntekijän maksama TyEL-maksu.</t>
        </r>
      </text>
    </comment>
    <comment ref="F46" authorId="1" shapeId="0">
      <text>
        <r>
          <rPr>
            <b/>
            <sz val="9"/>
            <color indexed="81"/>
            <rFont val="Tahoma"/>
            <family val="2"/>
          </rPr>
          <t xml:space="preserve">Vuonna 2016
</t>
        </r>
        <r>
          <rPr>
            <sz val="9"/>
            <color indexed="81"/>
            <rFont val="Tahoma"/>
            <family val="2"/>
          </rPr>
          <t>Yritys maksaa  
- valtiolle sairausvakuutusmaksua 2,12 %
- Vakuutusyhtiölle Tapaturma- ja henki- 
   vakuutusta 1,3 % (tapaturma-alttiilla aloilla 
   jopa 8 %) 
- Työttömyysvakuutusta 1,0 %
Yhteensä 4,32 %
(korjaa Yhteensä-summaa tapaturmavakuutuksen muuttuessa)</t>
        </r>
      </text>
    </comment>
    <comment ref="C47" authorId="0" shapeId="0">
      <text>
        <r>
          <rPr>
            <sz val="9"/>
            <color indexed="81"/>
            <rFont val="Tahoma"/>
            <family val="2"/>
          </rPr>
          <t xml:space="preserve">
Työntekijöille maksetut henkivakuutusmaksut, sairaskuluvakuutus, matkavakuutus mm.
</t>
        </r>
      </text>
    </comment>
    <comment ref="U49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50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52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53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5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C55" authorId="1" shapeId="0">
      <text>
        <r>
          <rPr>
            <sz val="9"/>
            <color indexed="81"/>
            <rFont val="Tahoma"/>
            <family val="2"/>
          </rPr>
          <t xml:space="preserve">
Alle 3 v kestoinen kalusto, mm. ATK-laitteet. Lisäksi alle 850 € ALV 0% hintaiset laitteet enintään 2500 € saakka
</t>
        </r>
      </text>
    </comment>
    <comment ref="D57" authorId="0" shapeId="0">
      <text>
        <r>
          <rPr>
            <sz val="9"/>
            <color indexed="81"/>
            <rFont val="Tahoma"/>
            <family val="2"/>
          </rPr>
          <t xml:space="preserve">
Älä yritä kirjoittaa. Täytä alla olevat solut!
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62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63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6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D65" authorId="0" shapeId="0">
      <text>
        <r>
          <rPr>
            <sz val="9"/>
            <color indexed="81"/>
            <rFont val="Tahoma"/>
            <family val="2"/>
          </rPr>
          <t xml:space="preserve">
Älä yritä kirjoittaa. Täytä alla olevat solut!
</t>
        </r>
      </text>
    </comment>
    <comment ref="U66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D68" authorId="0" shapeId="0">
      <text>
        <r>
          <rPr>
            <sz val="9"/>
            <color indexed="81"/>
            <rFont val="Tahoma"/>
            <family val="2"/>
          </rPr>
          <t xml:space="preserve">
Älä yritä kirjoittaa. Täytä alla olevat solut!
</t>
        </r>
      </text>
    </comment>
    <comment ref="U69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1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2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3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4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5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U76" authorId="0" shapeId="0">
      <text>
        <r>
          <rPr>
            <sz val="9"/>
            <color indexed="81"/>
            <rFont val="Tahoma"/>
            <family val="2"/>
          </rPr>
          <t xml:space="preserve">
Kustannukset nousevat vuosittain vähintään 3 %. Muuta prosenttia tarvittaessa tai kirjoita luku suoraan taulukkoon.</t>
        </r>
      </text>
    </comment>
    <comment ref="C80" authorId="2" shapeId="0">
      <text>
        <r>
          <rPr>
            <sz val="9"/>
            <color indexed="81"/>
            <rFont val="Tahoma"/>
            <family val="2"/>
          </rPr>
          <t xml:space="preserve">
Tähän voit lisätä muita kulueriä kuin edellä mainittu.</t>
        </r>
      </text>
    </comment>
  </commentList>
</comments>
</file>

<file path=xl/comments4.xml><?xml version="1.0" encoding="utf-8"?>
<comments xmlns="http://schemas.openxmlformats.org/spreadsheetml/2006/main">
  <authors>
    <author>Ari Järvinen</author>
  </authors>
  <commentList>
    <comment ref="B14" authorId="0" shapeId="0">
      <text>
        <r>
          <rPr>
            <b/>
            <sz val="10"/>
            <color indexed="81"/>
            <rFont val="Tahoma"/>
            <family val="2"/>
          </rPr>
          <t>Kirjoita tähän myytävän kotieläimen nimi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" authorId="0" shapeId="0">
      <text>
        <r>
          <rPr>
            <b/>
            <sz val="10"/>
            <color indexed="81"/>
            <rFont val="Tahoma"/>
            <family val="2"/>
          </rPr>
          <t>Kirjoita tähän myytävän kotieläimen nimi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b/>
            <sz val="10"/>
            <color indexed="81"/>
            <rFont val="Tahoma"/>
            <family val="2"/>
          </rPr>
          <t>Kirjoita tähän myytävän kotieläimen nimi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2" authorId="0" shapeId="0">
      <text>
        <r>
          <rPr>
            <b/>
            <sz val="10"/>
            <color indexed="81"/>
            <rFont val="Tahoma"/>
            <family val="2"/>
          </rPr>
          <t>Kirjoita tähän myytävän kotieläimen nimi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" authorId="0" shapeId="0">
      <text>
        <r>
          <rPr>
            <b/>
            <sz val="10"/>
            <color indexed="81"/>
            <rFont val="Tahoma"/>
            <family val="2"/>
          </rPr>
          <t>Kirjoita tähän myytävän kotieläimen nimi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Jadelcons</author>
  </authors>
  <commentList>
    <comment ref="D52" authorId="0" shapeId="0">
      <text>
        <r>
          <rPr>
            <sz val="9"/>
            <color indexed="81"/>
            <rFont val="Tahoma"/>
            <family val="2"/>
          </rPr>
          <t xml:space="preserve">
Kuukausierien määrä vuoden alusta liaina-ajan loppuun.
</t>
        </r>
      </text>
    </comment>
    <comment ref="D59" authorId="0" shapeId="0">
      <text>
        <r>
          <rPr>
            <sz val="9"/>
            <color indexed="81"/>
            <rFont val="Tahoma"/>
            <family val="2"/>
          </rPr>
          <t xml:space="preserve">
Kuukausierien määrä vuoden alusta liaina-ajan loppuun.
</t>
        </r>
      </text>
    </comment>
    <comment ref="D66" authorId="0" shapeId="0">
      <text>
        <r>
          <rPr>
            <sz val="9"/>
            <color indexed="81"/>
            <rFont val="Tahoma"/>
            <family val="2"/>
          </rPr>
          <t xml:space="preserve">
Kuukausierien määrä vuoden alusta liaina-ajan loppuun.
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 xml:space="preserve">
Kuukausierien määrä vuoden alusta liaina-ajan loppuun.
</t>
        </r>
      </text>
    </comment>
    <comment ref="D80" authorId="0" shapeId="0">
      <text>
        <r>
          <rPr>
            <sz val="9"/>
            <color indexed="81"/>
            <rFont val="Tahoma"/>
            <family val="2"/>
          </rPr>
          <t xml:space="preserve">
Kuukausierien määrä vuoden alusta liaina-ajan loppuun.
</t>
        </r>
      </text>
    </comment>
  </commentList>
</comments>
</file>

<file path=xl/comments6.xml><?xml version="1.0" encoding="utf-8"?>
<comments xmlns="http://schemas.openxmlformats.org/spreadsheetml/2006/main">
  <authors>
    <author>Ari Järvinen</author>
  </authors>
  <commentList>
    <comment ref="O8" authorId="0" shapeId="0">
      <text>
        <r>
          <rPr>
            <b/>
            <sz val="10"/>
            <color indexed="81"/>
            <rFont val="Tahoma"/>
            <family val="2"/>
          </rPr>
          <t>Pisin takaisinmaksuaika on 15 vuotta!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9" authorId="0" shapeId="0">
      <text>
        <r>
          <rPr>
            <b/>
            <sz val="10"/>
            <color indexed="81"/>
            <rFont val="Tahoma"/>
            <family val="2"/>
          </rPr>
          <t>Lyhennysvapaita vuosia voi olla enintään kaksi!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 shapeId="0">
      <text>
        <r>
          <rPr>
            <b/>
            <sz val="10"/>
            <color indexed="81"/>
            <rFont val="Tahoma"/>
            <family val="2"/>
          </rPr>
          <t>Jos lainaa lyhennetään kuukausittain, on kausia 12. Jos puolivuosittain, niin 2. Jne.</t>
        </r>
      </text>
    </comment>
    <comment ref="D10" authorId="0" shapeId="0">
      <text>
        <r>
          <rPr>
            <b/>
            <sz val="10"/>
            <color indexed="81"/>
            <rFont val="Tahoma"/>
            <family val="2"/>
          </rPr>
          <t>Jos lainaa lyhennetään kuukausittain, on kausia 12. Jos puolivuosittain, niin 2. Jne.</t>
        </r>
      </text>
    </comment>
    <comment ref="E10" authorId="0" shapeId="0">
      <text>
        <r>
          <rPr>
            <b/>
            <sz val="10"/>
            <color indexed="81"/>
            <rFont val="Tahoma"/>
            <family val="2"/>
          </rPr>
          <t>Jos lainaa lyhennetään kuukausittain, on kausia 12. Jos puolivuosittain, niin 2. Jne.</t>
        </r>
      </text>
    </comment>
    <comment ref="L16" authorId="0" shapeId="0">
      <text>
        <r>
          <rPr>
            <b/>
            <sz val="10"/>
            <color indexed="81"/>
            <rFont val="Tahoma"/>
            <family val="2"/>
          </rPr>
          <t>Tähän lainan nostovuosi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<sst xmlns="http://schemas.openxmlformats.org/spreadsheetml/2006/main" count="700" uniqueCount="306">
  <si>
    <t xml:space="preserve"> </t>
  </si>
  <si>
    <t>Sähkö, vesi, lämpö</t>
  </si>
  <si>
    <t xml:space="preserve"> - sähkön kulutuskustannukset</t>
  </si>
  <si>
    <t xml:space="preserve"> - veden kulutuskustannukset</t>
  </si>
  <si>
    <t xml:space="preserve"> - lämmön kulutuskustannukset</t>
  </si>
  <si>
    <t>Koulutus</t>
  </si>
  <si>
    <t>Lehdet ym. sellaiset</t>
  </si>
  <si>
    <t>Muut kulut</t>
  </si>
  <si>
    <t>1. VUOSI</t>
  </si>
  <si>
    <t xml:space="preserve">2. VUOSI </t>
  </si>
  <si>
    <t xml:space="preserve"> - postimaksut</t>
  </si>
  <si>
    <t>Kirjanpito</t>
  </si>
  <si>
    <t>Tietoliikenne- ja  pankkiyhteyskulut</t>
  </si>
  <si>
    <t xml:space="preserve"> - myyntimäärä yksikköä</t>
  </si>
  <si>
    <t xml:space="preserve"> - nettiliittymämaksut, ohjelmistolisenssit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</si>
  <si>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</si>
  <si>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</si>
  <si>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</si>
  <si>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</si>
  <si>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</si>
  <si>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</si>
  <si>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</si>
  <si>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</si>
  <si>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</si>
  <si>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</si>
  <si>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3. VUOSI</t>
  </si>
  <si>
    <t xml:space="preserve">3. VUOSI </t>
  </si>
  <si>
    <t>Pääoma</t>
  </si>
  <si>
    <t>2. VUOSI</t>
  </si>
  <si>
    <t>Korko/kk</t>
  </si>
  <si>
    <t>Laina-aika kk</t>
  </si>
  <si>
    <t>Vuosimaksu</t>
  </si>
  <si>
    <t>4. VUOSI</t>
  </si>
  <si>
    <t>5. VUOSI</t>
  </si>
  <si>
    <t>6. VUOSI</t>
  </si>
  <si>
    <t>Koronlaskentakuukausi</t>
  </si>
  <si>
    <t>Korko ½ vuoden kohdalla</t>
  </si>
  <si>
    <t>Korko vuodelta</t>
  </si>
  <si>
    <t>Lainan lyhennys/vuosi</t>
  </si>
  <si>
    <t>%</t>
  </si>
  <si>
    <t>7. VUOSI</t>
  </si>
  <si>
    <t xml:space="preserve"> - arvo tilikauden alussa</t>
  </si>
  <si>
    <t xml:space="preserve"> - poisto-%</t>
  </si>
  <si>
    <t xml:space="preserve"> - poisto euroa</t>
  </si>
  <si>
    <t xml:space="preserve"> - lainan pääoma kauden alussa</t>
  </si>
  <si>
    <t xml:space="preserve"> - lyhennys tilikaudella </t>
  </si>
  <si>
    <t xml:space="preserve"> - korko-%</t>
  </si>
  <si>
    <t xml:space="preserve"> - lainan pääoma kauden lopussa</t>
  </si>
  <si>
    <t xml:space="preserve"> - korko euroa</t>
  </si>
  <si>
    <t>Tot.</t>
  </si>
  <si>
    <t>MAATALOUDEN VANHAT LAINAT</t>
  </si>
  <si>
    <t>Nosto €</t>
  </si>
  <si>
    <t xml:space="preserve"> Pvm.</t>
  </si>
  <si>
    <t xml:space="preserve"> Maatilan nimi</t>
  </si>
  <si>
    <t xml:space="preserve"> Laatija</t>
  </si>
  <si>
    <t>VANHA LAINAT YHT. KAUDEN LOPUSSA</t>
  </si>
  <si>
    <t>MUISTIINPANOJA</t>
  </si>
  <si>
    <t>INVESTOINNIT JA RAHOITUS</t>
  </si>
  <si>
    <t xml:space="preserve"> - vuokrattu peltoala ha</t>
  </si>
  <si>
    <t xml:space="preserve"> - vuokra vuodessa / ha</t>
  </si>
  <si>
    <t>Peltoalavuokrat</t>
  </si>
  <si>
    <t xml:space="preserve"> - lukumäärä</t>
  </si>
  <si>
    <t xml:space="preserve"> - yksikköhinta</t>
  </si>
  <si>
    <t>Tuotantoeläinten osto</t>
  </si>
  <si>
    <t xml:space="preserve"> - pankkiyhteyskulut</t>
  </si>
  <si>
    <t>Koneiden korjaus ja pienhankinnat</t>
  </si>
  <si>
    <t>Vakuutusmaksut</t>
  </si>
  <si>
    <t xml:space="preserve"> - työkoneiden vakuutukset</t>
  </si>
  <si>
    <t xml:space="preserve"> - muut maatalouden vakuutukset</t>
  </si>
  <si>
    <t xml:space="preserve"> - maatalouskiinteistöjen vakuutukset</t>
  </si>
  <si>
    <t>Rehujen osto</t>
  </si>
  <si>
    <t xml:space="preserve"> - vuosikulutus (kg)</t>
  </si>
  <si>
    <t xml:space="preserve"> - yksikköhinta (eur / kg)</t>
  </si>
  <si>
    <t>Kalkituskustannukset</t>
  </si>
  <si>
    <t>Siemenet</t>
  </si>
  <si>
    <t>Kasvinsuojelu</t>
  </si>
  <si>
    <t>Rakennusten korjaus</t>
  </si>
  <si>
    <t>Ojien yms. kunnossapito</t>
  </si>
  <si>
    <t>Maatalouden automenot</t>
  </si>
  <si>
    <t xml:space="preserve"> - jäsenmaksut</t>
  </si>
  <si>
    <t xml:space="preserve"> - maatalouden kiinteistövero</t>
  </si>
  <si>
    <t>MAATALOUS YHTEENSÄ</t>
  </si>
  <si>
    <t xml:space="preserve">1. VUOSI </t>
  </si>
  <si>
    <t xml:space="preserve">4. VUOSI </t>
  </si>
  <si>
    <t xml:space="preserve">5. VUOSI </t>
  </si>
  <si>
    <t xml:space="preserve">6. VUOSI </t>
  </si>
  <si>
    <t xml:space="preserve">7. VUOSI </t>
  </si>
  <si>
    <t xml:space="preserve">  Poistolehmät</t>
  </si>
  <si>
    <t xml:space="preserve"> - maidontuotanto yhteensä</t>
  </si>
  <si>
    <t>Koneet tilikauden lopussa</t>
  </si>
  <si>
    <t>INVESTOINNIT YHTEENSÄ</t>
  </si>
  <si>
    <t>ELY-KESKUKSEN TUET YHTEENSÄ</t>
  </si>
  <si>
    <t>UUDET LAINAT YHTEENSÄ KAUDEN LOPUSSA</t>
  </si>
  <si>
    <t>Pääoma 31.12</t>
  </si>
  <si>
    <t xml:space="preserve"> - lainan pääoma kauden  alussa</t>
  </si>
  <si>
    <t xml:space="preserve"> - eläinmäärä</t>
  </si>
  <si>
    <t xml:space="preserve"> Myytävät välitysvasikat</t>
  </si>
  <si>
    <t xml:space="preserve"> Maidon myyntitulot </t>
  </si>
  <si>
    <t>Euroa</t>
  </si>
  <si>
    <t>kpl</t>
  </si>
  <si>
    <t xml:space="preserve"> - määrä / eläin</t>
  </si>
  <si>
    <t xml:space="preserve"> - määrä yhteensä</t>
  </si>
  <si>
    <t>KOTIELÄINTUOTANNON MYYNTITULOT ALV 0 %</t>
  </si>
  <si>
    <t>KASVINTUOTANNON MYYNTITULOT ALV 0 %</t>
  </si>
  <si>
    <t xml:space="preserve"> Viljelykasvi 1</t>
  </si>
  <si>
    <t>Kg</t>
  </si>
  <si>
    <t xml:space="preserve"> - myyntihinta / kg</t>
  </si>
  <si>
    <t>KASVITUOTANNON MYYNTI YHT.</t>
  </si>
  <si>
    <t>Kotieläintuotannon tulot yhteensä</t>
  </si>
  <si>
    <t xml:space="preserve"> - yksikköhinta eur / litra</t>
  </si>
  <si>
    <t>Investointihankkeen nimi</t>
  </si>
  <si>
    <t>MAATILAN TULOSLASKELMA</t>
  </si>
  <si>
    <t>Maidon tuotantotuki</t>
  </si>
  <si>
    <t>Kasvintuotannon myyntitulot</t>
  </si>
  <si>
    <t>Peltoalatuet</t>
  </si>
  <si>
    <t>Muut kotieläintalouden tuet</t>
  </si>
  <si>
    <t>Maatalouden rahoituskulut</t>
  </si>
  <si>
    <t>Maatilan nimi</t>
  </si>
  <si>
    <t>RAHOITUS YHTEENSÄ</t>
  </si>
  <si>
    <t>INVESTOINNIN RAHOITUS</t>
  </si>
  <si>
    <t xml:space="preserve">MAATALOUDEN KÄYTTÖOMAISUUS JA INVESTOINNIT </t>
  </si>
  <si>
    <t>OMA RAHOITUS</t>
  </si>
  <si>
    <t>ARVONLISÄVERON PALAUTUS</t>
  </si>
  <si>
    <t xml:space="preserve"> - Tuotantotuki snt/litra</t>
  </si>
  <si>
    <t>Toteutunut</t>
  </si>
  <si>
    <t>Tuotantorakennukset ja -alueet</t>
  </si>
  <si>
    <t>Pitkäaikaiset lainat</t>
  </si>
  <si>
    <t>Investointituet</t>
  </si>
  <si>
    <t>Oma rahoitus</t>
  </si>
  <si>
    <t>Käyttöpääoman lisäys</t>
  </si>
  <si>
    <t>YHTEENSÄ</t>
  </si>
  <si>
    <t>KÄYTTÖPÄÄOMAN LISÄYS</t>
  </si>
  <si>
    <t>Arvonlisäveron palautus</t>
  </si>
  <si>
    <t>Peltoala (Euroa)</t>
  </si>
  <si>
    <t>Alv 0 %</t>
  </si>
  <si>
    <t xml:space="preserve"> - Peltoala</t>
  </si>
  <si>
    <t xml:space="preserve"> - Maatalousrakennukset </t>
  </si>
  <si>
    <t xml:space="preserve">Kalusto </t>
  </si>
  <si>
    <t>Kotieläintuotannon tuet</t>
  </si>
  <si>
    <t>Kasvintuotannon myynti</t>
  </si>
  <si>
    <t>Kotieläintuotannon myynti</t>
  </si>
  <si>
    <t>Metsätalouden tulot ja palkkiot</t>
  </si>
  <si>
    <t>Muut tulot</t>
  </si>
  <si>
    <t>Lannoitekulut</t>
  </si>
  <si>
    <t>Maataloustuotannon tulot yhteensä</t>
  </si>
  <si>
    <t>MAATALOUDEN LIIKEVAIHTO</t>
  </si>
  <si>
    <t>Maatalouden poistot</t>
  </si>
  <si>
    <t>Maatalouden tuotantomenot</t>
  </si>
  <si>
    <t>Maatalouden rahoitustulos</t>
  </si>
  <si>
    <t>Maatalouden liikevaihto</t>
  </si>
  <si>
    <t>Maatalouden verotettava tulo</t>
  </si>
  <si>
    <t>Maaatalouden tuotantomenot</t>
  </si>
  <si>
    <t>RAHAN LÄHTEET</t>
  </si>
  <si>
    <t xml:space="preserve">RAHAN KÄYTTÖ </t>
  </si>
  <si>
    <t>11.</t>
  </si>
  <si>
    <t>12.</t>
  </si>
  <si>
    <t xml:space="preserve"> Viljelykasvi 2</t>
  </si>
  <si>
    <t xml:space="preserve"> Viljelykasvi 3</t>
  </si>
  <si>
    <t xml:space="preserve"> Viljelykasvi 4</t>
  </si>
  <si>
    <t xml:space="preserve"> Viljelykasvi 5</t>
  </si>
  <si>
    <t>Urakointikulut</t>
  </si>
  <si>
    <t>MAATALOUDEN MENOERITTELYT ALV 0%</t>
  </si>
  <si>
    <t>LAINAT YHTEENSÄ KAUDEN LOPUSSA</t>
  </si>
  <si>
    <t>KAUDEN KORKOKULUT YHTEENSÄ</t>
  </si>
  <si>
    <t>MAATILAN KANNATTAVUUDEN KEHITYS SUUNNITELMAKAUDELLA</t>
  </si>
  <si>
    <t>14.</t>
  </si>
  <si>
    <t>15.</t>
  </si>
  <si>
    <t>Tasaerälyhennyslaina 1</t>
  </si>
  <si>
    <t>Tasaerälyhennyslaina 4</t>
  </si>
  <si>
    <t>Tasaerälyhennyslaina 3</t>
  </si>
  <si>
    <t>Tasaerälyhennyslaina 2</t>
  </si>
  <si>
    <t xml:space="preserve"> - laina-aika kuukautta</t>
  </si>
  <si>
    <t xml:space="preserve"> - korko euroa </t>
  </si>
  <si>
    <t xml:space="preserve"> - vuosimaksut (maksut joka kuukausi)</t>
  </si>
  <si>
    <t>Vuosi</t>
  </si>
  <si>
    <t>Lainapääoma kauden lopussa</t>
  </si>
  <si>
    <t>Kuukausimaksu</t>
  </si>
  <si>
    <t>Lainan nostosumma</t>
  </si>
  <si>
    <t xml:space="preserve">Laina </t>
  </si>
  <si>
    <t xml:space="preserve"> - ELY-keskuksen tukiprosentti</t>
  </si>
  <si>
    <t>Tasaerälaina 4</t>
  </si>
  <si>
    <t>Annuiteettilaina 1</t>
  </si>
  <si>
    <t>Annuiteettilaina 2</t>
  </si>
  <si>
    <t>Annuiteettilaina 3</t>
  </si>
  <si>
    <t>Annuiteettilaina 4</t>
  </si>
  <si>
    <t>Annuiteettilaina 5</t>
  </si>
  <si>
    <t>UUDET ANNUITEETTILAINAT</t>
  </si>
  <si>
    <t>VANHAT ANNUITEETTILAINAT</t>
  </si>
  <si>
    <t>Pääoma kauden lopussa</t>
  </si>
  <si>
    <t>Laina:</t>
  </si>
  <si>
    <t xml:space="preserve"> - jäljellä olevien kk-maksuerien määrä (kpl)</t>
  </si>
  <si>
    <t xml:space="preserve"> - ensim. Kausi</t>
  </si>
  <si>
    <t xml:space="preserve"> - viimeinen kausi</t>
  </si>
  <si>
    <t xml:space="preserve"> Annuiteettilaina/osamaksurahoitus 1</t>
  </si>
  <si>
    <t xml:space="preserve"> Annuiteettilaina/osamaksurahoitus 4</t>
  </si>
  <si>
    <t xml:space="preserve"> Annuiteettilaina/osamaksurahoitus 3</t>
  </si>
  <si>
    <t xml:space="preserve"> Annuiteettilaina/osamaksurahoitus 2</t>
  </si>
  <si>
    <t>Maatalouden lainanlyhennykset</t>
  </si>
  <si>
    <t>KAUDEN LAINANLYHENNYKSET YHT.</t>
  </si>
  <si>
    <t>13.</t>
  </si>
  <si>
    <t>Maattalouden lainanlyhennykset</t>
  </si>
  <si>
    <t>Voimassa</t>
  </si>
  <si>
    <t xml:space="preserve"> saakka</t>
  </si>
  <si>
    <t>Muut tulot 1 (ei palkkatulot)</t>
  </si>
  <si>
    <t>Muut tulot 2 (ei palkkatulot)</t>
  </si>
  <si>
    <t>Muut tulot 3 (ei palkkatulot)</t>
  </si>
  <si>
    <t xml:space="preserve">Käyttöoikeus: </t>
  </si>
  <si>
    <t>Palvelun tarjoaa:</t>
  </si>
  <si>
    <t>ANNUITEETTILAINAN VUOSIKUSTANNUSLASKELMA</t>
  </si>
  <si>
    <r>
      <rPr>
        <b/>
        <sz val="8"/>
        <rFont val="Symbol"/>
        <family val="1"/>
        <charset val="2"/>
      </rPr>
      <t>·</t>
    </r>
    <r>
      <rPr>
        <b/>
        <sz val="12"/>
        <rFont val="Calibri"/>
        <family val="2"/>
      </rPr>
      <t xml:space="preserve"> </t>
    </r>
    <r>
      <rPr>
        <b/>
        <sz val="12"/>
        <rFont val="Calibri"/>
        <family val="2"/>
      </rPr>
      <t>laskelma ilmoittaa lainaerän suuruuden</t>
    </r>
  </si>
  <si>
    <t>VAIHTOEHDOT</t>
  </si>
  <si>
    <t xml:space="preserve">  Vuosikorko</t>
  </si>
  <si>
    <t xml:space="preserve">  Maksuerät vuodessa</t>
  </si>
  <si>
    <t xml:space="preserve">  Takaisinmaksuvuodet</t>
  </si>
  <si>
    <t xml:space="preserve">  Korkokaudet</t>
  </si>
  <si>
    <t xml:space="preserve">  % pääomasta</t>
  </si>
  <si>
    <r>
      <rPr>
        <b/>
        <sz val="8"/>
        <rFont val="Symbol"/>
        <family val="1"/>
        <charset val="2"/>
      </rPr>
      <t>·</t>
    </r>
    <r>
      <rPr>
        <b/>
        <sz val="12"/>
        <rFont val="Symbol"/>
        <family val="1"/>
        <charset val="2"/>
      </rPr>
      <t xml:space="preserve"> </t>
    </r>
    <r>
      <rPr>
        <b/>
        <sz val="12"/>
        <rFont val="Calibri"/>
        <family val="2"/>
      </rPr>
      <t xml:space="preserve">Laskelma ilmoittaa likimääräisen takaisinmaksuajan, kun ilmoitetaan </t>
    </r>
  </si>
  <si>
    <t xml:space="preserve">   maksuerän suuruus.</t>
  </si>
  <si>
    <t xml:space="preserve">  Maksuaika vuosia</t>
  </si>
  <si>
    <t xml:space="preserve">  Vuosimaksu (euroa)</t>
  </si>
  <si>
    <t xml:space="preserve">  Maksu/erä (euroa)</t>
  </si>
  <si>
    <t xml:space="preserve">  Lainan pääoma (euroa)</t>
  </si>
  <si>
    <t xml:space="preserve">  Haluttu maksuerä/kk (euroa)</t>
  </si>
  <si>
    <t>TASAERÄLAINAN VUOSIKUSTANNUSLASKELMA</t>
  </si>
  <si>
    <t xml:space="preserve">  tasasuuruisina erinä ja laina-ajan pituus tiedetään.</t>
  </si>
  <si>
    <t xml:space="preserve"> euroa</t>
  </si>
  <si>
    <t xml:space="preserve"> vuotta</t>
  </si>
  <si>
    <t>Pääoma kauden alussa</t>
  </si>
  <si>
    <t>Vuosikorko-prosentti</t>
  </si>
  <si>
    <t>Lyhennys-erän suuruus</t>
  </si>
  <si>
    <t>Koron määrä vuodessa</t>
  </si>
  <si>
    <t>Lainan-hoitokulut</t>
  </si>
  <si>
    <t xml:space="preserve"> Lainan määrä</t>
  </si>
  <si>
    <t xml:space="preserve"> Takaisinmaksuaika</t>
  </si>
  <si>
    <t xml:space="preserve"> Lyhennysvapaat vuodet</t>
  </si>
  <si>
    <t xml:space="preserve"> Lyhennysvuodet</t>
  </si>
  <si>
    <t>· Laskelma ilmoittaa maksuerien suuruuden, kun lainaa lyhennetään</t>
  </si>
  <si>
    <t>Arvonlisävero-%</t>
  </si>
  <si>
    <t>Muu investointi, sis. Arvonlisäveron</t>
  </si>
  <si>
    <t xml:space="preserve">sis. Alv </t>
  </si>
  <si>
    <t xml:space="preserve"> Ohjelman antamien tulosten oikeellisuus ja vastuu tuloksista</t>
  </si>
  <si>
    <t xml:space="preserve"> Käyttäjä tiedostaa, että ohjelma voi sisältää virheitä ja ohjelman antamat </t>
  </si>
  <si>
    <t>Tuotanto: Jadelcons Oy</t>
  </si>
  <si>
    <t>Tämä päivä</t>
  </si>
  <si>
    <t xml:space="preserve"> tulokset ovat viittelisiä ja suuntaa-antavia. Käyttäjä käyttää ohjelmaa ja tulkitsee tuloksia omalla vastuullaan.</t>
  </si>
  <si>
    <t xml:space="preserve"> - investoinnit sis. Alv </t>
  </si>
  <si>
    <t xml:space="preserve"> - nettoinvestoinnit sis. Alv </t>
  </si>
  <si>
    <t>Tasaerälaina 5</t>
  </si>
  <si>
    <t>Tasaerälaina 1</t>
  </si>
  <si>
    <t>Tasaerälaina 2</t>
  </si>
  <si>
    <t>Tasaerälaina 6</t>
  </si>
  <si>
    <t>Maatalouden tulos ennen veroja ja poistoja</t>
  </si>
  <si>
    <t>Muut kotilellintalouden menot</t>
  </si>
  <si>
    <t>Poltto- ja voiteluaineet</t>
  </si>
  <si>
    <t xml:space="preserve"> tulokset ovat viitteellisiä ja suuntaa-antavia. Käyttäjä käyttää ohjelmaa ja tulkitsee tuloksia omalla vastuullaan.</t>
  </si>
  <si>
    <t>MUISTIINPANOJA / MAATALOUDEN MENOERITTELY</t>
  </si>
  <si>
    <t xml:space="preserve"> MUISTIINPANOT / KOTIELÄINTUOTANNON MYYNTITULOT</t>
  </si>
  <si>
    <t xml:space="preserve"> MUISTIINPANOT / KASVINTUOTANNON MYYNTITULOT</t>
  </si>
  <si>
    <t>4.1 Säilörehun tuotantoalat</t>
  </si>
  <si>
    <t xml:space="preserve"> - lannoitekustannus/hehtaari</t>
  </si>
  <si>
    <t>4.2 Laidunalat</t>
  </si>
  <si>
    <t xml:space="preserve"> - laidunala (ha)</t>
  </si>
  <si>
    <t>4.3 Peltokasvialat</t>
  </si>
  <si>
    <t xml:space="preserve"> - kalkitusala (ha)</t>
  </si>
  <si>
    <t xml:space="preserve"> - kalkituskustannus/hehtaari</t>
  </si>
  <si>
    <t xml:space="preserve"> - säilörehun tuotantoala (ha)</t>
  </si>
  <si>
    <t xml:space="preserve"> MAATALOUDEN KÄYTTÖOMAISUUS JA INVESTOINNIT </t>
  </si>
  <si>
    <t xml:space="preserve"> INVESTOINNIN RAHOITUS</t>
  </si>
  <si>
    <t xml:space="preserve"> MAATALOUDEN VANHAT LAINAT</t>
  </si>
  <si>
    <t xml:space="preserve"> - työtunnit / kk / henkilö</t>
  </si>
  <si>
    <t xml:space="preserve"> - työntekijät, lukumäärä</t>
  </si>
  <si>
    <t xml:space="preserve"> - palkanmaksukuukaudet</t>
  </si>
  <si>
    <t xml:space="preserve"> - peruspalkan lisäksi maksettavat lisäpalkat</t>
  </si>
  <si>
    <t xml:space="preserve"> - luontaisedut yhteensä vuodessa</t>
  </si>
  <si>
    <t xml:space="preserve"> - tuntipalkka keskim. / kk / henkilö</t>
  </si>
  <si>
    <t>Työntekijäin rahapalkat</t>
  </si>
  <si>
    <t>HENKILÖSTÖSIVUKULUT</t>
  </si>
  <si>
    <t xml:space="preserve"> - TyEL-vakuutusmaksuprosentti yht.</t>
  </si>
  <si>
    <t xml:space="preserve"> - Työntekijän sotu-, ja vakuutusmaksu-%</t>
  </si>
  <si>
    <t>HENKILÖSTÖKULUT YHTEENSÄ</t>
  </si>
  <si>
    <t xml:space="preserve"> - automenot yhteensä</t>
  </si>
  <si>
    <t xml:space="preserve"> - maatalouden %-osuus</t>
  </si>
  <si>
    <t xml:space="preserve"> 9.1 TyEL-eläkekulut</t>
  </si>
  <si>
    <t>9.2 Muut henkilösivukulut</t>
  </si>
  <si>
    <t>9.3 Muut henkilövakuutusmaksut</t>
  </si>
  <si>
    <t xml:space="preserve"> - viljelyala (ha)</t>
  </si>
  <si>
    <t xml:space="preserve"> - keskimäärin kg/ha</t>
  </si>
  <si>
    <t>Tarkistus: Viljelty peltoala yhteensä</t>
  </si>
  <si>
    <t xml:space="preserve"> - puhelinmaksut yhteensä</t>
  </si>
  <si>
    <t xml:space="preserve"> - maatalouden %-osuus puh. maksuista</t>
  </si>
  <si>
    <t xml:space="preserve"> - peltokasviala (ha)</t>
  </si>
  <si>
    <t>Muu investointi sis. ALV</t>
  </si>
  <si>
    <t>MYEL-maksut, vap.eht. eläkem.</t>
  </si>
  <si>
    <t xml:space="preserve"> - jäljellä olevia laina-aika vuotta (kokonaisluku)</t>
  </si>
  <si>
    <t xml:space="preserve"> - kylvöala (ha)</t>
  </si>
  <si>
    <t xml:space="preserve"> - siemenkustannus/ha</t>
  </si>
  <si>
    <t xml:space="preserve"> - kustannus/ha</t>
  </si>
  <si>
    <t xml:space="preserve"> - kasvinsuojeluala (ha)</t>
  </si>
  <si>
    <t xml:space="preserve"> - eläinmäärä </t>
  </si>
  <si>
    <t xml:space="preserve"> - maidontuotanto /eläin </t>
  </si>
  <si>
    <t>kg</t>
  </si>
  <si>
    <t>Maatalousrakennukset tilikauden loppu</t>
  </si>
  <si>
    <t>Kotieläintuotannon myyntitulot</t>
  </si>
  <si>
    <t>Tasaerälaina 3</t>
  </si>
  <si>
    <t>Kustannusten korotusprosentti (voidaan muuttaa)</t>
  </si>
  <si>
    <t>Seinäjoen kaupungin maaseutupalvelut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</si>
</sst>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168" formatCode="0.0\ %"/>
    <numFmt numFmtId="169" formatCode="#,##0_ ;[Red]\-#,##0\ "/>
    <numFmt numFmtId="173" formatCode="0.000"/>
    <numFmt numFmtId="174" formatCode="0.0"/>
    <numFmt numFmtId="175" formatCode="#,##0.0"/>
    <numFmt numFmtId="179" formatCode="0.000\ %"/>
    <numFmt numFmtId="182" formatCode="#,##0.000"/>
    <numFmt numFmtId="185" formatCode="#,##0.00_ ;[Red]\-#,##0.00\ "/>
  </numFmts>
  <fonts count="50" x14ac:knownFonts="1">
    <font>
      <sz val="10"/>
      <name val="Arial"/>
    </font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i/>
      <sz val="8"/>
      <name val="Arial"/>
      <family val="2"/>
    </font>
    <font>
      <b/>
      <u/>
      <sz val="10"/>
      <color indexed="12"/>
      <name val="Arial"/>
      <family val="2"/>
    </font>
    <font>
      <sz val="10"/>
      <color indexed="3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8"/>
      <name val="Symbol"/>
      <family val="1"/>
      <charset val="2"/>
    </font>
    <font>
      <b/>
      <sz val="12"/>
      <name val="Calibri"/>
      <family val="2"/>
    </font>
    <font>
      <sz val="8"/>
      <name val="Arial Narrow"/>
      <family val="2"/>
    </font>
    <font>
      <b/>
      <sz val="8"/>
      <name val="Verdana"/>
      <family val="2"/>
    </font>
    <font>
      <b/>
      <sz val="12"/>
      <name val="Symbol"/>
      <family val="1"/>
      <charset val="2"/>
    </font>
    <font>
      <u/>
      <sz val="8"/>
      <name val="Arial"/>
      <family val="2"/>
    </font>
    <font>
      <sz val="9"/>
      <color indexed="3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indexed="12"/>
      <name val="Arial"/>
      <family val="2"/>
    </font>
    <font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59999389629810485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93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Protection="1"/>
    <xf numFmtId="0" fontId="0" fillId="0" borderId="0" xfId="0" applyBorder="1"/>
    <xf numFmtId="0" fontId="0" fillId="0" borderId="0" xfId="0" applyBorder="1" applyProtection="1"/>
    <xf numFmtId="0" fontId="0" fillId="0" borderId="0" xfId="0" applyFill="1"/>
    <xf numFmtId="0" fontId="13" fillId="0" borderId="0" xfId="0" applyFont="1"/>
    <xf numFmtId="0" fontId="4" fillId="0" borderId="0" xfId="0" applyFont="1" applyFill="1"/>
    <xf numFmtId="14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2" borderId="0" xfId="0" applyFill="1" applyBorder="1" applyProtection="1"/>
    <xf numFmtId="3" fontId="4" fillId="2" borderId="0" xfId="0" applyNumberFormat="1" applyFont="1" applyFill="1" applyBorder="1" applyProtection="1">
      <protection hidden="1"/>
    </xf>
    <xf numFmtId="4" fontId="3" fillId="2" borderId="0" xfId="0" applyNumberFormat="1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175" fontId="4" fillId="2" borderId="0" xfId="0" applyNumberFormat="1" applyFont="1" applyFill="1" applyBorder="1" applyProtection="1">
      <protection hidden="1"/>
    </xf>
    <xf numFmtId="14" fontId="0" fillId="0" borderId="0" xfId="0" applyNumberFormat="1" applyFill="1"/>
    <xf numFmtId="0" fontId="15" fillId="0" borderId="0" xfId="0" applyFont="1"/>
    <xf numFmtId="0" fontId="3" fillId="2" borderId="0" xfId="0" applyFont="1" applyFill="1" applyBorder="1" applyProtection="1"/>
    <xf numFmtId="1" fontId="0" fillId="0" borderId="0" xfId="0" applyNumberFormat="1"/>
    <xf numFmtId="0" fontId="0" fillId="0" borderId="0" xfId="0" applyAlignment="1">
      <alignment horizontal="right" vertical="top" wrapText="1"/>
    </xf>
    <xf numFmtId="0" fontId="5" fillId="0" borderId="0" xfId="0" applyFont="1" applyFill="1" applyAlignment="1">
      <alignment horizontal="right" vertical="top" wrapText="1"/>
    </xf>
    <xf numFmtId="0" fontId="0" fillId="0" borderId="0" xfId="0" applyFill="1" applyBorder="1"/>
    <xf numFmtId="0" fontId="7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/>
    <xf numFmtId="0" fontId="17" fillId="2" borderId="0" xfId="0" applyFont="1" applyFill="1" applyBorder="1" applyProtection="1"/>
    <xf numFmtId="0" fontId="4" fillId="0" borderId="0" xfId="0" applyFont="1" applyProtection="1"/>
    <xf numFmtId="0" fontId="15" fillId="0" borderId="0" xfId="0" applyFont="1" applyAlignment="1">
      <alignment horizontal="right"/>
    </xf>
    <xf numFmtId="0" fontId="0" fillId="0" borderId="0" xfId="0" applyProtection="1">
      <protection hidden="1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3" fontId="13" fillId="0" borderId="0" xfId="0" applyNumberFormat="1" applyFont="1" applyFill="1" applyBorder="1" applyProtection="1">
      <protection hidden="1"/>
    </xf>
    <xf numFmtId="0" fontId="13" fillId="0" borderId="0" xfId="0" applyFont="1" applyFill="1" applyBorder="1" applyProtection="1">
      <protection hidden="1"/>
    </xf>
    <xf numFmtId="3" fontId="13" fillId="0" borderId="0" xfId="0" applyNumberFormat="1" applyFont="1" applyFill="1" applyBorder="1" applyProtection="1"/>
    <xf numFmtId="168" fontId="13" fillId="0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right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175" fontId="3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Fill="1" applyBorder="1" applyAlignment="1">
      <alignment horizontal="left"/>
    </xf>
    <xf numFmtId="168" fontId="0" fillId="0" borderId="0" xfId="2" applyNumberFormat="1" applyFont="1"/>
    <xf numFmtId="169" fontId="0" fillId="0" borderId="0" xfId="0" applyNumberFormat="1"/>
    <xf numFmtId="0" fontId="3" fillId="0" borderId="0" xfId="0" applyFont="1" applyAlignment="1">
      <alignment horizontal="center"/>
    </xf>
    <xf numFmtId="0" fontId="7" fillId="0" borderId="2" xfId="0" applyFont="1" applyBorder="1"/>
    <xf numFmtId="0" fontId="3" fillId="0" borderId="0" xfId="0" applyFont="1" applyFill="1" applyBorder="1" applyAlignment="1" applyProtection="1">
      <alignment horizontal="center"/>
      <protection hidden="1"/>
    </xf>
    <xf numFmtId="10" fontId="0" fillId="0" borderId="0" xfId="2" applyNumberFormat="1" applyFont="1" applyBorder="1"/>
    <xf numFmtId="0" fontId="3" fillId="0" borderId="0" xfId="0" applyFont="1" applyBorder="1"/>
    <xf numFmtId="3" fontId="0" fillId="0" borderId="0" xfId="0" applyNumberFormat="1" applyBorder="1"/>
    <xf numFmtId="0" fontId="3" fillId="0" borderId="3" xfId="0" applyFont="1" applyBorder="1"/>
    <xf numFmtId="0" fontId="3" fillId="0" borderId="3" xfId="0" applyFont="1" applyFill="1" applyBorder="1" applyAlignment="1" applyProtection="1">
      <alignment horizontal="center"/>
      <protection hidden="1"/>
    </xf>
    <xf numFmtId="1" fontId="0" fillId="0" borderId="0" xfId="0" applyNumberFormat="1" applyBorder="1"/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2" fillId="0" borderId="4" xfId="0" applyFont="1" applyFill="1" applyBorder="1" applyProtection="1"/>
    <xf numFmtId="0" fontId="13" fillId="0" borderId="5" xfId="0" applyFont="1" applyBorder="1" applyAlignment="1" applyProtection="1">
      <alignment vertical="center"/>
      <protection hidden="1"/>
    </xf>
    <xf numFmtId="0" fontId="8" fillId="0" borderId="0" xfId="0" applyFont="1"/>
    <xf numFmtId="14" fontId="4" fillId="0" borderId="0" xfId="0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Protection="1"/>
    <xf numFmtId="0" fontId="2" fillId="3" borderId="7" xfId="0" applyFont="1" applyFill="1" applyBorder="1" applyAlignment="1">
      <alignment horizontal="center"/>
    </xf>
    <xf numFmtId="1" fontId="4" fillId="3" borderId="8" xfId="0" applyNumberFormat="1" applyFont="1" applyFill="1" applyBorder="1" applyAlignment="1" applyProtection="1">
      <alignment horizontal="center"/>
    </xf>
    <xf numFmtId="0" fontId="12" fillId="4" borderId="9" xfId="0" applyFont="1" applyFill="1" applyBorder="1" applyAlignment="1">
      <alignment vertical="center"/>
    </xf>
    <xf numFmtId="0" fontId="15" fillId="0" borderId="0" xfId="0" applyFont="1" applyAlignment="1"/>
    <xf numFmtId="0" fontId="15" fillId="0" borderId="0" xfId="0" applyFont="1" applyAlignment="1">
      <alignment vertical="center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4" xfId="0" applyNumberFormat="1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2" fillId="3" borderId="16" xfId="0" applyFont="1" applyFill="1" applyBorder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left"/>
    </xf>
    <xf numFmtId="0" fontId="12" fillId="0" borderId="5" xfId="0" applyFont="1" applyBorder="1" applyAlignment="1" applyProtection="1">
      <alignment vertical="center"/>
      <protection hidden="1"/>
    </xf>
    <xf numFmtId="0" fontId="3" fillId="0" borderId="0" xfId="0" applyFont="1" applyBorder="1" applyProtection="1"/>
    <xf numFmtId="0" fontId="13" fillId="0" borderId="17" xfId="0" applyFont="1" applyFill="1" applyBorder="1" applyAlignment="1" applyProtection="1">
      <alignment horizontal="left" vertical="top"/>
      <protection hidden="1"/>
    </xf>
    <xf numFmtId="0" fontId="12" fillId="0" borderId="17" xfId="0" applyFont="1" applyFill="1" applyBorder="1" applyAlignment="1" applyProtection="1">
      <alignment horizontal="left" vertical="top"/>
      <protection hidden="1"/>
    </xf>
    <xf numFmtId="0" fontId="12" fillId="0" borderId="9" xfId="0" applyFont="1" applyFill="1" applyBorder="1" applyAlignment="1" applyProtection="1">
      <alignment horizontal="left" vertical="top"/>
      <protection hidden="1"/>
    </xf>
    <xf numFmtId="0" fontId="13" fillId="0" borderId="18" xfId="0" applyFont="1" applyFill="1" applyBorder="1" applyAlignment="1" applyProtection="1">
      <alignment horizontal="left" vertical="top"/>
      <protection hidden="1"/>
    </xf>
    <xf numFmtId="0" fontId="8" fillId="0" borderId="0" xfId="0" applyFont="1" applyAlignment="1"/>
    <xf numFmtId="0" fontId="13" fillId="0" borderId="19" xfId="0" applyFont="1" applyBorder="1" applyAlignment="1" applyProtection="1">
      <alignment horizontal="right" vertical="center"/>
      <protection hidden="1"/>
    </xf>
    <xf numFmtId="0" fontId="13" fillId="0" borderId="0" xfId="0" applyFont="1" applyAlignment="1"/>
    <xf numFmtId="0" fontId="13" fillId="0" borderId="20" xfId="0" applyFont="1" applyBorder="1"/>
    <xf numFmtId="174" fontId="13" fillId="0" borderId="21" xfId="0" applyNumberFormat="1" applyFont="1" applyBorder="1"/>
    <xf numFmtId="3" fontId="13" fillId="0" borderId="22" xfId="0" applyNumberFormat="1" applyFont="1" applyFill="1" applyBorder="1"/>
    <xf numFmtId="3" fontId="13" fillId="0" borderId="22" xfId="0" applyNumberFormat="1" applyFont="1" applyBorder="1"/>
    <xf numFmtId="0" fontId="5" fillId="0" borderId="0" xfId="0" applyFont="1" applyAlignment="1">
      <alignment vertical="center"/>
    </xf>
    <xf numFmtId="0" fontId="13" fillId="0" borderId="4" xfId="0" applyFont="1" applyFill="1" applyBorder="1" applyAlignment="1" applyProtection="1">
      <alignment horizontal="center"/>
      <protection hidden="1"/>
    </xf>
    <xf numFmtId="0" fontId="13" fillId="0" borderId="23" xfId="0" applyFont="1" applyFill="1" applyBorder="1" applyAlignment="1" applyProtection="1">
      <alignment horizontal="left" vertical="center"/>
      <protection hidden="1"/>
    </xf>
    <xf numFmtId="0" fontId="13" fillId="0" borderId="12" xfId="0" applyFont="1" applyFill="1" applyBorder="1" applyAlignment="1" applyProtection="1">
      <alignment horizontal="center"/>
      <protection hidden="1"/>
    </xf>
    <xf numFmtId="0" fontId="13" fillId="0" borderId="14" xfId="0" applyFont="1" applyFill="1" applyBorder="1" applyAlignment="1" applyProtection="1">
      <alignment horizontal="center"/>
      <protection hidden="1"/>
    </xf>
    <xf numFmtId="0" fontId="13" fillId="0" borderId="1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/>
    </xf>
    <xf numFmtId="3" fontId="13" fillId="5" borderId="23" xfId="0" applyNumberFormat="1" applyFont="1" applyFill="1" applyBorder="1" applyAlignment="1" applyProtection="1">
      <alignment horizontal="right" vertical="center"/>
      <protection locked="0"/>
    </xf>
    <xf numFmtId="0" fontId="13" fillId="5" borderId="23" xfId="0" applyFont="1" applyFill="1" applyBorder="1" applyAlignment="1" applyProtection="1">
      <alignment horizontal="left" vertical="center"/>
      <protection locked="0"/>
    </xf>
    <xf numFmtId="3" fontId="13" fillId="0" borderId="22" xfId="0" applyNumberFormat="1" applyFont="1" applyFill="1" applyBorder="1" applyProtection="1">
      <protection hidden="1"/>
    </xf>
    <xf numFmtId="3" fontId="13" fillId="0" borderId="0" xfId="0" applyNumberFormat="1" applyFont="1" applyFill="1" applyBorder="1" applyAlignment="1" applyProtection="1">
      <alignment vertical="center"/>
      <protection hidden="1"/>
    </xf>
    <xf numFmtId="3" fontId="5" fillId="5" borderId="5" xfId="0" applyNumberFormat="1" applyFont="1" applyFill="1" applyBorder="1" applyAlignment="1" applyProtection="1">
      <alignment horizontal="right"/>
      <protection locked="0"/>
    </xf>
    <xf numFmtId="3" fontId="5" fillId="0" borderId="5" xfId="0" applyNumberFormat="1" applyFont="1" applyFill="1" applyBorder="1" applyAlignment="1" applyProtection="1">
      <alignment horizontal="right"/>
      <protection hidden="1"/>
    </xf>
    <xf numFmtId="3" fontId="5" fillId="5" borderId="24" xfId="0" applyNumberFormat="1" applyFont="1" applyFill="1" applyBorder="1" applyAlignment="1" applyProtection="1">
      <alignment horizontal="right"/>
      <protection locked="0"/>
    </xf>
    <xf numFmtId="4" fontId="5" fillId="0" borderId="24" xfId="0" applyNumberFormat="1" applyFont="1" applyFill="1" applyBorder="1" applyAlignment="1" applyProtection="1">
      <alignment horizontal="right"/>
      <protection hidden="1"/>
    </xf>
    <xf numFmtId="3" fontId="5" fillId="0" borderId="0" xfId="0" applyNumberFormat="1" applyFont="1" applyFill="1" applyBorder="1" applyAlignment="1" applyProtection="1">
      <alignment horizontal="right"/>
      <protection hidden="1"/>
    </xf>
    <xf numFmtId="0" fontId="0" fillId="0" borderId="25" xfId="0" applyBorder="1"/>
    <xf numFmtId="0" fontId="13" fillId="0" borderId="22" xfId="0" applyFont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3" fillId="0" borderId="21" xfId="0" applyFont="1" applyFill="1" applyBorder="1" applyAlignment="1" applyProtection="1">
      <alignment horizontal="center"/>
      <protection hidden="1"/>
    </xf>
    <xf numFmtId="0" fontId="13" fillId="0" borderId="2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20" xfId="0" applyFont="1" applyBorder="1" applyAlignment="1">
      <alignment vertical="center"/>
    </xf>
    <xf numFmtId="174" fontId="13" fillId="0" borderId="22" xfId="0" applyNumberFormat="1" applyFont="1" applyFill="1" applyBorder="1" applyAlignment="1">
      <alignment vertical="center"/>
    </xf>
    <xf numFmtId="174" fontId="13" fillId="0" borderId="21" xfId="0" applyNumberFormat="1" applyFont="1" applyFill="1" applyBorder="1" applyAlignment="1">
      <alignment vertical="center"/>
    </xf>
    <xf numFmtId="174" fontId="13" fillId="0" borderId="21" xfId="0" applyNumberFormat="1" applyFont="1" applyBorder="1" applyAlignment="1">
      <alignment vertical="center"/>
    </xf>
    <xf numFmtId="0" fontId="13" fillId="0" borderId="27" xfId="0" applyFont="1" applyFill="1" applyBorder="1" applyAlignment="1" applyProtection="1">
      <alignment vertical="center"/>
      <protection hidden="1"/>
    </xf>
    <xf numFmtId="0" fontId="13" fillId="0" borderId="28" xfId="0" applyFont="1" applyBorder="1"/>
    <xf numFmtId="0" fontId="13" fillId="0" borderId="29" xfId="0" applyFont="1" applyBorder="1" applyAlignment="1" applyProtection="1">
      <alignment horizontal="right" vertical="center"/>
      <protection hidden="1"/>
    </xf>
    <xf numFmtId="0" fontId="13" fillId="0" borderId="22" xfId="0" applyFont="1" applyBorder="1" applyAlignment="1" applyProtection="1">
      <alignment horizontal="right" vertical="center"/>
      <protection hidden="1"/>
    </xf>
    <xf numFmtId="0" fontId="13" fillId="0" borderId="30" xfId="0" applyFont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0" fontId="13" fillId="0" borderId="31" xfId="0" applyFont="1" applyBorder="1" applyAlignment="1">
      <alignment horizontal="right"/>
    </xf>
    <xf numFmtId="0" fontId="13" fillId="0" borderId="22" xfId="0" applyFont="1" applyFill="1" applyBorder="1" applyAlignment="1" applyProtection="1">
      <alignment horizontal="left"/>
      <protection hidden="1"/>
    </xf>
    <xf numFmtId="0" fontId="13" fillId="0" borderId="32" xfId="0" applyFont="1" applyFill="1" applyBorder="1" applyAlignment="1">
      <alignment horizontal="right"/>
    </xf>
    <xf numFmtId="0" fontId="13" fillId="0" borderId="33" xfId="0" applyFont="1" applyBorder="1"/>
    <xf numFmtId="0" fontId="13" fillId="0" borderId="33" xfId="0" applyFont="1" applyFill="1" applyBorder="1"/>
    <xf numFmtId="0" fontId="13" fillId="0" borderId="32" xfId="0" applyFont="1" applyBorder="1" applyAlignment="1">
      <alignment horizontal="right"/>
    </xf>
    <xf numFmtId="0" fontId="13" fillId="0" borderId="13" xfId="0" applyFont="1" applyFill="1" applyBorder="1"/>
    <xf numFmtId="3" fontId="12" fillId="0" borderId="22" xfId="0" applyNumberFormat="1" applyFont="1" applyBorder="1"/>
    <xf numFmtId="174" fontId="12" fillId="0" borderId="21" xfId="0" applyNumberFormat="1" applyFont="1" applyBorder="1"/>
    <xf numFmtId="3" fontId="12" fillId="0" borderId="19" xfId="0" applyNumberFormat="1" applyFont="1" applyBorder="1" applyAlignment="1">
      <alignment vertical="center"/>
    </xf>
    <xf numFmtId="174" fontId="12" fillId="0" borderId="34" xfId="0" applyNumberFormat="1" applyFont="1" applyBorder="1" applyAlignment="1">
      <alignment vertical="center"/>
    </xf>
    <xf numFmtId="0" fontId="2" fillId="0" borderId="0" xfId="0" applyFont="1" applyFill="1" applyBorder="1"/>
    <xf numFmtId="0" fontId="23" fillId="0" borderId="0" xfId="0" applyFont="1"/>
    <xf numFmtId="0" fontId="0" fillId="0" borderId="35" xfId="0" applyBorder="1" applyAlignment="1">
      <alignment horizontal="center"/>
    </xf>
    <xf numFmtId="0" fontId="12" fillId="0" borderId="15" xfId="0" applyFont="1" applyFill="1" applyBorder="1" applyAlignment="1">
      <alignment horizontal="left"/>
    </xf>
    <xf numFmtId="3" fontId="12" fillId="0" borderId="15" xfId="0" applyNumberFormat="1" applyFont="1" applyFill="1" applyBorder="1" applyAlignment="1" applyProtection="1">
      <alignment horizontal="right" vertical="center"/>
    </xf>
    <xf numFmtId="0" fontId="12" fillId="0" borderId="15" xfId="0" applyNumberFormat="1" applyFont="1" applyFill="1" applyBorder="1" applyAlignment="1" applyProtection="1">
      <alignment vertical="center"/>
      <protection hidden="1"/>
    </xf>
    <xf numFmtId="0" fontId="12" fillId="0" borderId="18" xfId="0" applyNumberFormat="1" applyFont="1" applyFill="1" applyBorder="1" applyAlignment="1" applyProtection="1">
      <alignment vertical="center"/>
      <protection hidden="1"/>
    </xf>
    <xf numFmtId="3" fontId="12" fillId="0" borderId="17" xfId="0" applyNumberFormat="1" applyFont="1" applyFill="1" applyBorder="1" applyAlignment="1" applyProtection="1">
      <alignment horizontal="right" vertical="top"/>
      <protection hidden="1"/>
    </xf>
    <xf numFmtId="0" fontId="13" fillId="0" borderId="23" xfId="0" applyFont="1" applyFill="1" applyBorder="1" applyAlignment="1" applyProtection="1">
      <alignment horizontal="left"/>
      <protection hidden="1"/>
    </xf>
    <xf numFmtId="0" fontId="3" fillId="0" borderId="0" xfId="0" applyFont="1" applyAlignment="1"/>
    <xf numFmtId="0" fontId="13" fillId="0" borderId="36" xfId="0" applyFont="1" applyFill="1" applyBorder="1" applyAlignment="1" applyProtection="1">
      <alignment horizontal="left"/>
      <protection hidden="1"/>
    </xf>
    <xf numFmtId="0" fontId="13" fillId="0" borderId="10" xfId="0" applyFont="1" applyFill="1" applyBorder="1" applyAlignment="1" applyProtection="1">
      <alignment horizontal="left"/>
      <protection hidden="1"/>
    </xf>
    <xf numFmtId="0" fontId="13" fillId="0" borderId="37" xfId="0" applyFont="1" applyFill="1" applyBorder="1" applyAlignment="1" applyProtection="1">
      <alignment horizontal="center" vertical="center"/>
      <protection hidden="1"/>
    </xf>
    <xf numFmtId="0" fontId="12" fillId="0" borderId="15" xfId="0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center"/>
    </xf>
    <xf numFmtId="3" fontId="13" fillId="5" borderId="22" xfId="0" applyNumberFormat="1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5" fillId="0" borderId="0" xfId="0" applyFont="1"/>
    <xf numFmtId="0" fontId="13" fillId="0" borderId="38" xfId="0" applyFont="1" applyBorder="1" applyAlignment="1" applyProtection="1">
      <protection locked="0"/>
    </xf>
    <xf numFmtId="0" fontId="13" fillId="0" borderId="35" xfId="0" applyFont="1" applyBorder="1" applyAlignment="1" applyProtection="1">
      <protection locked="0"/>
    </xf>
    <xf numFmtId="0" fontId="5" fillId="0" borderId="22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5" fillId="0" borderId="0" xfId="0" applyFont="1" applyAlignment="1"/>
    <xf numFmtId="0" fontId="5" fillId="0" borderId="19" xfId="0" applyFont="1" applyFill="1" applyBorder="1" applyAlignment="1" applyProtection="1">
      <alignment horizontal="center"/>
      <protection hidden="1"/>
    </xf>
    <xf numFmtId="0" fontId="5" fillId="0" borderId="40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5" fillId="0" borderId="33" xfId="0" applyFont="1" applyFill="1" applyBorder="1" applyAlignment="1" applyProtection="1">
      <alignment horizontal="center"/>
      <protection hidden="1"/>
    </xf>
    <xf numFmtId="0" fontId="5" fillId="0" borderId="13" xfId="0" applyFont="1" applyFill="1" applyBorder="1" applyAlignment="1" applyProtection="1">
      <alignment horizontal="center"/>
      <protection hidden="1"/>
    </xf>
    <xf numFmtId="0" fontId="5" fillId="0" borderId="29" xfId="0" applyFont="1" applyFill="1" applyBorder="1" applyAlignment="1" applyProtection="1">
      <alignment horizontal="center"/>
      <protection hidden="1"/>
    </xf>
    <xf numFmtId="0" fontId="5" fillId="0" borderId="27" xfId="0" applyFont="1" applyFill="1" applyBorder="1" applyAlignment="1" applyProtection="1">
      <alignment horizontal="left" vertical="center"/>
      <protection hidden="1"/>
    </xf>
    <xf numFmtId="0" fontId="5" fillId="0" borderId="41" xfId="0" applyFont="1" applyFill="1" applyBorder="1" applyAlignment="1" applyProtection="1">
      <alignment horizontal="left" vertical="center"/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5" fillId="0" borderId="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2" fillId="0" borderId="19" xfId="0" applyFont="1" applyFill="1" applyBorder="1" applyAlignment="1" applyProtection="1">
      <alignment horizontal="center"/>
      <protection hidden="1"/>
    </xf>
    <xf numFmtId="0" fontId="5" fillId="0" borderId="4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top"/>
    </xf>
    <xf numFmtId="3" fontId="12" fillId="0" borderId="15" xfId="0" applyNumberFormat="1" applyFont="1" applyFill="1" applyBorder="1" applyAlignment="1" applyProtection="1">
      <alignment horizontal="right"/>
    </xf>
    <xf numFmtId="0" fontId="12" fillId="0" borderId="15" xfId="0" applyNumberFormat="1" applyFont="1" applyFill="1" applyBorder="1" applyAlignment="1" applyProtection="1">
      <alignment horizontal="left" vertical="top"/>
    </xf>
    <xf numFmtId="3" fontId="13" fillId="0" borderId="15" xfId="0" applyNumberFormat="1" applyFont="1" applyFill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13" fillId="0" borderId="35" xfId="0" applyFont="1" applyBorder="1" applyAlignment="1" applyProtection="1"/>
    <xf numFmtId="0" fontId="13" fillId="0" borderId="35" xfId="0" applyFont="1" applyBorder="1" applyProtection="1">
      <protection locked="0"/>
    </xf>
    <xf numFmtId="0" fontId="13" fillId="0" borderId="35" xfId="0" applyFont="1" applyBorder="1" applyAlignment="1" applyProtection="1">
      <alignment vertical="center"/>
      <protection locked="0"/>
    </xf>
    <xf numFmtId="0" fontId="13" fillId="0" borderId="35" xfId="0" applyFont="1" applyBorder="1" applyProtection="1"/>
    <xf numFmtId="0" fontId="13" fillId="0" borderId="42" xfId="0" applyFont="1" applyBorder="1" applyProtection="1">
      <protection locked="0"/>
    </xf>
    <xf numFmtId="0" fontId="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2" fillId="0" borderId="27" xfId="0" applyFont="1" applyFill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5" fillId="0" borderId="24" xfId="0" applyFont="1" applyBorder="1" applyAlignment="1">
      <alignment horizontal="center"/>
    </xf>
    <xf numFmtId="0" fontId="2" fillId="0" borderId="1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center"/>
    </xf>
    <xf numFmtId="14" fontId="3" fillId="0" borderId="0" xfId="0" applyNumberFormat="1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1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169" fontId="0" fillId="0" borderId="0" xfId="0" applyNumberFormat="1" applyBorder="1"/>
    <xf numFmtId="0" fontId="3" fillId="0" borderId="0" xfId="0" applyFont="1" applyFill="1" applyBorder="1"/>
    <xf numFmtId="1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0" fontId="4" fillId="0" borderId="3" xfId="0" applyFont="1" applyBorder="1"/>
    <xf numFmtId="1" fontId="4" fillId="0" borderId="0" xfId="0" applyNumberFormat="1" applyFont="1" applyBorder="1" applyAlignment="1" applyProtection="1">
      <alignment horizontal="center"/>
      <protection hidden="1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" fontId="3" fillId="0" borderId="0" xfId="0" applyNumberFormat="1" applyFont="1"/>
    <xf numFmtId="3" fontId="5" fillId="5" borderId="27" xfId="0" applyNumberFormat="1" applyFont="1" applyFill="1" applyBorder="1" applyAlignment="1" applyProtection="1">
      <alignment horizontal="right"/>
      <protection locked="0"/>
    </xf>
    <xf numFmtId="3" fontId="5" fillId="0" borderId="27" xfId="0" applyNumberFormat="1" applyFont="1" applyFill="1" applyBorder="1" applyAlignment="1" applyProtection="1">
      <alignment horizontal="right"/>
      <protection hidden="1"/>
    </xf>
    <xf numFmtId="175" fontId="5" fillId="5" borderId="5" xfId="0" applyNumberFormat="1" applyFont="1" applyFill="1" applyBorder="1" applyAlignment="1" applyProtection="1">
      <alignment horizontal="right"/>
      <protection locked="0"/>
    </xf>
    <xf numFmtId="175" fontId="5" fillId="5" borderId="24" xfId="0" applyNumberFormat="1" applyFont="1" applyFill="1" applyBorder="1" applyAlignment="1" applyProtection="1">
      <alignment horizontal="right"/>
      <protection locked="0"/>
    </xf>
    <xf numFmtId="3" fontId="5" fillId="0" borderId="24" xfId="0" applyNumberFormat="1" applyFont="1" applyFill="1" applyBorder="1" applyAlignment="1" applyProtection="1">
      <alignment horizontal="right"/>
      <protection hidden="1"/>
    </xf>
    <xf numFmtId="173" fontId="5" fillId="0" borderId="24" xfId="0" applyNumberFormat="1" applyFont="1" applyBorder="1" applyAlignment="1">
      <alignment horizontal="right"/>
    </xf>
    <xf numFmtId="3" fontId="2" fillId="0" borderId="23" xfId="0" applyNumberFormat="1" applyFont="1" applyBorder="1" applyAlignment="1" applyProtection="1">
      <alignment horizontal="right"/>
    </xf>
    <xf numFmtId="3" fontId="13" fillId="0" borderId="23" xfId="0" applyNumberFormat="1" applyFont="1" applyFill="1" applyBorder="1" applyAlignment="1" applyProtection="1">
      <alignment vertical="center"/>
      <protection hidden="1"/>
    </xf>
    <xf numFmtId="3" fontId="13" fillId="0" borderId="43" xfId="0" applyNumberFormat="1" applyFont="1" applyFill="1" applyBorder="1" applyAlignment="1" applyProtection="1">
      <alignment vertical="center"/>
      <protection hidden="1"/>
    </xf>
    <xf numFmtId="3" fontId="5" fillId="0" borderId="24" xfId="0" applyNumberFormat="1" applyFont="1" applyFill="1" applyBorder="1" applyAlignment="1" applyProtection="1">
      <alignment vertical="center"/>
      <protection hidden="1"/>
    </xf>
    <xf numFmtId="3" fontId="5" fillId="0" borderId="21" xfId="0" applyNumberFormat="1" applyFont="1" applyFill="1" applyBorder="1" applyAlignment="1" applyProtection="1">
      <alignment vertical="center"/>
      <protection hidden="1"/>
    </xf>
    <xf numFmtId="3" fontId="5" fillId="5" borderId="24" xfId="0" applyNumberFormat="1" applyFont="1" applyFill="1" applyBorder="1" applyAlignment="1" applyProtection="1">
      <alignment vertical="center"/>
      <protection locked="0"/>
    </xf>
    <xf numFmtId="3" fontId="5" fillId="5" borderId="21" xfId="0" applyNumberFormat="1" applyFont="1" applyFill="1" applyBorder="1" applyAlignment="1" applyProtection="1">
      <alignment vertical="center"/>
      <protection locked="0"/>
    </xf>
    <xf numFmtId="168" fontId="5" fillId="5" borderId="24" xfId="0" applyNumberFormat="1" applyFont="1" applyFill="1" applyBorder="1" applyAlignment="1" applyProtection="1">
      <alignment vertical="center"/>
      <protection locked="0"/>
    </xf>
    <xf numFmtId="168" fontId="5" fillId="5" borderId="21" xfId="0" applyNumberFormat="1" applyFont="1" applyFill="1" applyBorder="1" applyAlignment="1" applyProtection="1">
      <alignment vertical="center"/>
      <protection locked="0"/>
    </xf>
    <xf numFmtId="3" fontId="5" fillId="0" borderId="44" xfId="0" applyNumberFormat="1" applyFont="1" applyFill="1" applyBorder="1" applyAlignment="1" applyProtection="1">
      <alignment vertical="center"/>
      <protection hidden="1"/>
    </xf>
    <xf numFmtId="3" fontId="5" fillId="0" borderId="34" xfId="0" applyNumberFormat="1" applyFont="1" applyFill="1" applyBorder="1" applyAlignment="1" applyProtection="1">
      <alignment vertical="center"/>
      <protection hidden="1"/>
    </xf>
    <xf numFmtId="3" fontId="13" fillId="0" borderId="23" xfId="0" applyNumberFormat="1" applyFont="1" applyFill="1" applyBorder="1" applyAlignment="1" applyProtection="1">
      <alignment vertical="center"/>
    </xf>
    <xf numFmtId="3" fontId="13" fillId="0" borderId="43" xfId="0" applyNumberFormat="1" applyFont="1" applyFill="1" applyBorder="1" applyAlignment="1" applyProtection="1">
      <alignment vertical="center"/>
    </xf>
    <xf numFmtId="3" fontId="5" fillId="0" borderId="24" xfId="0" applyNumberFormat="1" applyFont="1" applyFill="1" applyBorder="1" applyAlignment="1" applyProtection="1">
      <alignment vertical="center"/>
    </xf>
    <xf numFmtId="3" fontId="5" fillId="0" borderId="21" xfId="0" applyNumberFormat="1" applyFont="1" applyFill="1" applyBorder="1" applyAlignment="1" applyProtection="1">
      <alignment vertical="center"/>
    </xf>
    <xf numFmtId="3" fontId="13" fillId="5" borderId="23" xfId="0" applyNumberFormat="1" applyFont="1" applyFill="1" applyBorder="1" applyAlignment="1" applyProtection="1">
      <alignment vertical="center"/>
      <protection locked="0"/>
    </xf>
    <xf numFmtId="3" fontId="13" fillId="5" borderId="43" xfId="0" applyNumberFormat="1" applyFont="1" applyFill="1" applyBorder="1" applyAlignment="1" applyProtection="1">
      <alignment vertical="center"/>
      <protection locked="0"/>
    </xf>
    <xf numFmtId="3" fontId="13" fillId="5" borderId="17" xfId="0" applyNumberFormat="1" applyFont="1" applyFill="1" applyBorder="1" applyAlignment="1" applyProtection="1">
      <alignment vertical="center"/>
      <protection locked="0"/>
    </xf>
    <xf numFmtId="3" fontId="13" fillId="5" borderId="45" xfId="0" applyNumberFormat="1" applyFont="1" applyFill="1" applyBorder="1" applyAlignment="1" applyProtection="1">
      <alignment vertical="center"/>
      <protection locked="0"/>
    </xf>
    <xf numFmtId="3" fontId="12" fillId="0" borderId="46" xfId="0" applyNumberFormat="1" applyFont="1" applyFill="1" applyBorder="1" applyAlignment="1" applyProtection="1">
      <alignment vertical="center"/>
    </xf>
    <xf numFmtId="3" fontId="12" fillId="0" borderId="47" xfId="0" applyNumberFormat="1" applyFont="1" applyFill="1" applyBorder="1" applyAlignment="1" applyProtection="1">
      <alignment vertical="center"/>
    </xf>
    <xf numFmtId="3" fontId="12" fillId="0" borderId="15" xfId="0" applyNumberFormat="1" applyFont="1" applyFill="1" applyBorder="1" applyAlignment="1" applyProtection="1">
      <alignment vertical="center"/>
    </xf>
    <xf numFmtId="3" fontId="5" fillId="0" borderId="48" xfId="0" applyNumberFormat="1" applyFont="1" applyFill="1" applyBorder="1" applyAlignment="1" applyProtection="1">
      <alignment vertical="center"/>
      <protection hidden="1"/>
    </xf>
    <xf numFmtId="3" fontId="5" fillId="0" borderId="49" xfId="0" applyNumberFormat="1" applyFont="1" applyFill="1" applyBorder="1" applyAlignment="1" applyProtection="1">
      <alignment vertical="center"/>
      <protection hidden="1"/>
    </xf>
    <xf numFmtId="3" fontId="5" fillId="0" borderId="44" xfId="0" applyNumberFormat="1" applyFont="1" applyFill="1" applyBorder="1" applyAlignment="1" applyProtection="1">
      <alignment vertical="center"/>
    </xf>
    <xf numFmtId="3" fontId="5" fillId="0" borderId="34" xfId="0" applyNumberFormat="1" applyFont="1" applyFill="1" applyBorder="1" applyAlignment="1" applyProtection="1">
      <alignment vertical="center"/>
    </xf>
    <xf numFmtId="1" fontId="5" fillId="5" borderId="24" xfId="0" applyNumberFormat="1" applyFont="1" applyFill="1" applyBorder="1" applyAlignment="1" applyProtection="1">
      <alignment vertical="center"/>
      <protection locked="0"/>
    </xf>
    <xf numFmtId="1" fontId="5" fillId="5" borderId="21" xfId="0" applyNumberFormat="1" applyFont="1" applyFill="1" applyBorder="1" applyAlignment="1" applyProtection="1">
      <alignment vertical="center"/>
      <protection locked="0"/>
    </xf>
    <xf numFmtId="3" fontId="12" fillId="0" borderId="17" xfId="0" applyNumberFormat="1" applyFont="1" applyFill="1" applyBorder="1" applyAlignment="1" applyProtection="1">
      <alignment vertical="center"/>
      <protection hidden="1"/>
    </xf>
    <xf numFmtId="3" fontId="12" fillId="0" borderId="45" xfId="0" applyNumberFormat="1" applyFont="1" applyFill="1" applyBorder="1" applyAlignment="1" applyProtection="1">
      <alignment vertical="center"/>
      <protection hidden="1"/>
    </xf>
    <xf numFmtId="3" fontId="13" fillId="0" borderId="17" xfId="0" applyNumberFormat="1" applyFont="1" applyFill="1" applyBorder="1" applyAlignment="1" applyProtection="1">
      <alignment vertical="center"/>
    </xf>
    <xf numFmtId="3" fontId="13" fillId="0" borderId="45" xfId="0" applyNumberFormat="1" applyFont="1" applyFill="1" applyBorder="1" applyAlignment="1" applyProtection="1">
      <alignment vertical="center"/>
    </xf>
    <xf numFmtId="3" fontId="13" fillId="0" borderId="6" xfId="0" applyNumberFormat="1" applyFont="1" applyFill="1" applyBorder="1" applyAlignment="1" applyProtection="1"/>
    <xf numFmtId="168" fontId="5" fillId="0" borderId="24" xfId="0" applyNumberFormat="1" applyFont="1" applyFill="1" applyBorder="1" applyAlignment="1" applyProtection="1">
      <alignment vertical="center"/>
      <protection hidden="1"/>
    </xf>
    <xf numFmtId="168" fontId="5" fillId="0" borderId="21" xfId="0" applyNumberFormat="1" applyFont="1" applyFill="1" applyBorder="1" applyAlignment="1" applyProtection="1">
      <alignment vertical="center"/>
      <protection hidden="1"/>
    </xf>
    <xf numFmtId="0" fontId="2" fillId="0" borderId="50" xfId="0" applyFont="1" applyFill="1" applyBorder="1" applyAlignment="1" applyProtection="1">
      <alignment horizontal="center"/>
      <protection hidden="1"/>
    </xf>
    <xf numFmtId="0" fontId="5" fillId="0" borderId="51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3" fontId="5" fillId="0" borderId="53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/>
    </xf>
    <xf numFmtId="0" fontId="12" fillId="0" borderId="38" xfId="0" applyNumberFormat="1" applyFont="1" applyFill="1" applyBorder="1" applyAlignment="1" applyProtection="1">
      <alignment horizontal="left" vertical="center"/>
    </xf>
    <xf numFmtId="0" fontId="12" fillId="0" borderId="54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0" fontId="8" fillId="0" borderId="0" xfId="0" applyFont="1" applyAlignment="1">
      <alignment horizontal="right"/>
    </xf>
    <xf numFmtId="0" fontId="7" fillId="0" borderId="0" xfId="0" applyFont="1" applyFill="1"/>
    <xf numFmtId="0" fontId="7" fillId="0" borderId="0" xfId="0" applyFont="1"/>
    <xf numFmtId="0" fontId="37" fillId="0" borderId="0" xfId="0" applyFont="1" applyAlignment="1">
      <alignment horizontal="left"/>
    </xf>
    <xf numFmtId="0" fontId="37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Border="1" applyAlignment="1" applyProtection="1">
      <alignment horizontal="center" vertical="center"/>
      <protection hidden="1"/>
    </xf>
    <xf numFmtId="8" fontId="7" fillId="0" borderId="0" xfId="0" applyNumberFormat="1" applyFont="1" applyBorder="1" applyProtection="1">
      <protection hidden="1"/>
    </xf>
    <xf numFmtId="0" fontId="28" fillId="0" borderId="0" xfId="0" applyFont="1" applyProtection="1">
      <protection hidden="1"/>
    </xf>
    <xf numFmtId="0" fontId="29" fillId="0" borderId="0" xfId="0" applyFont="1" applyAlignment="1" applyProtection="1">
      <alignment horizontal="right"/>
      <protection hidden="1"/>
    </xf>
    <xf numFmtId="0" fontId="4" fillId="0" borderId="51" xfId="0" applyFont="1" applyFill="1" applyBorder="1" applyAlignment="1" applyProtection="1">
      <alignment horizontal="left"/>
    </xf>
    <xf numFmtId="4" fontId="3" fillId="0" borderId="2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52" xfId="0" applyFont="1" applyFill="1" applyBorder="1" applyAlignment="1" applyProtection="1">
      <alignment horizontal="left"/>
    </xf>
    <xf numFmtId="179" fontId="4" fillId="0" borderId="39" xfId="2" applyNumberFormat="1" applyFont="1" applyBorder="1" applyAlignment="1" applyProtection="1">
      <alignment horizontal="center" vertical="center"/>
      <protection hidden="1"/>
    </xf>
    <xf numFmtId="179" fontId="4" fillId="0" borderId="24" xfId="2" applyNumberFormat="1" applyFont="1" applyBorder="1" applyAlignment="1" applyProtection="1">
      <alignment horizontal="center" vertical="center"/>
      <protection hidden="1"/>
    </xf>
    <xf numFmtId="179" fontId="4" fillId="0" borderId="21" xfId="2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24" fillId="0" borderId="0" xfId="0" applyFont="1"/>
    <xf numFmtId="0" fontId="0" fillId="0" borderId="0" xfId="0" applyFill="1" applyAlignment="1">
      <alignment horizontal="right"/>
    </xf>
    <xf numFmtId="1" fontId="4" fillId="0" borderId="39" xfId="2" applyNumberFormat="1" applyFont="1" applyFill="1" applyBorder="1" applyAlignment="1" applyProtection="1">
      <alignment horizontal="center" vertical="center"/>
    </xf>
    <xf numFmtId="1" fontId="4" fillId="0" borderId="24" xfId="2" applyNumberFormat="1" applyFont="1" applyFill="1" applyBorder="1" applyAlignment="1" applyProtection="1">
      <alignment horizontal="center" vertical="center"/>
    </xf>
    <xf numFmtId="8" fontId="4" fillId="0" borderId="55" xfId="0" applyNumberFormat="1" applyFont="1" applyBorder="1" applyAlignment="1" applyProtection="1">
      <alignment horizontal="center" vertical="center"/>
      <protection hidden="1"/>
    </xf>
    <xf numFmtId="174" fontId="4" fillId="0" borderId="39" xfId="0" applyNumberFormat="1" applyFont="1" applyBorder="1" applyAlignment="1" applyProtection="1">
      <alignment horizontal="center" vertical="center"/>
      <protection hidden="1"/>
    </xf>
    <xf numFmtId="174" fontId="4" fillId="0" borderId="24" xfId="0" applyNumberFormat="1" applyFont="1" applyBorder="1" applyAlignment="1" applyProtection="1">
      <alignment horizontal="center" vertical="center"/>
      <protection hidden="1"/>
    </xf>
    <xf numFmtId="185" fontId="3" fillId="0" borderId="39" xfId="0" applyNumberFormat="1" applyFont="1" applyBorder="1" applyAlignment="1" applyProtection="1">
      <alignment horizontal="center" vertical="center"/>
      <protection hidden="1"/>
    </xf>
    <xf numFmtId="185" fontId="3" fillId="0" borderId="24" xfId="0" applyNumberFormat="1" applyFont="1" applyBorder="1" applyAlignment="1" applyProtection="1">
      <alignment horizontal="center" vertical="center"/>
      <protection hidden="1"/>
    </xf>
    <xf numFmtId="185" fontId="4" fillId="0" borderId="10" xfId="0" applyNumberFormat="1" applyFont="1" applyBorder="1" applyAlignment="1" applyProtection="1">
      <alignment horizontal="center" vertical="center"/>
      <protection hidden="1"/>
    </xf>
    <xf numFmtId="185" fontId="4" fillId="0" borderId="23" xfId="0" applyNumberFormat="1" applyFont="1" applyBorder="1" applyAlignment="1" applyProtection="1">
      <alignment horizontal="center" vertical="center"/>
      <protection hidden="1"/>
    </xf>
    <xf numFmtId="185" fontId="4" fillId="0" borderId="43" xfId="0" applyNumberFormat="1" applyFont="1" applyBorder="1" applyAlignment="1" applyProtection="1">
      <alignment horizontal="center" vertical="center"/>
      <protection hidden="1"/>
    </xf>
    <xf numFmtId="185" fontId="4" fillId="0" borderId="11" xfId="0" applyNumberFormat="1" applyFont="1" applyBorder="1" applyAlignment="1" applyProtection="1">
      <alignment horizontal="center"/>
      <protection hidden="1"/>
    </xf>
    <xf numFmtId="185" fontId="4" fillId="0" borderId="44" xfId="0" applyNumberFormat="1" applyFont="1" applyBorder="1" applyAlignment="1" applyProtection="1">
      <alignment horizontal="center" vertical="center"/>
      <protection hidden="1"/>
    </xf>
    <xf numFmtId="185" fontId="4" fillId="0" borderId="34" xfId="0" applyNumberFormat="1" applyFont="1" applyBorder="1" applyAlignment="1" applyProtection="1">
      <alignment horizontal="center" vertical="center"/>
      <protection hidden="1"/>
    </xf>
    <xf numFmtId="0" fontId="38" fillId="0" borderId="0" xfId="0" applyFont="1"/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4" fontId="4" fillId="0" borderId="48" xfId="0" applyNumberFormat="1" applyFont="1" applyBorder="1" applyAlignment="1" applyProtection="1">
      <alignment horizontal="center" vertical="center"/>
      <protection hidden="1"/>
    </xf>
    <xf numFmtId="4" fontId="4" fillId="0" borderId="24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" fontId="4" fillId="0" borderId="0" xfId="0" applyNumberFormat="1" applyFont="1" applyFill="1" applyBorder="1" applyProtection="1">
      <protection hidden="1"/>
    </xf>
    <xf numFmtId="3" fontId="4" fillId="0" borderId="0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Protection="1"/>
    <xf numFmtId="1" fontId="4" fillId="0" borderId="56" xfId="0" applyNumberFormat="1" applyFont="1" applyFill="1" applyBorder="1" applyProtection="1">
      <protection hidden="1"/>
    </xf>
    <xf numFmtId="0" fontId="4" fillId="0" borderId="5" xfId="0" applyFont="1" applyBorder="1" applyAlignment="1">
      <alignment horizontal="center" vertical="center"/>
    </xf>
    <xf numFmtId="0" fontId="4" fillId="0" borderId="51" xfId="0" applyFont="1" applyBorder="1" applyAlignment="1" applyProtection="1">
      <protection locked="0"/>
    </xf>
    <xf numFmtId="0" fontId="0" fillId="0" borderId="2" xfId="0" applyBorder="1" applyAlignment="1"/>
    <xf numFmtId="0" fontId="0" fillId="0" borderId="52" xfId="0" applyBorder="1" applyAlignment="1"/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2" borderId="54" xfId="0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3" fillId="2" borderId="57" xfId="0" applyFont="1" applyFill="1" applyBorder="1" applyAlignment="1" applyProtection="1">
      <alignment horizontal="left" vertical="center"/>
      <protection locked="0"/>
    </xf>
    <xf numFmtId="0" fontId="3" fillId="2" borderId="41" xfId="0" applyFont="1" applyFill="1" applyBorder="1" applyAlignment="1" applyProtection="1">
      <alignment horizontal="left" vertical="center"/>
      <protection locked="0"/>
    </xf>
    <xf numFmtId="0" fontId="4" fillId="0" borderId="51" xfId="0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41" xfId="0" applyFont="1" applyBorder="1" applyAlignment="1" applyProtection="1">
      <alignment vertical="center"/>
      <protection locked="0"/>
    </xf>
    <xf numFmtId="3" fontId="4" fillId="5" borderId="56" xfId="0" applyNumberFormat="1" applyFont="1" applyFill="1" applyBorder="1" applyProtection="1">
      <protection locked="0"/>
    </xf>
    <xf numFmtId="1" fontId="4" fillId="5" borderId="56" xfId="0" applyNumberFormat="1" applyFont="1" applyFill="1" applyBorder="1" applyProtection="1">
      <protection locked="0"/>
    </xf>
    <xf numFmtId="10" fontId="4" fillId="5" borderId="48" xfId="0" applyNumberFormat="1" applyFont="1" applyFill="1" applyBorder="1" applyAlignment="1" applyProtection="1">
      <alignment horizontal="center" vertical="center"/>
      <protection locked="0"/>
    </xf>
    <xf numFmtId="0" fontId="4" fillId="5" borderId="27" xfId="0" applyFont="1" applyFill="1" applyBorder="1" applyAlignment="1" applyProtection="1">
      <alignment horizontal="center" vertical="center"/>
      <protection locked="0"/>
    </xf>
    <xf numFmtId="3" fontId="4" fillId="5" borderId="41" xfId="0" applyNumberFormat="1" applyFont="1" applyFill="1" applyBorder="1" applyAlignment="1" applyProtection="1">
      <alignment horizontal="center" vertical="center"/>
      <protection locked="0"/>
    </xf>
    <xf numFmtId="3" fontId="4" fillId="5" borderId="48" xfId="0" applyNumberFormat="1" applyFont="1" applyFill="1" applyBorder="1" applyAlignment="1" applyProtection="1">
      <alignment horizontal="center" vertical="center"/>
      <protection locked="0"/>
    </xf>
    <xf numFmtId="168" fontId="4" fillId="5" borderId="39" xfId="0" applyNumberFormat="1" applyFont="1" applyFill="1" applyBorder="1" applyAlignment="1" applyProtection="1">
      <alignment horizontal="center" vertical="center"/>
      <protection locked="0"/>
    </xf>
    <xf numFmtId="168" fontId="4" fillId="5" borderId="24" xfId="0" applyNumberFormat="1" applyFont="1" applyFill="1" applyBorder="1" applyAlignment="1" applyProtection="1">
      <alignment horizontal="center" vertical="center"/>
      <protection locked="0"/>
    </xf>
    <xf numFmtId="185" fontId="4" fillId="5" borderId="39" xfId="0" applyNumberFormat="1" applyFont="1" applyFill="1" applyBorder="1" applyAlignment="1" applyProtection="1">
      <alignment horizontal="center" vertical="center"/>
      <protection locked="0"/>
    </xf>
    <xf numFmtId="185" fontId="4" fillId="5" borderId="24" xfId="0" applyNumberFormat="1" applyFont="1" applyFill="1" applyBorder="1" applyAlignment="1" applyProtection="1">
      <alignment horizontal="center" vertical="center"/>
      <protection locked="0"/>
    </xf>
    <xf numFmtId="3" fontId="4" fillId="5" borderId="10" xfId="0" applyNumberFormat="1" applyFont="1" applyFill="1" applyBorder="1" applyAlignment="1" applyProtection="1">
      <alignment horizontal="center" vertical="center"/>
      <protection locked="0"/>
    </xf>
    <xf numFmtId="3" fontId="4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5" borderId="43" xfId="0" applyNumberFormat="1" applyFont="1" applyFill="1" applyBorder="1" applyAlignment="1" applyProtection="1">
      <alignment horizontal="center" vertical="center"/>
      <protection locked="0"/>
    </xf>
    <xf numFmtId="168" fontId="4" fillId="5" borderId="21" xfId="0" applyNumberFormat="1" applyFont="1" applyFill="1" applyBorder="1" applyAlignment="1" applyProtection="1">
      <alignment horizontal="center" vertical="center"/>
      <protection locked="0"/>
    </xf>
    <xf numFmtId="1" fontId="4" fillId="5" borderId="39" xfId="2" applyNumberFormat="1" applyFont="1" applyFill="1" applyBorder="1" applyAlignment="1" applyProtection="1">
      <alignment horizontal="center" vertical="center"/>
      <protection locked="0"/>
    </xf>
    <xf numFmtId="1" fontId="4" fillId="5" borderId="24" xfId="2" applyNumberFormat="1" applyFont="1" applyFill="1" applyBorder="1" applyAlignment="1" applyProtection="1">
      <alignment horizontal="center" vertical="center"/>
      <protection locked="0"/>
    </xf>
    <xf numFmtId="1" fontId="4" fillId="5" borderId="21" xfId="2" applyNumberFormat="1" applyFont="1" applyFill="1" applyBorder="1" applyAlignment="1" applyProtection="1">
      <alignment horizontal="center" vertical="center"/>
      <protection locked="0"/>
    </xf>
    <xf numFmtId="174" fontId="4" fillId="5" borderId="39" xfId="2" applyNumberFormat="1" applyFont="1" applyFill="1" applyBorder="1" applyAlignment="1" applyProtection="1">
      <alignment horizontal="center" vertical="center"/>
      <protection locked="0"/>
    </xf>
    <xf numFmtId="174" fontId="4" fillId="5" borderId="24" xfId="2" applyNumberFormat="1" applyFont="1" applyFill="1" applyBorder="1" applyAlignment="1" applyProtection="1">
      <alignment horizontal="center" vertical="center"/>
      <protection locked="0"/>
    </xf>
    <xf numFmtId="174" fontId="4" fillId="5" borderId="21" xfId="2" applyNumberFormat="1" applyFont="1" applyFill="1" applyBorder="1" applyAlignment="1" applyProtection="1">
      <alignment horizontal="center" vertical="center"/>
      <protection locked="0"/>
    </xf>
    <xf numFmtId="0" fontId="12" fillId="0" borderId="58" xfId="0" applyFont="1" applyFill="1" applyBorder="1" applyAlignment="1" applyProtection="1">
      <alignment horizontal="right" vertical="top"/>
      <protection hidden="1"/>
    </xf>
    <xf numFmtId="0" fontId="13" fillId="0" borderId="38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Fill="1" applyBorder="1" applyAlignment="1" applyProtection="1">
      <alignment horizontal="left" vertical="center"/>
      <protection locked="0"/>
    </xf>
    <xf numFmtId="0" fontId="13" fillId="0" borderId="35" xfId="0" applyNumberFormat="1" applyFont="1" applyFill="1" applyBorder="1" applyAlignment="1" applyProtection="1">
      <alignment horizontal="left" vertical="center"/>
      <protection locked="0"/>
    </xf>
    <xf numFmtId="0" fontId="13" fillId="0" borderId="0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59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168" fontId="5" fillId="5" borderId="17" xfId="0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vertic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3" fontId="12" fillId="0" borderId="0" xfId="0" applyNumberFormat="1" applyFont="1" applyFill="1" applyBorder="1" applyAlignment="1" applyProtection="1">
      <alignment vertical="center"/>
      <protection hidden="1"/>
    </xf>
    <xf numFmtId="3" fontId="5" fillId="0" borderId="60" xfId="0" applyNumberFormat="1" applyFont="1" applyFill="1" applyBorder="1" applyAlignment="1" applyProtection="1">
      <alignment vertical="center"/>
      <protection hidden="1"/>
    </xf>
    <xf numFmtId="168" fontId="5" fillId="5" borderId="45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0" fontId="13" fillId="0" borderId="38" xfId="0" applyFont="1" applyBorder="1" applyAlignment="1">
      <alignment horizontal="left" vertical="center"/>
    </xf>
    <xf numFmtId="174" fontId="13" fillId="5" borderId="22" xfId="0" applyNumberFormat="1" applyFont="1" applyFill="1" applyBorder="1" applyProtection="1">
      <protection locked="0"/>
    </xf>
    <xf numFmtId="182" fontId="5" fillId="5" borderId="5" xfId="0" applyNumberFormat="1" applyFont="1" applyFill="1" applyBorder="1" applyAlignment="1" applyProtection="1">
      <alignment horizontal="right"/>
      <protection locked="0"/>
    </xf>
    <xf numFmtId="182" fontId="5" fillId="5" borderId="24" xfId="0" applyNumberFormat="1" applyFont="1" applyFill="1" applyBorder="1" applyAlignment="1" applyProtection="1">
      <alignment horizontal="right"/>
      <protection locked="0"/>
    </xf>
    <xf numFmtId="4" fontId="5" fillId="5" borderId="5" xfId="0" applyNumberFormat="1" applyFont="1" applyFill="1" applyBorder="1" applyAlignment="1" applyProtection="1">
      <alignment horizontal="right"/>
      <protection locked="0"/>
    </xf>
    <xf numFmtId="4" fontId="5" fillId="5" borderId="24" xfId="0" applyNumberFormat="1" applyFont="1" applyFill="1" applyBorder="1" applyAlignment="1" applyProtection="1">
      <alignment horizontal="right"/>
      <protection locked="0"/>
    </xf>
    <xf numFmtId="4" fontId="5" fillId="5" borderId="44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3" fontId="3" fillId="0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Fill="1" applyBorder="1" applyAlignment="1" applyProtection="1">
      <alignment vertical="center"/>
      <protection hidden="1"/>
    </xf>
    <xf numFmtId="3" fontId="4" fillId="0" borderId="0" xfId="0" applyNumberFormat="1" applyFont="1" applyFill="1" applyBorder="1" applyAlignment="1" applyProtection="1">
      <alignment vertical="center"/>
    </xf>
    <xf numFmtId="175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68" fontId="3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10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right" vertical="center"/>
    </xf>
    <xf numFmtId="3" fontId="4" fillId="2" borderId="0" xfId="0" applyNumberFormat="1" applyFont="1" applyFill="1" applyBorder="1" applyAlignment="1" applyProtection="1">
      <alignment horizontal="center" vertical="center"/>
      <protection hidden="1"/>
    </xf>
    <xf numFmtId="3" fontId="3" fillId="2" borderId="0" xfId="0" applyNumberFormat="1" applyFont="1" applyFill="1" applyBorder="1" applyAlignment="1" applyProtection="1">
      <alignment vertical="center"/>
      <protection hidden="1"/>
    </xf>
    <xf numFmtId="0" fontId="10" fillId="2" borderId="0" xfId="0" applyFont="1" applyFill="1" applyBorder="1" applyAlignment="1" applyProtection="1">
      <alignment vertical="center"/>
    </xf>
    <xf numFmtId="9" fontId="3" fillId="2" borderId="0" xfId="0" applyNumberFormat="1" applyFont="1" applyFill="1" applyBorder="1" applyAlignment="1" applyProtection="1">
      <alignment vertical="center"/>
      <protection hidden="1"/>
    </xf>
    <xf numFmtId="168" fontId="3" fillId="2" borderId="0" xfId="0" applyNumberFormat="1" applyFont="1" applyFill="1" applyBorder="1" applyAlignment="1" applyProtection="1">
      <alignment vertical="center"/>
      <protection hidden="1"/>
    </xf>
    <xf numFmtId="49" fontId="4" fillId="2" borderId="0" xfId="0" applyNumberFormat="1" applyFont="1" applyFill="1" applyBorder="1" applyAlignment="1" applyProtection="1">
      <alignment horizontal="right" vertical="center"/>
    </xf>
    <xf numFmtId="4" fontId="4" fillId="2" borderId="0" xfId="0" applyNumberFormat="1" applyFont="1" applyFill="1" applyBorder="1" applyAlignment="1" applyProtection="1">
      <alignment vertical="center"/>
      <protection hidden="1"/>
    </xf>
    <xf numFmtId="4" fontId="3" fillId="2" borderId="0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3" fontId="0" fillId="2" borderId="0" xfId="0" applyNumberFormat="1" applyFill="1" applyBorder="1" applyAlignment="1" applyProtection="1">
      <alignment vertical="center"/>
      <protection hidden="1"/>
    </xf>
    <xf numFmtId="3" fontId="12" fillId="0" borderId="0" xfId="0" applyNumberFormat="1" applyFont="1" applyFill="1" applyBorder="1" applyAlignment="1" applyProtection="1">
      <alignment vertical="center"/>
    </xf>
    <xf numFmtId="0" fontId="32" fillId="2" borderId="0" xfId="0" applyFont="1" applyFill="1" applyBorder="1" applyProtection="1"/>
    <xf numFmtId="0" fontId="13" fillId="0" borderId="0" xfId="0" applyFont="1" applyProtection="1"/>
    <xf numFmtId="3" fontId="12" fillId="0" borderId="23" xfId="0" applyNumberFormat="1" applyFont="1" applyFill="1" applyBorder="1" applyAlignment="1" applyProtection="1">
      <alignment vertical="center"/>
    </xf>
    <xf numFmtId="3" fontId="12" fillId="0" borderId="43" xfId="0" applyNumberFormat="1" applyFont="1" applyFill="1" applyBorder="1" applyAlignment="1" applyProtection="1">
      <alignment vertical="center"/>
    </xf>
    <xf numFmtId="3" fontId="12" fillId="0" borderId="61" xfId="0" applyNumberFormat="1" applyFont="1" applyFill="1" applyBorder="1" applyAlignment="1" applyProtection="1">
      <alignment vertical="center"/>
    </xf>
    <xf numFmtId="3" fontId="12" fillId="0" borderId="62" xfId="0" applyNumberFormat="1" applyFont="1" applyFill="1" applyBorder="1" applyAlignment="1" applyProtection="1">
      <alignment vertical="center"/>
    </xf>
    <xf numFmtId="3" fontId="12" fillId="0" borderId="44" xfId="0" applyNumberFormat="1" applyFont="1" applyFill="1" applyBorder="1" applyAlignment="1" applyProtection="1">
      <alignment vertical="center"/>
    </xf>
    <xf numFmtId="3" fontId="12" fillId="0" borderId="34" xfId="0" applyNumberFormat="1" applyFont="1" applyFill="1" applyBorder="1" applyAlignment="1" applyProtection="1">
      <alignment vertical="center"/>
    </xf>
    <xf numFmtId="0" fontId="13" fillId="0" borderId="22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50" xfId="0" applyFont="1" applyBorder="1" applyAlignment="1">
      <alignment vertical="center"/>
    </xf>
    <xf numFmtId="0" fontId="13" fillId="0" borderId="33" xfId="0" applyFont="1" applyBorder="1" applyAlignment="1">
      <alignment horizontal="right" vertical="center"/>
    </xf>
    <xf numFmtId="3" fontId="13" fillId="5" borderId="22" xfId="0" applyNumberFormat="1" applyFont="1" applyFill="1" applyBorder="1" applyAlignment="1" applyProtection="1">
      <alignment vertical="center"/>
      <protection locked="0"/>
    </xf>
    <xf numFmtId="0" fontId="13" fillId="5" borderId="5" xfId="0" applyNumberFormat="1" applyFont="1" applyFill="1" applyBorder="1" applyAlignment="1" applyProtection="1">
      <alignment horizontal="left" vertical="center"/>
      <protection locked="0"/>
    </xf>
    <xf numFmtId="3" fontId="5" fillId="0" borderId="48" xfId="0" applyNumberFormat="1" applyFont="1" applyFill="1" applyBorder="1" applyAlignment="1" applyProtection="1">
      <alignment horizontal="right"/>
      <protection hidden="1"/>
    </xf>
    <xf numFmtId="0" fontId="2" fillId="0" borderId="48" xfId="0" applyFont="1" applyFill="1" applyBorder="1" applyAlignment="1" applyProtection="1"/>
    <xf numFmtId="0" fontId="5" fillId="0" borderId="24" xfId="0" applyFont="1" applyBorder="1" applyAlignment="1" applyProtection="1"/>
    <xf numFmtId="0" fontId="5" fillId="0" borderId="0" xfId="0" applyFont="1" applyBorder="1" applyAlignment="1" applyProtection="1"/>
    <xf numFmtId="0" fontId="2" fillId="5" borderId="24" xfId="0" applyFont="1" applyFill="1" applyBorder="1" applyAlignment="1" applyProtection="1">
      <protection locked="0"/>
    </xf>
    <xf numFmtId="0" fontId="5" fillId="0" borderId="24" xfId="0" applyFont="1" applyBorder="1" applyAlignment="1"/>
    <xf numFmtId="0" fontId="2" fillId="0" borderId="4" xfId="0" applyFont="1" applyFill="1" applyBorder="1" applyAlignment="1" applyProtection="1"/>
    <xf numFmtId="0" fontId="2" fillId="2" borderId="0" xfId="0" applyFont="1" applyFill="1" applyBorder="1" applyAlignment="1" applyProtection="1"/>
    <xf numFmtId="4" fontId="5" fillId="2" borderId="0" xfId="0" applyNumberFormat="1" applyFont="1" applyFill="1" applyBorder="1" applyAlignment="1" applyProtection="1">
      <protection hidden="1"/>
    </xf>
    <xf numFmtId="0" fontId="5" fillId="2" borderId="0" xfId="0" applyFont="1" applyFill="1" applyBorder="1" applyAlignme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0" fillId="0" borderId="0" xfId="0" applyAlignment="1" applyProtection="1"/>
    <xf numFmtId="3" fontId="12" fillId="0" borderId="22" xfId="0" applyNumberFormat="1" applyFont="1" applyFill="1" applyBorder="1" applyAlignment="1" applyProtection="1">
      <alignment horizontal="right" vertical="center"/>
      <protection hidden="1"/>
    </xf>
    <xf numFmtId="174" fontId="12" fillId="0" borderId="21" xfId="0" applyNumberFormat="1" applyFont="1" applyFill="1" applyBorder="1" applyAlignment="1">
      <alignment horizontal="right" vertical="center"/>
    </xf>
    <xf numFmtId="1" fontId="12" fillId="0" borderId="38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3" fontId="12" fillId="0" borderId="17" xfId="0" applyNumberFormat="1" applyFont="1" applyFill="1" applyBorder="1" applyAlignment="1" applyProtection="1">
      <alignment horizontal="right" vertical="center"/>
    </xf>
    <xf numFmtId="3" fontId="12" fillId="0" borderId="45" xfId="0" applyNumberFormat="1" applyFont="1" applyFill="1" applyBorder="1" applyAlignment="1" applyProtection="1">
      <alignment horizontal="right" vertical="center"/>
    </xf>
    <xf numFmtId="0" fontId="12" fillId="0" borderId="37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left" vertical="center"/>
    </xf>
    <xf numFmtId="3" fontId="13" fillId="0" borderId="6" xfId="0" applyNumberFormat="1" applyFont="1" applyFill="1" applyBorder="1" applyAlignment="1" applyProtection="1">
      <alignment horizontal="center"/>
    </xf>
    <xf numFmtId="0" fontId="13" fillId="0" borderId="59" xfId="0" applyNumberFormat="1" applyFont="1" applyFill="1" applyBorder="1" applyAlignment="1" applyProtection="1">
      <alignment horizontal="left" vertical="center"/>
      <protection locked="0"/>
    </xf>
    <xf numFmtId="0" fontId="13" fillId="0" borderId="1" xfId="0" applyNumberFormat="1" applyFont="1" applyFill="1" applyBorder="1" applyAlignment="1" applyProtection="1">
      <alignment horizontal="left" vertical="center"/>
      <protection locked="0"/>
    </xf>
    <xf numFmtId="0" fontId="13" fillId="0" borderId="42" xfId="0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Protection="1"/>
    <xf numFmtId="0" fontId="0" fillId="0" borderId="54" xfId="0" applyBorder="1" applyProtection="1"/>
    <xf numFmtId="0" fontId="0" fillId="0" borderId="27" xfId="0" applyNumberFormat="1" applyBorder="1" applyAlignment="1" applyProtection="1">
      <alignment vertical="center"/>
    </xf>
    <xf numFmtId="0" fontId="0" fillId="0" borderId="57" xfId="0" applyNumberFormat="1" applyBorder="1" applyAlignment="1" applyProtection="1">
      <alignment vertical="center"/>
    </xf>
    <xf numFmtId="0" fontId="0" fillId="0" borderId="41" xfId="0" applyNumberFormat="1" applyBorder="1" applyAlignment="1" applyProtection="1">
      <alignment vertical="center"/>
    </xf>
    <xf numFmtId="0" fontId="0" fillId="0" borderId="0" xfId="0" applyNumberFormat="1" applyBorder="1" applyAlignment="1" applyProtection="1">
      <alignment horizontal="left" vertical="center"/>
      <protection locked="0"/>
    </xf>
    <xf numFmtId="0" fontId="0" fillId="0" borderId="3" xfId="0" applyNumberFormat="1" applyBorder="1" applyAlignment="1" applyProtection="1">
      <alignment horizontal="left" vertical="center"/>
      <protection locked="0"/>
    </xf>
    <xf numFmtId="0" fontId="0" fillId="0" borderId="54" xfId="0" applyNumberFormat="1" applyBorder="1" applyAlignment="1" applyProtection="1">
      <alignment horizontal="left" vertical="center"/>
      <protection locked="0"/>
    </xf>
    <xf numFmtId="0" fontId="0" fillId="0" borderId="3" xfId="0" applyNumberFormat="1" applyBorder="1" applyAlignment="1" applyProtection="1">
      <alignment horizontal="left" vertical="center"/>
    </xf>
    <xf numFmtId="0" fontId="0" fillId="0" borderId="0" xfId="0" applyNumberFormat="1" applyBorder="1" applyAlignment="1" applyProtection="1">
      <alignment horizontal="left" vertical="center"/>
    </xf>
    <xf numFmtId="0" fontId="0" fillId="0" borderId="54" xfId="0" applyNumberFormat="1" applyBorder="1" applyAlignment="1" applyProtection="1">
      <alignment horizontal="left" vertical="center"/>
    </xf>
    <xf numFmtId="0" fontId="13" fillId="0" borderId="3" xfId="0" applyNumberFormat="1" applyFont="1" applyBorder="1" applyAlignment="1" applyProtection="1">
      <alignment horizontal="left" vertical="center"/>
      <protection locked="0"/>
    </xf>
    <xf numFmtId="0" fontId="13" fillId="0" borderId="54" xfId="0" applyNumberFormat="1" applyFont="1" applyBorder="1" applyAlignment="1" applyProtection="1">
      <alignment horizontal="left" vertical="center"/>
      <protection locked="0"/>
    </xf>
    <xf numFmtId="0" fontId="35" fillId="0" borderId="0" xfId="1" applyNumberFormat="1" applyFont="1" applyFill="1" applyBorder="1" applyAlignment="1" applyProtection="1">
      <alignment horizontal="left" vertical="center"/>
      <protection locked="0"/>
    </xf>
    <xf numFmtId="0" fontId="13" fillId="0" borderId="3" xfId="0" applyNumberFormat="1" applyFont="1" applyBorder="1" applyAlignment="1" applyProtection="1">
      <alignment horizontal="left" vertical="center"/>
    </xf>
    <xf numFmtId="0" fontId="13" fillId="0" borderId="0" xfId="0" applyNumberFormat="1" applyFont="1" applyBorder="1" applyAlignment="1" applyProtection="1">
      <alignment horizontal="left" vertical="center"/>
    </xf>
    <xf numFmtId="0" fontId="13" fillId="0" borderId="54" xfId="0" applyNumberFormat="1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13" fillId="6" borderId="22" xfId="0" applyNumberFormat="1" applyFont="1" applyFill="1" applyBorder="1"/>
    <xf numFmtId="3" fontId="13" fillId="7" borderId="22" xfId="0" applyNumberFormat="1" applyFont="1" applyFill="1" applyBorder="1"/>
    <xf numFmtId="1" fontId="12" fillId="0" borderId="24" xfId="0" applyNumberFormat="1" applyFont="1" applyFill="1" applyBorder="1" applyAlignment="1" applyProtection="1">
      <alignment horizontal="center"/>
    </xf>
    <xf numFmtId="9" fontId="13" fillId="5" borderId="24" xfId="0" applyNumberFormat="1" applyFont="1" applyFill="1" applyBorder="1" applyAlignment="1" applyProtection="1">
      <alignment horizontal="center" vertical="center"/>
      <protection locked="0"/>
    </xf>
    <xf numFmtId="1" fontId="12" fillId="0" borderId="22" xfId="0" applyNumberFormat="1" applyFont="1" applyFill="1" applyBorder="1" applyAlignment="1" applyProtection="1">
      <alignment horizontal="center"/>
    </xf>
    <xf numFmtId="3" fontId="12" fillId="4" borderId="58" xfId="0" applyNumberFormat="1" applyFont="1" applyFill="1" applyBorder="1" applyAlignment="1" applyProtection="1">
      <protection hidden="1"/>
    </xf>
    <xf numFmtId="175" fontId="12" fillId="0" borderId="9" xfId="0" applyNumberFormat="1" applyFont="1" applyFill="1" applyBorder="1" applyAlignment="1" applyProtection="1">
      <protection hidden="1"/>
    </xf>
    <xf numFmtId="175" fontId="12" fillId="0" borderId="45" xfId="0" applyNumberFormat="1" applyFont="1" applyFill="1" applyBorder="1" applyAlignment="1" applyProtection="1">
      <protection hidden="1"/>
    </xf>
    <xf numFmtId="0" fontId="12" fillId="8" borderId="6" xfId="0" applyFont="1" applyFill="1" applyBorder="1" applyAlignment="1">
      <alignment horizontal="left" vertical="center"/>
    </xf>
    <xf numFmtId="0" fontId="12" fillId="8" borderId="6" xfId="0" applyFont="1" applyFill="1" applyBorder="1" applyAlignment="1" applyProtection="1">
      <alignment horizontal="left" vertical="center"/>
    </xf>
    <xf numFmtId="1" fontId="12" fillId="8" borderId="6" xfId="0" applyNumberFormat="1" applyFont="1" applyFill="1" applyBorder="1" applyAlignment="1" applyProtection="1">
      <alignment horizontal="center"/>
    </xf>
    <xf numFmtId="1" fontId="12" fillId="8" borderId="16" xfId="0" applyNumberFormat="1" applyFont="1" applyFill="1" applyBorder="1" applyAlignment="1" applyProtection="1">
      <alignment horizontal="center"/>
    </xf>
    <xf numFmtId="0" fontId="12" fillId="8" borderId="14" xfId="0" applyFont="1" applyFill="1" applyBorder="1" applyAlignment="1">
      <alignment horizontal="left" vertical="center"/>
    </xf>
    <xf numFmtId="0" fontId="12" fillId="8" borderId="15" xfId="0" applyFont="1" applyFill="1" applyBorder="1" applyAlignment="1" applyProtection="1">
      <alignment horizontal="left" vertical="center"/>
    </xf>
    <xf numFmtId="1" fontId="12" fillId="8" borderId="15" xfId="0" applyNumberFormat="1" applyFont="1" applyFill="1" applyBorder="1" applyAlignment="1" applyProtection="1">
      <alignment horizontal="center"/>
    </xf>
    <xf numFmtId="1" fontId="12" fillId="8" borderId="63" xfId="0" applyNumberFormat="1" applyFont="1" applyFill="1" applyBorder="1" applyAlignment="1" applyProtection="1">
      <alignment horizontal="center"/>
    </xf>
    <xf numFmtId="0" fontId="12" fillId="8" borderId="15" xfId="0" applyFont="1" applyFill="1" applyBorder="1" applyAlignment="1">
      <alignment horizontal="left" vertical="center"/>
    </xf>
    <xf numFmtId="1" fontId="12" fillId="8" borderId="15" xfId="0" applyNumberFormat="1" applyFont="1" applyFill="1" applyBorder="1" applyAlignment="1" applyProtection="1"/>
    <xf numFmtId="1" fontId="12" fillId="8" borderId="63" xfId="0" applyNumberFormat="1" applyFont="1" applyFill="1" applyBorder="1" applyAlignment="1" applyProtection="1"/>
    <xf numFmtId="0" fontId="4" fillId="8" borderId="51" xfId="0" applyFont="1" applyFill="1" applyBorder="1" applyAlignment="1" applyProtection="1">
      <alignment vertical="center"/>
    </xf>
    <xf numFmtId="0" fontId="4" fillId="8" borderId="2" xfId="0" applyFont="1" applyFill="1" applyBorder="1" applyAlignment="1" applyProtection="1">
      <alignment vertical="center"/>
    </xf>
    <xf numFmtId="0" fontId="4" fillId="8" borderId="52" xfId="0" applyFont="1" applyFill="1" applyBorder="1" applyAlignment="1" applyProtection="1">
      <alignment vertical="center"/>
    </xf>
    <xf numFmtId="0" fontId="4" fillId="9" borderId="38" xfId="0" applyFont="1" applyFill="1" applyBorder="1" applyAlignment="1">
      <alignment horizontal="center"/>
    </xf>
    <xf numFmtId="0" fontId="4" fillId="9" borderId="0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4" fillId="9" borderId="64" xfId="0" applyFont="1" applyFill="1" applyBorder="1" applyAlignment="1">
      <alignment horizontal="left"/>
    </xf>
    <xf numFmtId="0" fontId="4" fillId="9" borderId="31" xfId="0" applyFont="1" applyFill="1" applyBorder="1" applyAlignment="1">
      <alignment horizontal="left"/>
    </xf>
    <xf numFmtId="0" fontId="4" fillId="9" borderId="32" xfId="0" applyFont="1" applyFill="1" applyBorder="1" applyAlignment="1">
      <alignment horizontal="left"/>
    </xf>
    <xf numFmtId="0" fontId="37" fillId="9" borderId="64" xfId="0" applyFont="1" applyFill="1" applyBorder="1" applyAlignment="1" applyProtection="1">
      <alignment horizontal="left"/>
      <protection hidden="1"/>
    </xf>
    <xf numFmtId="0" fontId="37" fillId="9" borderId="31" xfId="0" applyFont="1" applyFill="1" applyBorder="1" applyAlignment="1" applyProtection="1">
      <alignment horizontal="left"/>
      <protection hidden="1"/>
    </xf>
    <xf numFmtId="0" fontId="37" fillId="9" borderId="32" xfId="0" applyFont="1" applyFill="1" applyBorder="1" applyAlignment="1" applyProtection="1">
      <alignment horizontal="left"/>
      <protection hidden="1"/>
    </xf>
    <xf numFmtId="0" fontId="4" fillId="9" borderId="59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4" fillId="9" borderId="56" xfId="0" applyFont="1" applyFill="1" applyBorder="1"/>
    <xf numFmtId="0" fontId="12" fillId="8" borderId="9" xfId="0" applyFont="1" applyFill="1" applyBorder="1" applyAlignment="1">
      <alignment horizontal="left" vertical="center"/>
    </xf>
    <xf numFmtId="0" fontId="12" fillId="8" borderId="37" xfId="0" applyFont="1" applyFill="1" applyBorder="1" applyAlignment="1">
      <alignment horizontal="left" vertical="center"/>
    </xf>
    <xf numFmtId="3" fontId="13" fillId="8" borderId="6" xfId="0" applyNumberFormat="1" applyFont="1" applyFill="1" applyBorder="1" applyAlignment="1" applyProtection="1">
      <alignment horizontal="center"/>
      <protection locked="0"/>
    </xf>
    <xf numFmtId="3" fontId="13" fillId="8" borderId="6" xfId="0" applyNumberFormat="1" applyFont="1" applyFill="1" applyBorder="1" applyAlignment="1" applyProtection="1"/>
    <xf numFmtId="3" fontId="13" fillId="8" borderId="16" xfId="0" applyNumberFormat="1" applyFont="1" applyFill="1" applyBorder="1" applyAlignment="1" applyProtection="1"/>
    <xf numFmtId="0" fontId="12" fillId="0" borderId="65" xfId="0" applyFont="1" applyBorder="1" applyAlignment="1">
      <alignment vertical="center"/>
    </xf>
    <xf numFmtId="0" fontId="12" fillId="0" borderId="66" xfId="0" applyFont="1" applyBorder="1" applyAlignment="1">
      <alignment vertical="center"/>
    </xf>
    <xf numFmtId="0" fontId="12" fillId="0" borderId="58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vertical="center"/>
    </xf>
    <xf numFmtId="0" fontId="12" fillId="0" borderId="65" xfId="0" applyFont="1" applyBorder="1" applyAlignment="1" applyProtection="1">
      <alignment vertical="center"/>
    </xf>
    <xf numFmtId="0" fontId="12" fillId="0" borderId="66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43" xfId="0" applyFont="1" applyBorder="1" applyAlignment="1" applyProtection="1">
      <alignment vertical="center"/>
    </xf>
    <xf numFmtId="0" fontId="12" fillId="0" borderId="67" xfId="0" applyFont="1" applyBorder="1" applyAlignment="1" applyProtection="1">
      <alignment horizontal="right" vertical="center"/>
    </xf>
    <xf numFmtId="0" fontId="12" fillId="0" borderId="3" xfId="0" applyFont="1" applyBorder="1" applyAlignment="1" applyProtection="1">
      <alignment vertical="center"/>
    </xf>
    <xf numFmtId="0" fontId="12" fillId="0" borderId="9" xfId="0" applyFont="1" applyBorder="1" applyAlignment="1" applyProtection="1">
      <alignment horizontal="left" vertical="center"/>
    </xf>
    <xf numFmtId="0" fontId="12" fillId="0" borderId="65" xfId="0" applyFont="1" applyBorder="1" applyAlignment="1" applyProtection="1">
      <alignment horizontal="right" vertical="center"/>
    </xf>
    <xf numFmtId="0" fontId="12" fillId="0" borderId="66" xfId="0" applyFont="1" applyBorder="1" applyAlignment="1" applyProtection="1">
      <alignment horizontal="left" vertical="center"/>
    </xf>
    <xf numFmtId="0" fontId="12" fillId="0" borderId="66" xfId="0" applyFont="1" applyBorder="1" applyAlignment="1">
      <alignment horizontal="left" vertical="center"/>
    </xf>
    <xf numFmtId="0" fontId="12" fillId="0" borderId="58" xfId="0" applyFont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0" fontId="12" fillId="0" borderId="37" xfId="0" applyFont="1" applyBorder="1" applyAlignment="1">
      <alignment horizontal="right" vertical="center"/>
    </xf>
    <xf numFmtId="0" fontId="12" fillId="4" borderId="14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3" fontId="12" fillId="0" borderId="19" xfId="0" applyNumberFormat="1" applyFont="1" applyFill="1" applyBorder="1" applyAlignment="1">
      <alignment vertical="center"/>
    </xf>
    <xf numFmtId="3" fontId="12" fillId="0" borderId="22" xfId="0" applyNumberFormat="1" applyFont="1" applyFill="1" applyBorder="1"/>
    <xf numFmtId="0" fontId="12" fillId="0" borderId="68" xfId="0" applyFont="1" applyBorder="1" applyAlignment="1" applyProtection="1">
      <alignment vertical="center"/>
    </xf>
    <xf numFmtId="9" fontId="13" fillId="5" borderId="48" xfId="0" applyNumberFormat="1" applyFont="1" applyFill="1" applyBorder="1" applyAlignment="1" applyProtection="1">
      <alignment horizontal="center" vertical="center"/>
      <protection locked="0"/>
    </xf>
    <xf numFmtId="0" fontId="13" fillId="0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9" fontId="13" fillId="0" borderId="0" xfId="0" applyNumberFormat="1" applyFont="1" applyFill="1" applyBorder="1" applyAlignment="1" applyProtection="1">
      <alignment horizontal="center" vertical="center"/>
      <protection locked="0"/>
    </xf>
    <xf numFmtId="3" fontId="13" fillId="0" borderId="67" xfId="0" applyNumberFormat="1" applyFont="1" applyFill="1" applyBorder="1" applyAlignment="1" applyProtection="1">
      <alignment vertical="center"/>
      <protection hidden="1"/>
    </xf>
    <xf numFmtId="175" fontId="13" fillId="0" borderId="62" xfId="0" applyNumberFormat="1" applyFont="1" applyFill="1" applyBorder="1" applyAlignment="1" applyProtection="1">
      <alignment vertical="center"/>
      <protection hidden="1"/>
    </xf>
    <xf numFmtId="0" fontId="13" fillId="0" borderId="69" xfId="0" applyNumberFormat="1" applyFont="1" applyFill="1" applyBorder="1" applyAlignment="1" applyProtection="1">
      <alignment horizontal="left" vertical="center"/>
      <protection locked="0"/>
    </xf>
    <xf numFmtId="0" fontId="13" fillId="0" borderId="57" xfId="0" applyNumberFormat="1" applyFont="1" applyFill="1" applyBorder="1" applyAlignment="1" applyProtection="1">
      <alignment horizontal="left" vertical="center"/>
      <protection locked="0"/>
    </xf>
    <xf numFmtId="0" fontId="3" fillId="0" borderId="37" xfId="0" applyNumberFormat="1" applyFont="1" applyFill="1" applyBorder="1" applyProtection="1"/>
    <xf numFmtId="0" fontId="3" fillId="0" borderId="6" xfId="0" applyNumberFormat="1" applyFont="1" applyFill="1" applyBorder="1" applyProtection="1"/>
    <xf numFmtId="0" fontId="19" fillId="0" borderId="6" xfId="0" applyNumberFormat="1" applyFont="1" applyFill="1" applyBorder="1" applyProtection="1"/>
    <xf numFmtId="0" fontId="20" fillId="0" borderId="6" xfId="0" applyNumberFormat="1" applyFont="1" applyFill="1" applyBorder="1" applyProtection="1"/>
    <xf numFmtId="0" fontId="3" fillId="0" borderId="16" xfId="0" applyNumberFormat="1" applyFont="1" applyFill="1" applyBorder="1" applyProtection="1"/>
    <xf numFmtId="9" fontId="13" fillId="5" borderId="22" xfId="0" applyNumberFormat="1" applyFont="1" applyFill="1" applyBorder="1" applyAlignment="1" applyProtection="1">
      <alignment horizontal="center" vertical="center"/>
      <protection locked="0"/>
    </xf>
    <xf numFmtId="9" fontId="13" fillId="0" borderId="38" xfId="0" applyNumberFormat="1" applyFont="1" applyFill="1" applyBorder="1" applyAlignment="1" applyProtection="1">
      <alignment horizontal="center" vertical="center"/>
      <protection locked="0"/>
    </xf>
    <xf numFmtId="9" fontId="13" fillId="5" borderId="29" xfId="0" applyNumberFormat="1" applyFont="1" applyFill="1" applyBorder="1" applyAlignment="1" applyProtection="1">
      <alignment horizontal="center" vertical="center"/>
      <protection locked="0"/>
    </xf>
    <xf numFmtId="3" fontId="5" fillId="10" borderId="24" xfId="0" applyNumberFormat="1" applyFont="1" applyFill="1" applyBorder="1" applyAlignment="1" applyProtection="1">
      <alignment horizontal="right" vertical="center"/>
      <protection hidden="1"/>
    </xf>
    <xf numFmtId="168" fontId="5" fillId="10" borderId="24" xfId="0" applyNumberFormat="1" applyFont="1" applyFill="1" applyBorder="1" applyAlignment="1" applyProtection="1">
      <alignment horizontal="center" vertical="center"/>
      <protection hidden="1"/>
    </xf>
    <xf numFmtId="3" fontId="5" fillId="10" borderId="44" xfId="0" applyNumberFormat="1" applyFont="1" applyFill="1" applyBorder="1" applyAlignment="1" applyProtection="1">
      <alignment horizontal="right" vertical="center"/>
      <protection hidden="1"/>
    </xf>
    <xf numFmtId="3" fontId="5" fillId="10" borderId="24" xfId="0" applyNumberFormat="1" applyFont="1" applyFill="1" applyBorder="1" applyAlignment="1" applyProtection="1">
      <alignment horizontal="right" vertical="center"/>
    </xf>
    <xf numFmtId="9" fontId="5" fillId="10" borderId="24" xfId="0" applyNumberFormat="1" applyFont="1" applyFill="1" applyBorder="1" applyAlignment="1" applyProtection="1">
      <alignment horizontal="right" vertical="center"/>
    </xf>
    <xf numFmtId="3" fontId="5" fillId="10" borderId="44" xfId="0" applyNumberFormat="1" applyFont="1" applyFill="1" applyBorder="1" applyAlignment="1" applyProtection="1">
      <alignment horizontal="right" vertical="center"/>
    </xf>
    <xf numFmtId="3" fontId="13" fillId="10" borderId="23" xfId="0" applyNumberFormat="1" applyFont="1" applyFill="1" applyBorder="1" applyAlignment="1" applyProtection="1">
      <alignment horizontal="center" vertical="center"/>
    </xf>
    <xf numFmtId="3" fontId="13" fillId="10" borderId="17" xfId="0" applyNumberFormat="1" applyFont="1" applyFill="1" applyBorder="1" applyAlignment="1" applyProtection="1">
      <alignment horizontal="right" vertical="center"/>
    </xf>
    <xf numFmtId="3" fontId="5" fillId="10" borderId="17" xfId="0" applyNumberFormat="1" applyFont="1" applyFill="1" applyBorder="1" applyAlignment="1" applyProtection="1">
      <alignment horizontal="right" vertical="center"/>
    </xf>
    <xf numFmtId="3" fontId="13" fillId="10" borderId="46" xfId="0" applyNumberFormat="1" applyFont="1" applyFill="1" applyBorder="1" applyAlignment="1" applyProtection="1">
      <alignment horizontal="right" vertical="center"/>
    </xf>
    <xf numFmtId="3" fontId="13" fillId="10" borderId="23" xfId="0" applyNumberFormat="1" applyFont="1" applyFill="1" applyBorder="1" applyAlignment="1" applyProtection="1">
      <alignment horizontal="center"/>
      <protection hidden="1"/>
    </xf>
    <xf numFmtId="168" fontId="5" fillId="10" borderId="24" xfId="0" applyNumberFormat="1" applyFont="1" applyFill="1" applyBorder="1" applyAlignment="1" applyProtection="1">
      <alignment horizontal="center"/>
    </xf>
    <xf numFmtId="3" fontId="5" fillId="10" borderId="24" xfId="0" applyNumberFormat="1" applyFont="1" applyFill="1" applyBorder="1" applyAlignment="1" applyProtection="1">
      <alignment horizontal="center"/>
    </xf>
    <xf numFmtId="3" fontId="5" fillId="10" borderId="44" xfId="0" applyNumberFormat="1" applyFont="1" applyFill="1" applyBorder="1" applyAlignment="1" applyProtection="1">
      <alignment horizontal="center"/>
    </xf>
    <xf numFmtId="3" fontId="5" fillId="10" borderId="53" xfId="0" applyNumberFormat="1" applyFont="1" applyFill="1" applyBorder="1" applyAlignment="1" applyProtection="1">
      <alignment horizontal="center"/>
    </xf>
    <xf numFmtId="3" fontId="13" fillId="10" borderId="17" xfId="0" applyNumberFormat="1" applyFont="1" applyFill="1" applyBorder="1" applyAlignment="1" applyProtection="1">
      <alignment horizontal="right"/>
    </xf>
    <xf numFmtId="3" fontId="12" fillId="10" borderId="46" xfId="0" applyNumberFormat="1" applyFont="1" applyFill="1" applyBorder="1" applyAlignment="1" applyProtection="1">
      <alignment horizontal="right" vertical="center"/>
    </xf>
    <xf numFmtId="3" fontId="5" fillId="10" borderId="24" xfId="0" applyNumberFormat="1" applyFont="1" applyFill="1" applyBorder="1" applyAlignment="1" applyProtection="1">
      <alignment horizontal="center" vertical="center"/>
    </xf>
    <xf numFmtId="168" fontId="5" fillId="10" borderId="24" xfId="0" applyNumberFormat="1" applyFont="1" applyFill="1" applyBorder="1" applyAlignment="1" applyProtection="1">
      <alignment horizontal="center" vertical="center"/>
    </xf>
    <xf numFmtId="3" fontId="12" fillId="10" borderId="44" xfId="0" applyNumberFormat="1" applyFont="1" applyFill="1" applyBorder="1" applyAlignment="1" applyProtection="1">
      <alignment horizontal="right" vertical="center"/>
    </xf>
    <xf numFmtId="3" fontId="12" fillId="10" borderId="23" xfId="0" applyNumberFormat="1" applyFont="1" applyFill="1" applyBorder="1" applyAlignment="1" applyProtection="1">
      <alignment horizontal="right" vertical="center"/>
    </xf>
    <xf numFmtId="3" fontId="12" fillId="10" borderId="24" xfId="0" applyNumberFormat="1" applyFont="1" applyFill="1" applyBorder="1" applyAlignment="1" applyProtection="1">
      <alignment horizontal="right" vertical="center"/>
    </xf>
    <xf numFmtId="175" fontId="13" fillId="10" borderId="21" xfId="0" applyNumberFormat="1" applyFont="1" applyFill="1" applyBorder="1" applyAlignment="1" applyProtection="1">
      <protection hidden="1"/>
    </xf>
    <xf numFmtId="175" fontId="13" fillId="10" borderId="21" xfId="0" applyNumberFormat="1" applyFont="1" applyFill="1" applyBorder="1" applyAlignment="1" applyProtection="1">
      <alignment vertical="center"/>
      <protection hidden="1"/>
    </xf>
    <xf numFmtId="175" fontId="13" fillId="10" borderId="62" xfId="0" applyNumberFormat="1" applyFont="1" applyFill="1" applyBorder="1" applyAlignment="1" applyProtection="1">
      <alignment vertical="center"/>
      <protection hidden="1"/>
    </xf>
    <xf numFmtId="9" fontId="13" fillId="10" borderId="22" xfId="0" applyNumberFormat="1" applyFont="1" applyFill="1" applyBorder="1" applyAlignment="1" applyProtection="1">
      <alignment horizontal="center" vertical="center"/>
    </xf>
    <xf numFmtId="0" fontId="13" fillId="10" borderId="38" xfId="0" applyNumberFormat="1" applyFont="1" applyFill="1" applyBorder="1" applyAlignment="1" applyProtection="1">
      <alignment horizontal="left" vertical="center"/>
      <protection locked="0"/>
    </xf>
    <xf numFmtId="1" fontId="12" fillId="0" borderId="29" xfId="0" applyNumberFormat="1" applyFont="1" applyFill="1" applyBorder="1" applyAlignment="1" applyProtection="1">
      <alignment horizontal="center"/>
    </xf>
    <xf numFmtId="0" fontId="5" fillId="0" borderId="22" xfId="0" applyFont="1" applyBorder="1" applyAlignment="1">
      <alignment vertical="center"/>
    </xf>
    <xf numFmtId="175" fontId="13" fillId="10" borderId="21" xfId="0" applyNumberFormat="1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center" vertical="center"/>
    </xf>
    <xf numFmtId="4" fontId="5" fillId="0" borderId="24" xfId="0" applyNumberFormat="1" applyFont="1" applyFill="1" applyBorder="1" applyAlignment="1" applyProtection="1">
      <alignment vertical="center"/>
      <protection hidden="1"/>
    </xf>
    <xf numFmtId="4" fontId="5" fillId="5" borderId="24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vertical="center"/>
      <protection hidden="1"/>
    </xf>
    <xf numFmtId="0" fontId="2" fillId="5" borderId="24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vertical="center"/>
    </xf>
    <xf numFmtId="3" fontId="2" fillId="0" borderId="24" xfId="0" applyNumberFormat="1" applyFont="1" applyBorder="1" applyAlignment="1" applyProtection="1">
      <alignment vertical="center"/>
    </xf>
    <xf numFmtId="3" fontId="2" fillId="0" borderId="46" xfId="0" applyNumberFormat="1" applyFont="1" applyBorder="1" applyAlignment="1" applyProtection="1">
      <alignment vertical="center"/>
      <protection hidden="1"/>
    </xf>
    <xf numFmtId="3" fontId="2" fillId="0" borderId="47" xfId="0" applyNumberFormat="1" applyFont="1" applyBorder="1" applyAlignment="1" applyProtection="1">
      <alignment vertical="center"/>
      <protection hidden="1"/>
    </xf>
    <xf numFmtId="0" fontId="0" fillId="0" borderId="70" xfId="0" applyBorder="1" applyAlignment="1" applyProtection="1">
      <alignment vertical="center"/>
    </xf>
    <xf numFmtId="0" fontId="0" fillId="0" borderId="70" xfId="0" applyBorder="1" applyAlignment="1" applyProtection="1">
      <alignment horizontal="center" vertical="center"/>
    </xf>
    <xf numFmtId="3" fontId="12" fillId="0" borderId="65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  <protection hidden="1"/>
    </xf>
    <xf numFmtId="0" fontId="13" fillId="0" borderId="3" xfId="0" applyFont="1" applyBorder="1" applyAlignment="1">
      <alignment vertical="center"/>
    </xf>
    <xf numFmtId="0" fontId="41" fillId="0" borderId="24" xfId="0" applyFont="1" applyBorder="1" applyProtection="1"/>
    <xf numFmtId="0" fontId="41" fillId="0" borderId="24" xfId="0" applyFont="1" applyBorder="1" applyAlignment="1" applyProtection="1">
      <alignment horizontal="center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36" xfId="0" applyFont="1" applyBorder="1" applyAlignment="1" applyProtection="1">
      <alignment vertical="center"/>
      <protection hidden="1"/>
    </xf>
    <xf numFmtId="0" fontId="12" fillId="0" borderId="67" xfId="0" applyFont="1" applyBorder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36" xfId="0" applyFont="1" applyBorder="1" applyAlignment="1" applyProtection="1">
      <alignment vertical="center"/>
    </xf>
    <xf numFmtId="0" fontId="12" fillId="0" borderId="65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5" borderId="40" xfId="0" applyNumberFormat="1" applyFont="1" applyFill="1" applyBorder="1" applyAlignment="1" applyProtection="1">
      <alignment horizontal="left" vertical="center"/>
      <protection locked="0"/>
    </xf>
    <xf numFmtId="9" fontId="13" fillId="10" borderId="24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center" vertical="center"/>
      <protection locked="0"/>
    </xf>
    <xf numFmtId="0" fontId="12" fillId="0" borderId="57" xfId="0" applyNumberFormat="1" applyFont="1" applyFill="1" applyBorder="1" applyAlignment="1" applyProtection="1">
      <alignment horizontal="center" vertical="center"/>
      <protection locked="0"/>
    </xf>
    <xf numFmtId="3" fontId="4" fillId="0" borderId="35" xfId="0" applyNumberFormat="1" applyFont="1" applyFill="1" applyBorder="1" applyAlignment="1" applyProtection="1">
      <alignment vertical="center"/>
      <protection hidden="1"/>
    </xf>
    <xf numFmtId="3" fontId="3" fillId="0" borderId="35" xfId="0" applyNumberFormat="1" applyFont="1" applyFill="1" applyBorder="1" applyAlignment="1" applyProtection="1">
      <alignment vertical="center"/>
    </xf>
    <xf numFmtId="3" fontId="3" fillId="0" borderId="35" xfId="0" applyNumberFormat="1" applyFont="1" applyFill="1" applyBorder="1" applyAlignment="1" applyProtection="1">
      <alignment vertical="center"/>
      <protection hidden="1"/>
    </xf>
    <xf numFmtId="3" fontId="4" fillId="0" borderId="35" xfId="0" applyNumberFormat="1" applyFont="1" applyFill="1" applyBorder="1" applyAlignment="1" applyProtection="1">
      <alignment vertical="center"/>
    </xf>
    <xf numFmtId="175" fontId="5" fillId="5" borderId="24" xfId="0" applyNumberFormat="1" applyFont="1" applyFill="1" applyBorder="1" applyAlignment="1" applyProtection="1">
      <alignment vertical="center"/>
      <protection locked="0"/>
    </xf>
    <xf numFmtId="175" fontId="41" fillId="0" borderId="24" xfId="0" applyNumberFormat="1" applyFont="1" applyBorder="1" applyProtection="1"/>
    <xf numFmtId="0" fontId="42" fillId="9" borderId="7" xfId="0" applyFont="1" applyFill="1" applyBorder="1" applyAlignment="1">
      <alignment horizontal="center"/>
    </xf>
    <xf numFmtId="0" fontId="42" fillId="9" borderId="16" xfId="0" applyFont="1" applyFill="1" applyBorder="1" applyAlignment="1">
      <alignment horizontal="center"/>
    </xf>
    <xf numFmtId="1" fontId="43" fillId="9" borderId="8" xfId="0" applyNumberFormat="1" applyFont="1" applyFill="1" applyBorder="1" applyAlignment="1" applyProtection="1">
      <alignment horizontal="center"/>
    </xf>
    <xf numFmtId="4" fontId="42" fillId="9" borderId="7" xfId="0" applyNumberFormat="1" applyFont="1" applyFill="1" applyBorder="1" applyAlignment="1" applyProtection="1">
      <alignment horizontal="center"/>
      <protection hidden="1"/>
    </xf>
    <xf numFmtId="1" fontId="42" fillId="9" borderId="25" xfId="0" applyNumberFormat="1" applyFont="1" applyFill="1" applyBorder="1" applyAlignment="1" applyProtection="1">
      <alignment horizontal="center"/>
      <protection hidden="1"/>
    </xf>
    <xf numFmtId="1" fontId="43" fillId="9" borderId="71" xfId="0" applyNumberFormat="1" applyFont="1" applyFill="1" applyBorder="1" applyAlignment="1" applyProtection="1">
      <alignment horizontal="center"/>
    </xf>
    <xf numFmtId="1" fontId="43" fillId="9" borderId="47" xfId="0" applyNumberFormat="1" applyFont="1" applyFill="1" applyBorder="1" applyAlignment="1" applyProtection="1">
      <alignment horizontal="center"/>
    </xf>
    <xf numFmtId="1" fontId="43" fillId="9" borderId="68" xfId="0" applyNumberFormat="1" applyFont="1" applyFill="1" applyBorder="1" applyAlignment="1" applyProtection="1">
      <alignment horizontal="center"/>
    </xf>
    <xf numFmtId="3" fontId="12" fillId="5" borderId="65" xfId="0" applyNumberFormat="1" applyFont="1" applyFill="1" applyBorder="1" applyAlignment="1" applyProtection="1">
      <alignment vertical="center"/>
      <protection locked="0" hidden="1"/>
    </xf>
    <xf numFmtId="175" fontId="12" fillId="0" borderId="72" xfId="0" applyNumberFormat="1" applyFont="1" applyFill="1" applyBorder="1" applyAlignment="1" applyProtection="1">
      <alignment vertical="center"/>
      <protection hidden="1"/>
    </xf>
    <xf numFmtId="3" fontId="12" fillId="5" borderId="58" xfId="0" applyNumberFormat="1" applyFont="1" applyFill="1" applyBorder="1" applyAlignment="1" applyProtection="1">
      <alignment vertical="center"/>
      <protection locked="0" hidden="1"/>
    </xf>
    <xf numFmtId="3" fontId="12" fillId="5" borderId="58" xfId="0" applyNumberFormat="1" applyFont="1" applyFill="1" applyBorder="1" applyAlignment="1" applyProtection="1">
      <alignment vertical="center"/>
      <protection locked="0"/>
    </xf>
    <xf numFmtId="175" fontId="12" fillId="0" borderId="45" xfId="0" applyNumberFormat="1" applyFont="1" applyFill="1" applyBorder="1" applyAlignment="1" applyProtection="1">
      <alignment vertical="center"/>
    </xf>
    <xf numFmtId="3" fontId="12" fillId="5" borderId="67" xfId="0" applyNumberFormat="1" applyFont="1" applyFill="1" applyBorder="1" applyAlignment="1" applyProtection="1">
      <alignment vertical="center"/>
      <protection locked="0"/>
    </xf>
    <xf numFmtId="3" fontId="12" fillId="2" borderId="65" xfId="0" applyNumberFormat="1" applyFont="1" applyFill="1" applyBorder="1" applyAlignment="1" applyProtection="1">
      <alignment vertical="center"/>
      <protection hidden="1"/>
    </xf>
    <xf numFmtId="3" fontId="12" fillId="5" borderId="4" xfId="0" applyNumberFormat="1" applyFont="1" applyFill="1" applyBorder="1" applyAlignment="1" applyProtection="1">
      <alignment vertical="center"/>
      <protection locked="0" hidden="1"/>
    </xf>
    <xf numFmtId="175" fontId="12" fillId="0" borderId="43" xfId="0" applyNumberFormat="1" applyFont="1" applyFill="1" applyBorder="1" applyAlignment="1" applyProtection="1">
      <alignment vertical="center"/>
      <protection hidden="1"/>
    </xf>
    <xf numFmtId="3" fontId="12" fillId="0" borderId="4" xfId="0" applyNumberFormat="1" applyFont="1" applyFill="1" applyBorder="1" applyAlignment="1" applyProtection="1">
      <alignment vertical="center"/>
    </xf>
    <xf numFmtId="175" fontId="12" fillId="0" borderId="43" xfId="0" applyNumberFormat="1" applyFont="1" applyFill="1" applyBorder="1" applyAlignment="1" applyProtection="1">
      <alignment vertical="center"/>
    </xf>
    <xf numFmtId="3" fontId="12" fillId="5" borderId="4" xfId="0" applyNumberFormat="1" applyFont="1" applyFill="1" applyBorder="1" applyAlignment="1" applyProtection="1">
      <alignment vertical="center"/>
      <protection locked="0"/>
    </xf>
    <xf numFmtId="175" fontId="13" fillId="10" borderId="34" xfId="0" applyNumberFormat="1" applyFont="1" applyFill="1" applyBorder="1" applyAlignment="1" applyProtection="1">
      <alignment vertical="center"/>
      <protection hidden="1"/>
    </xf>
    <xf numFmtId="3" fontId="13" fillId="5" borderId="19" xfId="0" applyNumberFormat="1" applyFont="1" applyFill="1" applyBorder="1" applyAlignment="1" applyProtection="1">
      <alignment vertical="center"/>
      <protection locked="0"/>
    </xf>
    <xf numFmtId="175" fontId="13" fillId="10" borderId="34" xfId="0" applyNumberFormat="1" applyFont="1" applyFill="1" applyBorder="1" applyAlignment="1" applyProtection="1">
      <alignment vertical="center"/>
    </xf>
    <xf numFmtId="3" fontId="12" fillId="5" borderId="67" xfId="0" applyNumberFormat="1" applyFont="1" applyFill="1" applyBorder="1" applyAlignment="1" applyProtection="1">
      <alignment vertical="center"/>
      <protection locked="0" hidden="1"/>
    </xf>
    <xf numFmtId="175" fontId="12" fillId="0" borderId="49" xfId="0" applyNumberFormat="1" applyFont="1" applyFill="1" applyBorder="1" applyAlignment="1" applyProtection="1">
      <alignment vertical="center"/>
      <protection hidden="1"/>
    </xf>
    <xf numFmtId="3" fontId="12" fillId="0" borderId="67" xfId="0" applyNumberFormat="1" applyFont="1" applyFill="1" applyBorder="1" applyAlignment="1" applyProtection="1">
      <alignment vertical="center"/>
    </xf>
    <xf numFmtId="175" fontId="12" fillId="0" borderId="49" xfId="0" applyNumberFormat="1" applyFont="1" applyFill="1" applyBorder="1" applyAlignment="1" applyProtection="1">
      <alignment vertical="center"/>
    </xf>
    <xf numFmtId="175" fontId="12" fillId="0" borderId="47" xfId="0" applyNumberFormat="1" applyFont="1" applyFill="1" applyBorder="1" applyAlignment="1" applyProtection="1">
      <alignment vertical="center"/>
      <protection hidden="1"/>
    </xf>
    <xf numFmtId="175" fontId="12" fillId="0" borderId="62" xfId="0" applyNumberFormat="1" applyFont="1" applyFill="1" applyBorder="1" applyAlignment="1" applyProtection="1">
      <alignment vertical="center"/>
      <protection hidden="1"/>
    </xf>
    <xf numFmtId="175" fontId="12" fillId="0" borderId="45" xfId="0" applyNumberFormat="1" applyFont="1" applyFill="1" applyBorder="1" applyAlignment="1" applyProtection="1">
      <alignment vertical="center"/>
      <protection hidden="1"/>
    </xf>
    <xf numFmtId="3" fontId="12" fillId="0" borderId="67" xfId="0" applyNumberFormat="1" applyFont="1" applyFill="1" applyBorder="1" applyAlignment="1" applyProtection="1">
      <alignment vertical="center"/>
      <protection hidden="1"/>
    </xf>
    <xf numFmtId="175" fontId="12" fillId="0" borderId="62" xfId="0" applyNumberFormat="1" applyFont="1" applyFill="1" applyBorder="1" applyAlignment="1" applyProtection="1">
      <alignment vertical="center"/>
    </xf>
    <xf numFmtId="3" fontId="12" fillId="0" borderId="65" xfId="0" applyNumberFormat="1" applyFont="1" applyFill="1" applyBorder="1" applyAlignment="1" applyProtection="1">
      <alignment vertical="center"/>
    </xf>
    <xf numFmtId="175" fontId="12" fillId="0" borderId="72" xfId="0" applyNumberFormat="1" applyFont="1" applyFill="1" applyBorder="1" applyAlignment="1" applyProtection="1">
      <alignment vertical="center"/>
    </xf>
    <xf numFmtId="3" fontId="12" fillId="5" borderId="65" xfId="0" applyNumberFormat="1" applyFont="1" applyFill="1" applyBorder="1" applyAlignment="1" applyProtection="1">
      <alignment vertical="center"/>
      <protection locked="0"/>
    </xf>
    <xf numFmtId="3" fontId="12" fillId="2" borderId="65" xfId="0" applyNumberFormat="1" applyFont="1" applyFill="1" applyBorder="1" applyAlignment="1" applyProtection="1">
      <alignment vertical="center"/>
    </xf>
    <xf numFmtId="3" fontId="12" fillId="7" borderId="65" xfId="0" applyNumberFormat="1" applyFont="1" applyFill="1" applyBorder="1" applyAlignment="1" applyProtection="1">
      <alignment vertical="center"/>
      <protection hidden="1"/>
    </xf>
    <xf numFmtId="4" fontId="12" fillId="0" borderId="72" xfId="0" applyNumberFormat="1" applyFont="1" applyFill="1" applyBorder="1" applyAlignment="1" applyProtection="1">
      <alignment vertical="center"/>
      <protection hidden="1"/>
    </xf>
    <xf numFmtId="3" fontId="12" fillId="11" borderId="65" xfId="0" applyNumberFormat="1" applyFont="1" applyFill="1" applyBorder="1" applyAlignment="1" applyProtection="1">
      <alignment vertical="center"/>
      <protection hidden="1"/>
    </xf>
    <xf numFmtId="0" fontId="42" fillId="9" borderId="37" xfId="0" applyFont="1" applyFill="1" applyBorder="1" applyAlignment="1" applyProtection="1">
      <alignment horizontal="center"/>
      <protection hidden="1"/>
    </xf>
    <xf numFmtId="0" fontId="42" fillId="9" borderId="72" xfId="0" applyFont="1" applyFill="1" applyBorder="1" applyAlignment="1" applyProtection="1">
      <alignment horizontal="center"/>
      <protection hidden="1"/>
    </xf>
    <xf numFmtId="1" fontId="44" fillId="9" borderId="38" xfId="0" applyNumberFormat="1" applyFont="1" applyFill="1" applyBorder="1" applyAlignment="1" applyProtection="1">
      <alignment horizontal="center"/>
    </xf>
    <xf numFmtId="1" fontId="44" fillId="9" borderId="47" xfId="0" applyNumberFormat="1" applyFont="1" applyFill="1" applyBorder="1" applyAlignment="1" applyProtection="1">
      <alignment horizontal="center"/>
    </xf>
    <xf numFmtId="1" fontId="44" fillId="9" borderId="69" xfId="0" applyNumberFormat="1" applyFont="1" applyFill="1" applyBorder="1" applyAlignment="1" applyProtection="1">
      <alignment horizontal="center"/>
    </xf>
    <xf numFmtId="0" fontId="45" fillId="9" borderId="49" xfId="0" applyFont="1" applyFill="1" applyBorder="1" applyAlignment="1">
      <alignment horizontal="center"/>
    </xf>
    <xf numFmtId="1" fontId="44" fillId="9" borderId="29" xfId="0" applyNumberFormat="1" applyFont="1" applyFill="1" applyBorder="1" applyAlignment="1" applyProtection="1">
      <alignment horizontal="center"/>
    </xf>
    <xf numFmtId="1" fontId="44" fillId="9" borderId="49" xfId="0" applyNumberFormat="1" applyFont="1" applyFill="1" applyBorder="1" applyAlignment="1" applyProtection="1">
      <alignment horizont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12" fillId="0" borderId="69" xfId="0" applyNumberFormat="1" applyFont="1" applyFill="1" applyBorder="1" applyAlignment="1" applyProtection="1">
      <alignment horizontal="left" vertical="center"/>
    </xf>
    <xf numFmtId="0" fontId="5" fillId="0" borderId="5" xfId="0" applyFont="1" applyBorder="1" applyAlignment="1">
      <alignment vertical="center"/>
    </xf>
    <xf numFmtId="3" fontId="5" fillId="5" borderId="22" xfId="0" applyNumberFormat="1" applyFont="1" applyFill="1" applyBorder="1" applyAlignment="1" applyProtection="1">
      <alignment vertical="center"/>
      <protection locked="0" hidden="1"/>
    </xf>
    <xf numFmtId="175" fontId="5" fillId="10" borderId="21" xfId="0" applyNumberFormat="1" applyFont="1" applyFill="1" applyBorder="1" applyAlignment="1" applyProtection="1">
      <alignment vertical="center"/>
      <protection hidden="1"/>
    </xf>
    <xf numFmtId="3" fontId="5" fillId="5" borderId="22" xfId="0" applyNumberFormat="1" applyFont="1" applyFill="1" applyBorder="1" applyAlignment="1" applyProtection="1">
      <alignment vertical="center"/>
      <protection locked="0"/>
    </xf>
    <xf numFmtId="175" fontId="5" fillId="10" borderId="21" xfId="0" applyNumberFormat="1" applyFont="1" applyFill="1" applyBorder="1" applyAlignment="1" applyProtection="1">
      <alignment vertical="center"/>
    </xf>
    <xf numFmtId="0" fontId="5" fillId="0" borderId="68" xfId="0" applyFont="1" applyBorder="1" applyAlignment="1">
      <alignment vertical="center"/>
    </xf>
    <xf numFmtId="0" fontId="5" fillId="0" borderId="77" xfId="0" applyFont="1" applyBorder="1" applyAlignment="1">
      <alignment vertical="center"/>
    </xf>
    <xf numFmtId="3" fontId="5" fillId="0" borderId="68" xfId="0" applyNumberFormat="1" applyFont="1" applyFill="1" applyBorder="1" applyAlignment="1" applyProtection="1">
      <alignment vertical="center"/>
      <protection hidden="1"/>
    </xf>
    <xf numFmtId="175" fontId="5" fillId="10" borderId="47" xfId="0" applyNumberFormat="1" applyFont="1" applyFill="1" applyBorder="1" applyAlignment="1" applyProtection="1">
      <alignment vertical="center"/>
      <protection hidden="1"/>
    </xf>
    <xf numFmtId="0" fontId="5" fillId="0" borderId="51" xfId="0" applyFont="1" applyBorder="1" applyAlignment="1">
      <alignment vertical="center"/>
    </xf>
    <xf numFmtId="4" fontId="5" fillId="0" borderId="67" xfId="0" applyNumberFormat="1" applyFont="1" applyFill="1" applyBorder="1" applyAlignment="1" applyProtection="1">
      <alignment vertical="center"/>
      <protection hidden="1"/>
    </xf>
    <xf numFmtId="175" fontId="5" fillId="10" borderId="62" xfId="0" applyNumberFormat="1" applyFont="1" applyFill="1" applyBorder="1" applyAlignment="1" applyProtection="1">
      <alignment vertical="center"/>
      <protection hidden="1"/>
    </xf>
    <xf numFmtId="2" fontId="5" fillId="5" borderId="22" xfId="0" applyNumberFormat="1" applyFont="1" applyFill="1" applyBorder="1" applyAlignment="1" applyProtection="1">
      <alignment vertical="center"/>
      <protection locked="0"/>
    </xf>
    <xf numFmtId="0" fontId="5" fillId="0" borderId="22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3" fontId="5" fillId="10" borderId="22" xfId="0" applyNumberFormat="1" applyFont="1" applyFill="1" applyBorder="1" applyAlignment="1" applyProtection="1">
      <alignment vertical="center"/>
      <protection hidden="1"/>
    </xf>
    <xf numFmtId="3" fontId="5" fillId="0" borderId="22" xfId="0" applyNumberFormat="1" applyFont="1" applyFill="1" applyBorder="1" applyAlignment="1" applyProtection="1">
      <alignment vertical="center"/>
    </xf>
    <xf numFmtId="175" fontId="5" fillId="5" borderId="22" xfId="0" applyNumberFormat="1" applyFont="1" applyFill="1" applyBorder="1" applyAlignment="1" applyProtection="1">
      <alignment vertical="center"/>
      <protection locked="0"/>
    </xf>
    <xf numFmtId="3" fontId="5" fillId="10" borderId="50" xfId="0" applyNumberFormat="1" applyFont="1" applyFill="1" applyBorder="1" applyAlignment="1" applyProtection="1">
      <alignment vertical="center"/>
      <protection hidden="1"/>
    </xf>
    <xf numFmtId="175" fontId="5" fillId="10" borderId="60" xfId="0" applyNumberFormat="1" applyFont="1" applyFill="1" applyBorder="1" applyAlignment="1" applyProtection="1">
      <alignment vertical="center"/>
      <protection hidden="1"/>
    </xf>
    <xf numFmtId="3" fontId="5" fillId="5" borderId="50" xfId="0" applyNumberFormat="1" applyFont="1" applyFill="1" applyBorder="1" applyAlignment="1" applyProtection="1">
      <alignment vertical="center"/>
      <protection locked="0"/>
    </xf>
    <xf numFmtId="175" fontId="5" fillId="10" borderId="60" xfId="0" applyNumberFormat="1" applyFont="1" applyFill="1" applyBorder="1" applyAlignment="1" applyProtection="1">
      <alignment vertical="center"/>
    </xf>
    <xf numFmtId="0" fontId="5" fillId="0" borderId="29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3" fontId="5" fillId="10" borderId="29" xfId="0" applyNumberFormat="1" applyFont="1" applyFill="1" applyBorder="1" applyAlignment="1" applyProtection="1">
      <alignment vertical="center"/>
      <protection hidden="1"/>
    </xf>
    <xf numFmtId="175" fontId="5" fillId="10" borderId="49" xfId="0" applyNumberFormat="1" applyFont="1" applyFill="1" applyBorder="1" applyAlignment="1" applyProtection="1">
      <alignment vertical="center"/>
      <protection hidden="1"/>
    </xf>
    <xf numFmtId="175" fontId="5" fillId="5" borderId="29" xfId="0" applyNumberFormat="1" applyFont="1" applyFill="1" applyBorder="1" applyAlignment="1" applyProtection="1">
      <alignment vertical="center"/>
      <protection locked="0"/>
    </xf>
    <xf numFmtId="175" fontId="5" fillId="10" borderId="49" xfId="0" applyNumberFormat="1" applyFont="1" applyFill="1" applyBorder="1" applyAlignment="1" applyProtection="1">
      <alignment vertical="center"/>
    </xf>
    <xf numFmtId="0" fontId="5" fillId="0" borderId="19" xfId="0" applyFont="1" applyBorder="1" applyAlignment="1" applyProtection="1">
      <alignment vertical="center"/>
    </xf>
    <xf numFmtId="0" fontId="5" fillId="0" borderId="40" xfId="0" applyFont="1" applyBorder="1" applyAlignment="1" applyProtection="1">
      <alignment vertical="center"/>
    </xf>
    <xf numFmtId="3" fontId="5" fillId="10" borderId="19" xfId="0" applyNumberFormat="1" applyFont="1" applyFill="1" applyBorder="1" applyAlignment="1" applyProtection="1">
      <alignment vertical="center"/>
      <protection hidden="1"/>
    </xf>
    <xf numFmtId="175" fontId="5" fillId="10" borderId="34" xfId="0" applyNumberFormat="1" applyFont="1" applyFill="1" applyBorder="1" applyAlignment="1" applyProtection="1">
      <alignment vertical="center"/>
      <protection hidden="1"/>
    </xf>
    <xf numFmtId="3" fontId="5" fillId="5" borderId="19" xfId="0" applyNumberFormat="1" applyFont="1" applyFill="1" applyBorder="1" applyAlignment="1" applyProtection="1">
      <alignment vertical="center"/>
      <protection locked="0"/>
    </xf>
    <xf numFmtId="175" fontId="5" fillId="10" borderId="34" xfId="0" applyNumberFormat="1" applyFont="1" applyFill="1" applyBorder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9" fontId="5" fillId="10" borderId="22" xfId="0" applyNumberFormat="1" applyFont="1" applyFill="1" applyBorder="1" applyAlignment="1" applyProtection="1">
      <alignment vertical="center"/>
      <protection hidden="1"/>
    </xf>
    <xf numFmtId="4" fontId="5" fillId="5" borderId="22" xfId="0" applyNumberFormat="1" applyFont="1" applyFill="1" applyBorder="1" applyAlignment="1" applyProtection="1">
      <alignment vertical="center"/>
      <protection locked="0"/>
    </xf>
    <xf numFmtId="4" fontId="5" fillId="10" borderId="21" xfId="0" applyNumberFormat="1" applyFont="1" applyFill="1" applyBorder="1" applyAlignment="1" applyProtection="1">
      <alignment vertical="center"/>
    </xf>
    <xf numFmtId="4" fontId="5" fillId="10" borderId="21" xfId="0" applyNumberFormat="1" applyFont="1" applyFill="1" applyBorder="1" applyAlignment="1" applyProtection="1">
      <alignment vertical="center"/>
      <protection hidden="1"/>
    </xf>
    <xf numFmtId="168" fontId="5" fillId="10" borderId="21" xfId="0" applyNumberFormat="1" applyFont="1" applyFill="1" applyBorder="1" applyAlignment="1" applyProtection="1">
      <alignment vertical="center"/>
      <protection hidden="1"/>
    </xf>
    <xf numFmtId="3" fontId="5" fillId="5" borderId="29" xfId="0" applyNumberFormat="1" applyFont="1" applyFill="1" applyBorder="1" applyAlignment="1" applyProtection="1">
      <alignment vertical="center"/>
      <protection locked="0"/>
    </xf>
    <xf numFmtId="175" fontId="2" fillId="10" borderId="49" xfId="0" applyNumberFormat="1" applyFont="1" applyFill="1" applyBorder="1" applyAlignment="1" applyProtection="1">
      <alignment vertical="center"/>
    </xf>
    <xf numFmtId="175" fontId="2" fillId="10" borderId="49" xfId="0" applyNumberFormat="1" applyFont="1" applyFill="1" applyBorder="1" applyAlignment="1" applyProtection="1">
      <alignment vertical="center"/>
      <protection hidden="1"/>
    </xf>
    <xf numFmtId="175" fontId="2" fillId="10" borderId="21" xfId="0" applyNumberFormat="1" applyFont="1" applyFill="1" applyBorder="1" applyAlignment="1" applyProtection="1">
      <alignment vertical="center"/>
    </xf>
    <xf numFmtId="175" fontId="2" fillId="10" borderId="21" xfId="0" applyNumberFormat="1" applyFont="1" applyFill="1" applyBorder="1" applyAlignment="1" applyProtection="1">
      <alignment vertical="center"/>
      <protection hidden="1"/>
    </xf>
    <xf numFmtId="174" fontId="5" fillId="5" borderId="22" xfId="0" applyNumberFormat="1" applyFont="1" applyFill="1" applyBorder="1" applyAlignment="1" applyProtection="1">
      <alignment vertical="center"/>
      <protection locked="0"/>
    </xf>
    <xf numFmtId="174" fontId="2" fillId="10" borderId="21" xfId="0" applyNumberFormat="1" applyFont="1" applyFill="1" applyBorder="1" applyAlignment="1" applyProtection="1">
      <alignment vertical="center"/>
    </xf>
    <xf numFmtId="174" fontId="5" fillId="5" borderId="29" xfId="0" applyNumberFormat="1" applyFont="1" applyFill="1" applyBorder="1" applyAlignment="1" applyProtection="1">
      <alignment vertical="center"/>
      <protection locked="0"/>
    </xf>
    <xf numFmtId="174" fontId="5" fillId="10" borderId="49" xfId="0" applyNumberFormat="1" applyFont="1" applyFill="1" applyBorder="1" applyAlignment="1" applyProtection="1">
      <alignment vertical="center"/>
    </xf>
    <xf numFmtId="174" fontId="2" fillId="10" borderId="21" xfId="0" applyNumberFormat="1" applyFont="1" applyFill="1" applyBorder="1" applyAlignment="1" applyProtection="1">
      <alignment vertical="center"/>
      <protection hidden="1"/>
    </xf>
    <xf numFmtId="168" fontId="5" fillId="5" borderId="22" xfId="0" applyNumberFormat="1" applyFont="1" applyFill="1" applyBorder="1" applyAlignment="1" applyProtection="1">
      <alignment vertical="center"/>
      <protection locked="0" hidden="1"/>
    </xf>
    <xf numFmtId="168" fontId="5" fillId="5" borderId="29" xfId="0" applyNumberFormat="1" applyFont="1" applyFill="1" applyBorder="1" applyAlignment="1" applyProtection="1">
      <alignment vertical="center"/>
      <protection locked="0" hidden="1"/>
    </xf>
    <xf numFmtId="168" fontId="5" fillId="10" borderId="49" xfId="0" applyNumberFormat="1" applyFont="1" applyFill="1" applyBorder="1" applyAlignment="1" applyProtection="1">
      <alignment vertical="center"/>
      <protection hidden="1"/>
    </xf>
    <xf numFmtId="168" fontId="2" fillId="10" borderId="21" xfId="0" applyNumberFormat="1" applyFont="1" applyFill="1" applyBorder="1" applyAlignment="1" applyProtection="1">
      <alignment vertical="center"/>
      <protection hidden="1"/>
    </xf>
    <xf numFmtId="0" fontId="2" fillId="0" borderId="68" xfId="0" applyFont="1" applyBorder="1" applyAlignment="1" applyProtection="1">
      <alignment vertical="center"/>
    </xf>
    <xf numFmtId="0" fontId="5" fillId="0" borderId="27" xfId="0" applyFont="1" applyBorder="1" applyAlignment="1">
      <alignment vertical="center"/>
    </xf>
    <xf numFmtId="168" fontId="5" fillId="10" borderId="29" xfId="0" applyNumberFormat="1" applyFont="1" applyFill="1" applyBorder="1" applyAlignment="1" applyProtection="1">
      <alignment vertical="center"/>
      <protection hidden="1"/>
    </xf>
    <xf numFmtId="3" fontId="5" fillId="5" borderId="68" xfId="0" applyNumberFormat="1" applyFont="1" applyFill="1" applyBorder="1" applyAlignment="1" applyProtection="1">
      <alignment vertical="center"/>
      <protection locked="0"/>
    </xf>
    <xf numFmtId="175" fontId="2" fillId="10" borderId="47" xfId="0" applyNumberFormat="1" applyFont="1" applyFill="1" applyBorder="1" applyAlignment="1" applyProtection="1">
      <alignment vertical="center"/>
    </xf>
    <xf numFmtId="168" fontId="5" fillId="10" borderId="21" xfId="0" applyNumberFormat="1" applyFont="1" applyFill="1" applyBorder="1" applyAlignment="1" applyProtection="1">
      <alignment vertical="center"/>
    </xf>
    <xf numFmtId="3" fontId="5" fillId="5" borderId="67" xfId="0" applyNumberFormat="1" applyFont="1" applyFill="1" applyBorder="1" applyAlignment="1" applyProtection="1">
      <alignment vertical="center"/>
      <protection locked="0" hidden="1"/>
    </xf>
    <xf numFmtId="3" fontId="5" fillId="0" borderId="50" xfId="0" applyNumberFormat="1" applyFont="1" applyFill="1" applyBorder="1" applyAlignment="1" applyProtection="1">
      <alignment vertical="center"/>
      <protection hidden="1"/>
    </xf>
    <xf numFmtId="175" fontId="5" fillId="10" borderId="53" xfId="0" applyNumberFormat="1" applyFont="1" applyFill="1" applyBorder="1" applyAlignment="1" applyProtection="1">
      <alignment vertical="center"/>
      <protection hidden="1"/>
    </xf>
    <xf numFmtId="175" fontId="2" fillId="10" borderId="62" xfId="0" applyNumberFormat="1" applyFont="1" applyFill="1" applyBorder="1" applyAlignment="1" applyProtection="1">
      <alignment vertical="center"/>
      <protection hidden="1"/>
    </xf>
    <xf numFmtId="168" fontId="5" fillId="0" borderId="22" xfId="0" applyNumberFormat="1" applyFont="1" applyFill="1" applyBorder="1" applyAlignment="1" applyProtection="1">
      <alignment vertical="center"/>
      <protection hidden="1"/>
    </xf>
    <xf numFmtId="168" fontId="5" fillId="10" borderId="24" xfId="0" applyNumberFormat="1" applyFont="1" applyFill="1" applyBorder="1" applyAlignment="1" applyProtection="1">
      <alignment vertical="center"/>
      <protection hidden="1"/>
    </xf>
    <xf numFmtId="3" fontId="5" fillId="0" borderId="22" xfId="0" applyNumberFormat="1" applyFont="1" applyFill="1" applyBorder="1" applyAlignment="1" applyProtection="1">
      <alignment vertical="center"/>
      <protection hidden="1"/>
    </xf>
    <xf numFmtId="175" fontId="5" fillId="10" borderId="24" xfId="0" applyNumberFormat="1" applyFont="1" applyFill="1" applyBorder="1" applyAlignment="1" applyProtection="1">
      <alignment vertical="center"/>
      <protection hidden="1"/>
    </xf>
    <xf numFmtId="168" fontId="5" fillId="10" borderId="22" xfId="0" applyNumberFormat="1" applyFont="1" applyFill="1" applyBorder="1" applyAlignment="1" applyProtection="1">
      <alignment vertical="center"/>
      <protection hidden="1"/>
    </xf>
    <xf numFmtId="10" fontId="5" fillId="5" borderId="22" xfId="0" applyNumberFormat="1" applyFont="1" applyFill="1" applyBorder="1" applyAlignment="1" applyProtection="1">
      <alignment vertical="center"/>
      <protection locked="0" hidden="1"/>
    </xf>
    <xf numFmtId="10" fontId="5" fillId="10" borderId="21" xfId="0" applyNumberFormat="1" applyFont="1" applyFill="1" applyBorder="1" applyAlignment="1" applyProtection="1">
      <alignment vertical="center"/>
      <protection hidden="1"/>
    </xf>
    <xf numFmtId="10" fontId="5" fillId="5" borderId="22" xfId="0" applyNumberFormat="1" applyFont="1" applyFill="1" applyBorder="1" applyAlignment="1" applyProtection="1">
      <alignment vertical="center"/>
      <protection locked="0"/>
    </xf>
    <xf numFmtId="10" fontId="5" fillId="10" borderId="24" xfId="0" applyNumberFormat="1" applyFont="1" applyFill="1" applyBorder="1" applyAlignment="1" applyProtection="1">
      <alignment vertical="center"/>
      <protection hidden="1"/>
    </xf>
    <xf numFmtId="10" fontId="2" fillId="10" borderId="21" xfId="0" applyNumberFormat="1" applyFont="1" applyFill="1" applyBorder="1" applyAlignment="1" applyProtection="1">
      <alignment vertical="center"/>
      <protection hidden="1"/>
    </xf>
    <xf numFmtId="3" fontId="5" fillId="10" borderId="21" xfId="0" applyNumberFormat="1" applyFont="1" applyFill="1" applyBorder="1" applyAlignment="1" applyProtection="1">
      <alignment vertical="center"/>
    </xf>
    <xf numFmtId="3" fontId="5" fillId="10" borderId="21" xfId="0" applyNumberFormat="1" applyFont="1" applyFill="1" applyBorder="1" applyAlignment="1" applyProtection="1">
      <alignment vertical="center"/>
      <protection hidden="1"/>
    </xf>
    <xf numFmtId="175" fontId="5" fillId="10" borderId="5" xfId="0" applyNumberFormat="1" applyFont="1" applyFill="1" applyBorder="1" applyAlignment="1" applyProtection="1">
      <alignment vertical="center"/>
      <protection hidden="1"/>
    </xf>
    <xf numFmtId="175" fontId="5" fillId="10" borderId="5" xfId="0" applyNumberFormat="1" applyFont="1" applyFill="1" applyBorder="1" applyAlignment="1" applyProtection="1">
      <alignment vertical="center"/>
    </xf>
    <xf numFmtId="0" fontId="5" fillId="0" borderId="67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175" fontId="5" fillId="10" borderId="3" xfId="0" applyNumberFormat="1" applyFont="1" applyFill="1" applyBorder="1" applyAlignment="1" applyProtection="1">
      <alignment vertical="center"/>
      <protection hidden="1"/>
    </xf>
    <xf numFmtId="175" fontId="5" fillId="10" borderId="3" xfId="0" applyNumberFormat="1" applyFont="1" applyFill="1" applyBorder="1" applyAlignment="1" applyProtection="1">
      <alignment vertical="center"/>
    </xf>
    <xf numFmtId="3" fontId="5" fillId="7" borderId="22" xfId="0" applyNumberFormat="1" applyFont="1" applyFill="1" applyBorder="1" applyAlignment="1" applyProtection="1">
      <alignment vertical="center"/>
      <protection hidden="1"/>
    </xf>
    <xf numFmtId="175" fontId="5" fillId="5" borderId="19" xfId="0" applyNumberFormat="1" applyFont="1" applyFill="1" applyBorder="1" applyAlignment="1" applyProtection="1">
      <alignment vertical="center"/>
      <protection locked="0" hidden="1"/>
    </xf>
    <xf numFmtId="175" fontId="5" fillId="10" borderId="40" xfId="0" applyNumberFormat="1" applyFont="1" applyFill="1" applyBorder="1" applyAlignment="1" applyProtection="1">
      <alignment vertical="center"/>
      <protection hidden="1"/>
    </xf>
    <xf numFmtId="175" fontId="5" fillId="5" borderId="19" xfId="0" applyNumberFormat="1" applyFont="1" applyFill="1" applyBorder="1" applyAlignment="1" applyProtection="1">
      <alignment vertical="center"/>
      <protection locked="0"/>
    </xf>
    <xf numFmtId="175" fontId="5" fillId="10" borderId="40" xfId="0" applyNumberFormat="1" applyFont="1" applyFill="1" applyBorder="1" applyAlignment="1" applyProtection="1">
      <alignment vertical="center"/>
    </xf>
    <xf numFmtId="0" fontId="5" fillId="0" borderId="5" xfId="0" applyFont="1" applyBorder="1" applyAlignment="1">
      <alignment horizontal="left" vertical="center"/>
    </xf>
    <xf numFmtId="3" fontId="5" fillId="5" borderId="68" xfId="0" applyNumberFormat="1" applyFont="1" applyFill="1" applyBorder="1" applyAlignment="1" applyProtection="1">
      <alignment vertical="center"/>
      <protection locked="0" hidden="1"/>
    </xf>
    <xf numFmtId="175" fontId="5" fillId="10" borderId="47" xfId="0" applyNumberFormat="1" applyFont="1" applyFill="1" applyBorder="1" applyAlignment="1" applyProtection="1">
      <alignment vertical="center"/>
    </xf>
    <xf numFmtId="0" fontId="5" fillId="0" borderId="50" xfId="0" applyFont="1" applyBorder="1" applyAlignment="1">
      <alignment vertical="center"/>
    </xf>
    <xf numFmtId="0" fontId="5" fillId="0" borderId="51" xfId="0" applyFont="1" applyBorder="1" applyAlignment="1">
      <alignment horizontal="left" vertical="center"/>
    </xf>
    <xf numFmtId="9" fontId="5" fillId="5" borderId="50" xfId="0" applyNumberFormat="1" applyFont="1" applyFill="1" applyBorder="1" applyAlignment="1" applyProtection="1">
      <alignment vertical="center"/>
      <protection locked="0" hidden="1"/>
    </xf>
    <xf numFmtId="175" fontId="5" fillId="10" borderId="77" xfId="0" applyNumberFormat="1" applyFont="1" applyFill="1" applyBorder="1" applyAlignment="1" applyProtection="1">
      <alignment vertical="center"/>
      <protection hidden="1"/>
    </xf>
    <xf numFmtId="175" fontId="5" fillId="10" borderId="51" xfId="0" applyNumberFormat="1" applyFont="1" applyFill="1" applyBorder="1" applyAlignment="1" applyProtection="1">
      <alignment vertical="center"/>
    </xf>
    <xf numFmtId="0" fontId="8" fillId="0" borderId="51" xfId="0" applyFont="1" applyBorder="1" applyAlignment="1" applyProtection="1">
      <alignment horizontal="right" vertical="top" wrapText="1"/>
      <protection hidden="1"/>
    </xf>
    <xf numFmtId="0" fontId="8" fillId="0" borderId="2" xfId="0" applyFont="1" applyBorder="1" applyAlignment="1" applyProtection="1">
      <alignment horizontal="right" vertical="top" wrapText="1"/>
      <protection hidden="1"/>
    </xf>
    <xf numFmtId="0" fontId="8" fillId="0" borderId="52" xfId="0" applyFont="1" applyBorder="1" applyAlignment="1" applyProtection="1">
      <alignment horizontal="right" vertical="top" wrapText="1"/>
      <protection hidden="1"/>
    </xf>
    <xf numFmtId="0" fontId="8" fillId="0" borderId="27" xfId="0" applyFont="1" applyBorder="1" applyAlignment="1" applyProtection="1">
      <alignment horizontal="right" vertical="top" wrapText="1"/>
      <protection hidden="1"/>
    </xf>
    <xf numFmtId="0" fontId="8" fillId="0" borderId="57" xfId="0" applyFont="1" applyBorder="1" applyAlignment="1" applyProtection="1">
      <alignment horizontal="right" vertical="top" wrapText="1"/>
      <protection hidden="1"/>
    </xf>
    <xf numFmtId="0" fontId="8" fillId="0" borderId="41" xfId="0" applyFont="1" applyBorder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right"/>
      <protection hidden="1"/>
    </xf>
    <xf numFmtId="0" fontId="16" fillId="0" borderId="0" xfId="1" applyFont="1" applyFill="1" applyBorder="1" applyAlignment="1" applyProtection="1">
      <alignment horizontal="left"/>
    </xf>
    <xf numFmtId="0" fontId="7" fillId="0" borderId="0" xfId="0" applyFont="1" applyFill="1" applyBorder="1" applyAlignment="1">
      <alignment horizontal="center"/>
    </xf>
    <xf numFmtId="0" fontId="0" fillId="0" borderId="0" xfId="0"/>
    <xf numFmtId="0" fontId="2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5" borderId="5" xfId="0" applyFont="1" applyFill="1" applyBorder="1" applyAlignment="1" applyProtection="1">
      <alignment horizontal="left" vertical="center"/>
      <protection locked="0"/>
    </xf>
    <xf numFmtId="0" fontId="13" fillId="5" borderId="20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left"/>
    </xf>
    <xf numFmtId="0" fontId="3" fillId="0" borderId="6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63" xfId="0" applyFont="1" applyFill="1" applyBorder="1" applyAlignment="1" applyProtection="1">
      <alignment horizontal="left" vertical="center"/>
    </xf>
    <xf numFmtId="14" fontId="3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/>
    </xf>
    <xf numFmtId="0" fontId="0" fillId="0" borderId="63" xfId="0" applyFill="1" applyBorder="1" applyAlignment="1" applyProtection="1">
      <alignment horizontal="center"/>
    </xf>
    <xf numFmtId="3" fontId="12" fillId="5" borderId="64" xfId="0" applyNumberFormat="1" applyFont="1" applyFill="1" applyBorder="1" applyAlignment="1" applyProtection="1">
      <alignment horizontal="center"/>
      <protection locked="0"/>
    </xf>
    <xf numFmtId="3" fontId="12" fillId="0" borderId="64" xfId="0" applyNumberFormat="1" applyFont="1" applyBorder="1" applyAlignment="1">
      <alignment horizontal="center"/>
    </xf>
    <xf numFmtId="14" fontId="3" fillId="0" borderId="15" xfId="0" applyNumberFormat="1" applyFont="1" applyFill="1" applyBorder="1" applyAlignment="1" applyProtection="1">
      <alignment horizontal="left" vertical="center"/>
    </xf>
    <xf numFmtId="14" fontId="3" fillId="0" borderId="63" xfId="0" applyNumberFormat="1" applyFont="1" applyFill="1" applyBorder="1" applyAlignment="1" applyProtection="1">
      <alignment horizontal="left" vertical="center"/>
    </xf>
    <xf numFmtId="0" fontId="12" fillId="0" borderId="12" xfId="0" applyFont="1" applyFill="1" applyBorder="1" applyAlignment="1" applyProtection="1">
      <alignment horizontal="left" vertical="center"/>
      <protection hidden="1"/>
    </xf>
    <xf numFmtId="0" fontId="12" fillId="0" borderId="74" xfId="0" applyFont="1" applyFill="1" applyBorder="1" applyAlignment="1" applyProtection="1">
      <alignment horizontal="left" vertical="center"/>
      <protection hidden="1"/>
    </xf>
    <xf numFmtId="0" fontId="13" fillId="0" borderId="33" xfId="0" applyFont="1" applyFill="1" applyBorder="1" applyAlignment="1" applyProtection="1">
      <alignment horizontal="left"/>
    </xf>
    <xf numFmtId="0" fontId="13" fillId="0" borderId="20" xfId="0" applyFont="1" applyFill="1" applyBorder="1" applyAlignment="1" applyProtection="1">
      <alignment horizontal="left"/>
    </xf>
    <xf numFmtId="0" fontId="13" fillId="0" borderId="13" xfId="0" applyFont="1" applyFill="1" applyBorder="1" applyAlignment="1">
      <alignment horizontal="left" vertical="center"/>
    </xf>
    <xf numFmtId="0" fontId="13" fillId="0" borderId="26" xfId="0" applyFont="1" applyFill="1" applyBorder="1" applyAlignment="1">
      <alignment horizontal="left" vertical="center"/>
    </xf>
    <xf numFmtId="0" fontId="12" fillId="0" borderId="40" xfId="0" applyFont="1" applyFill="1" applyBorder="1" applyAlignment="1" applyProtection="1">
      <alignment horizontal="left" vertical="center"/>
      <protection hidden="1"/>
    </xf>
    <xf numFmtId="0" fontId="12" fillId="0" borderId="26" xfId="0" applyFont="1" applyFill="1" applyBorder="1" applyAlignment="1" applyProtection="1">
      <alignment horizontal="left" vertical="center"/>
      <protection hidden="1"/>
    </xf>
    <xf numFmtId="0" fontId="44" fillId="9" borderId="7" xfId="0" applyFont="1" applyFill="1" applyBorder="1" applyAlignment="1" applyProtection="1">
      <alignment horizontal="center"/>
      <protection hidden="1"/>
    </xf>
    <xf numFmtId="1" fontId="44" fillId="9" borderId="30" xfId="0" applyNumberFormat="1" applyFont="1" applyFill="1" applyBorder="1" applyAlignment="1" applyProtection="1">
      <alignment horizontal="center"/>
    </xf>
    <xf numFmtId="3" fontId="13" fillId="3" borderId="31" xfId="0" applyNumberFormat="1" applyFont="1" applyFill="1" applyBorder="1" applyAlignment="1">
      <alignment horizontal="right" vertical="center"/>
    </xf>
    <xf numFmtId="3" fontId="13" fillId="0" borderId="32" xfId="0" applyNumberFormat="1" applyFont="1" applyFill="1" applyBorder="1" applyAlignment="1">
      <alignment horizontal="right" vertical="center"/>
    </xf>
    <xf numFmtId="0" fontId="13" fillId="0" borderId="32" xfId="0" applyFont="1" applyFill="1" applyBorder="1" applyAlignment="1">
      <alignment horizontal="right" vertical="center"/>
    </xf>
    <xf numFmtId="3" fontId="13" fillId="0" borderId="31" xfId="0" applyNumberFormat="1" applyFont="1" applyFill="1" applyBorder="1" applyAlignment="1">
      <alignment horizontal="right" vertical="center"/>
    </xf>
    <xf numFmtId="0" fontId="13" fillId="0" borderId="31" xfId="0" applyFont="1" applyFill="1" applyBorder="1" applyAlignment="1">
      <alignment horizontal="right" vertical="center"/>
    </xf>
    <xf numFmtId="1" fontId="13" fillId="0" borderId="31" xfId="0" applyNumberFormat="1" applyFont="1" applyFill="1" applyBorder="1" applyAlignment="1" applyProtection="1">
      <alignment horizontal="right"/>
      <protection hidden="1"/>
    </xf>
    <xf numFmtId="0" fontId="13" fillId="0" borderId="12" xfId="0" applyFont="1" applyBorder="1" applyAlignment="1">
      <alignment horizontal="left"/>
    </xf>
    <xf numFmtId="0" fontId="13" fillId="0" borderId="74" xfId="0" applyFont="1" applyBorder="1" applyAlignment="1">
      <alignment horizontal="left"/>
    </xf>
    <xf numFmtId="0" fontId="44" fillId="9" borderId="64" xfId="0" applyFont="1" applyFill="1" applyBorder="1" applyAlignment="1" applyProtection="1">
      <alignment horizontal="center" vertical="center" wrapText="1"/>
      <protection hidden="1"/>
    </xf>
    <xf numFmtId="0" fontId="45" fillId="9" borderId="64" xfId="0" applyFont="1" applyFill="1" applyBorder="1" applyAlignment="1">
      <alignment horizontal="center" vertical="center" wrapText="1"/>
    </xf>
    <xf numFmtId="0" fontId="45" fillId="9" borderId="31" xfId="0" applyFont="1" applyFill="1" applyBorder="1" applyAlignment="1">
      <alignment horizontal="center" vertical="center" wrapText="1"/>
    </xf>
    <xf numFmtId="3" fontId="13" fillId="0" borderId="31" xfId="0" applyNumberFormat="1" applyFont="1" applyFill="1" applyBorder="1" applyAlignment="1" applyProtection="1">
      <alignment horizontal="right"/>
      <protection hidden="1"/>
    </xf>
    <xf numFmtId="3" fontId="13" fillId="3" borderId="31" xfId="0" applyNumberFormat="1" applyFont="1" applyFill="1" applyBorder="1" applyAlignment="1">
      <alignment horizontal="right"/>
    </xf>
    <xf numFmtId="3" fontId="13" fillId="3" borderId="31" xfId="0" applyNumberFormat="1" applyFont="1" applyFill="1" applyBorder="1" applyAlignment="1" applyProtection="1">
      <alignment horizontal="right" vertical="center"/>
      <protection hidden="1"/>
    </xf>
    <xf numFmtId="0" fontId="13" fillId="3" borderId="31" xfId="0" applyFont="1" applyFill="1" applyBorder="1" applyAlignment="1">
      <alignment horizontal="right" vertical="center"/>
    </xf>
    <xf numFmtId="3" fontId="13" fillId="3" borderId="31" xfId="0" applyNumberFormat="1" applyFont="1" applyFill="1" applyBorder="1" applyAlignment="1" applyProtection="1">
      <alignment horizontal="right" vertical="center"/>
    </xf>
    <xf numFmtId="0" fontId="45" fillId="9" borderId="32" xfId="0" applyFont="1" applyFill="1" applyBorder="1" applyAlignment="1">
      <alignment horizontal="center" vertical="center" wrapText="1"/>
    </xf>
    <xf numFmtId="3" fontId="13" fillId="3" borderId="32" xfId="0" applyNumberFormat="1" applyFont="1" applyFill="1" applyBorder="1" applyAlignment="1">
      <alignment horizontal="right" vertical="center"/>
    </xf>
    <xf numFmtId="0" fontId="13" fillId="3" borderId="32" xfId="0" applyFont="1" applyFill="1" applyBorder="1" applyAlignment="1">
      <alignment horizontal="right" vertical="center"/>
    </xf>
    <xf numFmtId="0" fontId="3" fillId="5" borderId="14" xfId="0" applyFont="1" applyFill="1" applyBorder="1" applyAlignment="1" applyProtection="1">
      <alignment horizontal="left"/>
      <protection locked="0"/>
    </xf>
    <xf numFmtId="0" fontId="3" fillId="5" borderId="15" xfId="0" applyFont="1" applyFill="1" applyBorder="1" applyAlignment="1" applyProtection="1">
      <alignment horizontal="left"/>
      <protection locked="0"/>
    </xf>
    <xf numFmtId="0" fontId="3" fillId="5" borderId="63" xfId="0" applyFont="1" applyFill="1" applyBorder="1" applyAlignment="1" applyProtection="1">
      <alignment horizontal="left"/>
      <protection locked="0"/>
    </xf>
    <xf numFmtId="0" fontId="3" fillId="5" borderId="14" xfId="0" applyFont="1" applyFill="1" applyBorder="1" applyAlignment="1" applyProtection="1">
      <alignment horizontal="left" vertical="center"/>
      <protection locked="0"/>
    </xf>
    <xf numFmtId="0" fontId="3" fillId="5" borderId="15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63" xfId="0" applyFont="1" applyBorder="1" applyAlignment="1" applyProtection="1">
      <alignment horizontal="left" vertical="center"/>
      <protection locked="0"/>
    </xf>
    <xf numFmtId="0" fontId="44" fillId="9" borderId="12" xfId="0" applyFont="1" applyFill="1" applyBorder="1" applyAlignment="1" applyProtection="1">
      <alignment horizontal="center" vertical="center"/>
      <protection hidden="1"/>
    </xf>
    <xf numFmtId="0" fontId="45" fillId="9" borderId="73" xfId="0" applyFont="1" applyFill="1" applyBorder="1" applyAlignment="1">
      <alignment horizontal="center" vertical="center"/>
    </xf>
    <xf numFmtId="0" fontId="45" fillId="9" borderId="74" xfId="0" applyFont="1" applyFill="1" applyBorder="1" applyAlignment="1">
      <alignment horizontal="center" vertical="center"/>
    </xf>
    <xf numFmtId="0" fontId="45" fillId="9" borderId="13" xfId="0" applyFont="1" applyFill="1" applyBorder="1" applyAlignment="1">
      <alignment horizontal="center" vertical="center"/>
    </xf>
    <xf numFmtId="0" fontId="45" fillId="9" borderId="70" xfId="0" applyFont="1" applyFill="1" applyBorder="1" applyAlignment="1">
      <alignment horizontal="center" vertical="center"/>
    </xf>
    <xf numFmtId="0" fontId="45" fillId="9" borderId="26" xfId="0" applyFont="1" applyFill="1" applyBorder="1" applyAlignment="1">
      <alignment horizontal="center" vertical="center"/>
    </xf>
    <xf numFmtId="0" fontId="44" fillId="9" borderId="37" xfId="0" applyFont="1" applyFill="1" applyBorder="1" applyAlignment="1" applyProtection="1">
      <alignment horizontal="center"/>
      <protection hidden="1"/>
    </xf>
    <xf numFmtId="0" fontId="44" fillId="9" borderId="16" xfId="0" applyFont="1" applyFill="1" applyBorder="1" applyAlignment="1" applyProtection="1">
      <alignment horizontal="center"/>
      <protection hidden="1"/>
    </xf>
    <xf numFmtId="1" fontId="12" fillId="5" borderId="30" xfId="0" applyNumberFormat="1" applyFont="1" applyFill="1" applyBorder="1" applyAlignment="1" applyProtection="1">
      <alignment horizontal="center"/>
      <protection locked="0"/>
    </xf>
    <xf numFmtId="14" fontId="3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3" xfId="0" applyBorder="1" applyAlignment="1" applyProtection="1">
      <alignment horizontal="center"/>
      <protection locked="0"/>
    </xf>
    <xf numFmtId="14" fontId="3" fillId="5" borderId="15" xfId="0" applyNumberFormat="1" applyFont="1" applyFill="1" applyBorder="1" applyAlignment="1" applyProtection="1">
      <alignment horizontal="left" vertical="center"/>
      <protection locked="0"/>
    </xf>
    <xf numFmtId="14" fontId="3" fillId="5" borderId="63" xfId="0" applyNumberFormat="1" applyFont="1" applyFill="1" applyBorder="1" applyAlignment="1" applyProtection="1">
      <alignment horizontal="left" vertical="center"/>
      <protection locked="0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20" xfId="0" applyFont="1" applyFill="1" applyBorder="1" applyAlignment="1" applyProtection="1">
      <alignment horizontal="left" vertical="center" wrapText="1"/>
      <protection hidden="1"/>
    </xf>
    <xf numFmtId="0" fontId="13" fillId="0" borderId="5" xfId="0" applyFont="1" applyBorder="1" applyAlignment="1" applyProtection="1">
      <alignment horizontal="left" vertical="center"/>
      <protection hidden="1"/>
    </xf>
    <xf numFmtId="0" fontId="13" fillId="0" borderId="20" xfId="0" applyFont="1" applyBorder="1" applyAlignment="1" applyProtection="1">
      <alignment horizontal="left" vertical="center"/>
      <protection hidden="1"/>
    </xf>
    <xf numFmtId="0" fontId="13" fillId="5" borderId="36" xfId="0" applyFont="1" applyFill="1" applyBorder="1" applyAlignment="1" applyProtection="1">
      <alignment horizontal="left" vertical="center"/>
      <protection locked="0"/>
    </xf>
    <xf numFmtId="0" fontId="13" fillId="5" borderId="10" xfId="0" applyFont="1" applyFill="1" applyBorder="1" applyAlignment="1" applyProtection="1">
      <alignment horizontal="left" vertical="center"/>
      <protection locked="0"/>
    </xf>
    <xf numFmtId="0" fontId="12" fillId="0" borderId="14" xfId="0" applyNumberFormat="1" applyFont="1" applyFill="1" applyBorder="1" applyAlignment="1" applyProtection="1">
      <alignment horizontal="left" vertical="top"/>
    </xf>
    <xf numFmtId="0" fontId="12" fillId="0" borderId="15" xfId="0" applyNumberFormat="1" applyFont="1" applyFill="1" applyBorder="1" applyAlignment="1" applyProtection="1">
      <alignment horizontal="left" vertical="top"/>
    </xf>
    <xf numFmtId="0" fontId="12" fillId="0" borderId="18" xfId="0" applyNumberFormat="1" applyFont="1" applyFill="1" applyBorder="1" applyAlignment="1" applyProtection="1">
      <alignment horizontal="left" vertical="top"/>
    </xf>
    <xf numFmtId="0" fontId="12" fillId="0" borderId="14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0" fontId="12" fillId="0" borderId="71" xfId="0" applyFont="1" applyFill="1" applyBorder="1" applyAlignment="1">
      <alignment horizontal="left" vertical="center"/>
    </xf>
    <xf numFmtId="0" fontId="46" fillId="9" borderId="37" xfId="0" applyFont="1" applyFill="1" applyBorder="1" applyAlignment="1" applyProtection="1">
      <alignment horizontal="center" vertical="center"/>
      <protection hidden="1"/>
    </xf>
    <xf numFmtId="0" fontId="47" fillId="9" borderId="6" xfId="0" applyFont="1" applyFill="1" applyBorder="1" applyAlignment="1">
      <alignment horizontal="center" vertical="center"/>
    </xf>
    <xf numFmtId="0" fontId="47" fillId="9" borderId="16" xfId="0" applyFont="1" applyFill="1" applyBorder="1" applyAlignment="1">
      <alignment horizontal="center" vertical="center"/>
    </xf>
    <xf numFmtId="0" fontId="47" fillId="9" borderId="59" xfId="0" applyFont="1" applyFill="1" applyBorder="1" applyAlignment="1">
      <alignment horizontal="center" vertical="center"/>
    </xf>
    <xf numFmtId="0" fontId="47" fillId="9" borderId="1" xfId="0" applyFont="1" applyFill="1" applyBorder="1" applyAlignment="1">
      <alignment horizontal="center" vertical="center"/>
    </xf>
    <xf numFmtId="0" fontId="47" fillId="9" borderId="4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14" fontId="3" fillId="0" borderId="63" xfId="0" applyNumberFormat="1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left" vertical="center"/>
    </xf>
    <xf numFmtId="0" fontId="13" fillId="5" borderId="9" xfId="0" applyFont="1" applyFill="1" applyBorder="1" applyAlignment="1" applyProtection="1">
      <alignment horizontal="left"/>
      <protection locked="0"/>
    </xf>
    <xf numFmtId="0" fontId="13" fillId="5" borderId="18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right"/>
    </xf>
    <xf numFmtId="0" fontId="5" fillId="0" borderId="18" xfId="0" applyFont="1" applyFill="1" applyBorder="1" applyAlignment="1" applyProtection="1">
      <alignment horizontal="right"/>
    </xf>
    <xf numFmtId="0" fontId="13" fillId="0" borderId="36" xfId="0" applyFont="1" applyFill="1" applyBorder="1" applyAlignment="1" applyProtection="1">
      <alignment horizontal="left"/>
      <protection hidden="1"/>
    </xf>
    <xf numFmtId="0" fontId="13" fillId="0" borderId="10" xfId="0" applyFont="1" applyFill="1" applyBorder="1" applyAlignment="1" applyProtection="1">
      <alignment horizontal="left"/>
      <protection hidden="1"/>
    </xf>
    <xf numFmtId="0" fontId="12" fillId="0" borderId="9" xfId="0" applyFont="1" applyFill="1" applyBorder="1" applyAlignment="1" applyProtection="1">
      <alignment horizontal="left" vertical="top"/>
      <protection hidden="1"/>
    </xf>
    <xf numFmtId="0" fontId="12" fillId="0" borderId="18" xfId="0" applyFont="1" applyFill="1" applyBorder="1" applyAlignment="1" applyProtection="1">
      <alignment horizontal="left" vertical="top"/>
      <protection hidden="1"/>
    </xf>
    <xf numFmtId="0" fontId="12" fillId="0" borderId="69" xfId="0" applyNumberFormat="1" applyFont="1" applyFill="1" applyBorder="1" applyAlignment="1" applyProtection="1">
      <alignment horizontal="center" vertical="center"/>
    </xf>
    <xf numFmtId="0" fontId="12" fillId="0" borderId="57" xfId="0" applyNumberFormat="1" applyFont="1" applyFill="1" applyBorder="1" applyAlignment="1" applyProtection="1">
      <alignment horizontal="center" vertical="center"/>
    </xf>
    <xf numFmtId="0" fontId="42" fillId="9" borderId="37" xfId="0" applyFont="1" applyFill="1" applyBorder="1" applyAlignment="1">
      <alignment horizontal="center"/>
    </xf>
    <xf numFmtId="0" fontId="42" fillId="9" borderId="16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6" fillId="9" borderId="37" xfId="0" applyFont="1" applyFill="1" applyBorder="1" applyAlignment="1">
      <alignment horizontal="center" wrapText="1"/>
    </xf>
    <xf numFmtId="0" fontId="48" fillId="9" borderId="16" xfId="0" applyFont="1" applyFill="1" applyBorder="1" applyAlignment="1">
      <alignment horizontal="center" wrapText="1"/>
    </xf>
    <xf numFmtId="0" fontId="48" fillId="9" borderId="59" xfId="0" applyFont="1" applyFill="1" applyBorder="1" applyAlignment="1">
      <alignment horizontal="center" wrapText="1"/>
    </xf>
    <xf numFmtId="0" fontId="48" fillId="9" borderId="42" xfId="0" applyFont="1" applyFill="1" applyBorder="1" applyAlignment="1">
      <alignment horizontal="center" wrapText="1"/>
    </xf>
    <xf numFmtId="14" fontId="3" fillId="0" borderId="15" xfId="0" applyNumberFormat="1" applyFont="1" applyFill="1" applyBorder="1" applyAlignment="1" applyProtection="1">
      <alignment horizontal="center" vertical="center"/>
    </xf>
    <xf numFmtId="0" fontId="42" fillId="9" borderId="6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3" fillId="0" borderId="63" xfId="0" applyFont="1" applyFill="1" applyBorder="1" applyAlignment="1" applyProtection="1">
      <alignment horizontal="center" vertical="center"/>
    </xf>
    <xf numFmtId="0" fontId="44" fillId="9" borderId="37" xfId="0" applyFont="1" applyFill="1" applyBorder="1" applyAlignment="1">
      <alignment horizontal="center" vertical="center" wrapText="1"/>
    </xf>
    <xf numFmtId="0" fontId="48" fillId="9" borderId="16" xfId="0" applyFont="1" applyFill="1" applyBorder="1" applyAlignment="1">
      <alignment horizontal="center" vertical="center" wrapText="1"/>
    </xf>
    <xf numFmtId="0" fontId="48" fillId="9" borderId="59" xfId="0" applyFont="1" applyFill="1" applyBorder="1" applyAlignment="1">
      <alignment horizontal="center" vertical="center" wrapText="1"/>
    </xf>
    <xf numFmtId="0" fontId="48" fillId="9" borderId="42" xfId="0" applyFont="1" applyFill="1" applyBorder="1" applyAlignment="1">
      <alignment horizontal="center" vertical="center" wrapText="1"/>
    </xf>
    <xf numFmtId="0" fontId="48" fillId="9" borderId="38" xfId="0" applyFont="1" applyFill="1" applyBorder="1" applyAlignment="1">
      <alignment horizontal="center" vertical="center" wrapText="1"/>
    </xf>
    <xf numFmtId="0" fontId="48" fillId="9" borderId="35" xfId="0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left" vertical="center"/>
    </xf>
    <xf numFmtId="0" fontId="2" fillId="0" borderId="59" xfId="0" applyFont="1" applyFill="1" applyBorder="1" applyAlignment="1" applyProtection="1">
      <alignment horizontal="left" vertical="center"/>
    </xf>
    <xf numFmtId="0" fontId="2" fillId="0" borderId="71" xfId="0" applyFont="1" applyFill="1" applyBorder="1" applyAlignment="1" applyProtection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0" fontId="0" fillId="3" borderId="59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" fontId="4" fillId="0" borderId="5" xfId="0" applyNumberFormat="1" applyFont="1" applyBorder="1" applyAlignment="1" applyProtection="1">
      <alignment horizontal="center" vertical="center"/>
      <protection hidden="1"/>
    </xf>
    <xf numFmtId="4" fontId="4" fillId="0" borderId="39" xfId="0" applyNumberFormat="1" applyFont="1" applyBorder="1" applyAlignment="1" applyProtection="1">
      <alignment horizontal="center" vertical="center"/>
      <protection hidden="1"/>
    </xf>
    <xf numFmtId="0" fontId="4" fillId="9" borderId="65" xfId="0" applyFont="1" applyFill="1" applyBorder="1" applyAlignment="1" applyProtection="1">
      <alignment horizontal="center" vertical="center" wrapText="1"/>
    </xf>
    <xf numFmtId="0" fontId="0" fillId="9" borderId="67" xfId="0" applyFill="1" applyBorder="1" applyAlignment="1">
      <alignment horizontal="center" vertical="center" wrapText="1"/>
    </xf>
    <xf numFmtId="0" fontId="0" fillId="9" borderId="68" xfId="0" applyFill="1" applyBorder="1" applyAlignment="1">
      <alignment horizontal="center" vertical="center" wrapText="1"/>
    </xf>
    <xf numFmtId="0" fontId="4" fillId="9" borderId="6" xfId="0" applyFont="1" applyFill="1" applyBorder="1" applyAlignment="1" applyProtection="1">
      <alignment horizontal="center" vertical="center" wrapText="1"/>
    </xf>
    <xf numFmtId="0" fontId="4" fillId="9" borderId="76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9" borderId="54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9" borderId="71" xfId="0" applyFont="1" applyFill="1" applyBorder="1" applyAlignment="1" applyProtection="1">
      <alignment horizontal="center" vertical="center" wrapText="1"/>
    </xf>
    <xf numFmtId="4" fontId="4" fillId="0" borderId="27" xfId="0" applyNumberFormat="1" applyFont="1" applyBorder="1" applyAlignment="1" applyProtection="1">
      <alignment horizontal="center" vertical="center"/>
      <protection hidden="1"/>
    </xf>
    <xf numFmtId="4" fontId="4" fillId="0" borderId="41" xfId="0" applyNumberFormat="1" applyFont="1" applyBorder="1" applyAlignment="1" applyProtection="1">
      <alignment horizontal="center" vertical="center"/>
      <protection hidden="1"/>
    </xf>
    <xf numFmtId="0" fontId="49" fillId="9" borderId="37" xfId="0" applyFont="1" applyFill="1" applyBorder="1" applyAlignment="1">
      <alignment horizontal="center"/>
    </xf>
    <xf numFmtId="0" fontId="49" fillId="9" borderId="6" xfId="0" applyFont="1" applyFill="1" applyBorder="1" applyAlignment="1">
      <alignment horizontal="center"/>
    </xf>
    <xf numFmtId="0" fontId="49" fillId="9" borderId="16" xfId="0" applyFont="1" applyFill="1" applyBorder="1" applyAlignment="1">
      <alignment horizontal="center"/>
    </xf>
    <xf numFmtId="0" fontId="4" fillId="0" borderId="0" xfId="0" applyFont="1" applyAlignment="1" applyProtection="1">
      <alignment vertical="center"/>
    </xf>
    <xf numFmtId="0" fontId="4" fillId="0" borderId="35" xfId="0" applyFont="1" applyBorder="1" applyAlignment="1" applyProtection="1">
      <alignment vertical="center"/>
    </xf>
    <xf numFmtId="0" fontId="4" fillId="9" borderId="75" xfId="0" applyFont="1" applyFill="1" applyBorder="1" applyAlignment="1" applyProtection="1">
      <alignment horizontal="center" vertical="center" wrapText="1"/>
    </xf>
    <xf numFmtId="0" fontId="0" fillId="9" borderId="61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4" fillId="9" borderId="72" xfId="0" applyFont="1" applyFill="1" applyBorder="1" applyAlignment="1" applyProtection="1">
      <alignment horizontal="center" vertical="center" wrapText="1"/>
    </xf>
    <xf numFmtId="0" fontId="0" fillId="9" borderId="62" xfId="0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</cellXfs>
  <cellStyles count="3">
    <cellStyle name="Hyperlinkki" xfId="1" builtinId="8"/>
    <cellStyle name="Normaali" xfId="0" builtinId="0"/>
    <cellStyle name="Prosentti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Taul1!$B$10</c:f>
              <c:strCache>
                <c:ptCount val="1"/>
                <c:pt idx="0">
                  <c:v>Maatalouden liikevaihto</c:v>
                </c:pt>
              </c:strCache>
            </c:strRef>
          </c:tx>
          <c:marker>
            <c:symbol val="none"/>
          </c:marker>
          <c:cat>
            <c:numRef>
              <c:f>Taul1!$C$3:$J$3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Taul1!$C$10:$J$10</c:f>
              <c:numCache>
                <c:formatCode>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Taul1!$B$11</c:f>
              <c:strCache>
                <c:ptCount val="1"/>
                <c:pt idx="0">
                  <c:v>Maatalouden verotettava tulo</c:v>
                </c:pt>
              </c:strCache>
            </c:strRef>
          </c:tx>
          <c:marker>
            <c:symbol val="none"/>
          </c:marker>
          <c:cat>
            <c:numRef>
              <c:f>Taul1!$C$3:$J$3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Taul1!$C$11:$J$11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Taul1!$B$12</c:f>
              <c:strCache>
                <c:ptCount val="1"/>
                <c:pt idx="0">
                  <c:v>Maaatalouden tuotantomenot</c:v>
                </c:pt>
              </c:strCache>
            </c:strRef>
          </c:tx>
          <c:spPr>
            <a:ln>
              <a:prstDash val="dashDot"/>
            </a:ln>
          </c:spPr>
          <c:marker>
            <c:symbol val="none"/>
          </c:marker>
          <c:cat>
            <c:numRef>
              <c:f>Taul1!$C$3:$J$3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Taul1!$C$12:$J$12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Taul1!$B$13</c:f>
              <c:strCache>
                <c:ptCount val="1"/>
                <c:pt idx="0">
                  <c:v>Maattalouden lainanlyhennykset</c:v>
                </c:pt>
              </c:strCache>
            </c:strRef>
          </c:tx>
          <c:spPr>
            <a:ln>
              <a:prstDash val="lgDash"/>
            </a:ln>
          </c:spPr>
          <c:marker>
            <c:symbol val="none"/>
          </c:marker>
          <c:cat>
            <c:numRef>
              <c:f>Taul1!$C$3:$J$3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Taul1!$C$13:$J$13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Taul1!$B$14</c:f>
              <c:strCache>
                <c:ptCount val="1"/>
                <c:pt idx="0">
                  <c:v>Maatalouden rahoitustulos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numRef>
              <c:f>Taul1!$C$3:$J$3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Taul1!$C$14:$J$14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81017824"/>
        <c:axId val="-381017280"/>
      </c:lineChart>
      <c:catAx>
        <c:axId val="-38101782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-381017280"/>
        <c:crosses val="autoZero"/>
        <c:auto val="1"/>
        <c:lblAlgn val="ctr"/>
        <c:lblOffset val="100"/>
        <c:noMultiLvlLbl val="0"/>
      </c:catAx>
      <c:valAx>
        <c:axId val="-3810172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i-FI"/>
          </a:p>
        </c:txPr>
        <c:crossAx val="-381017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695986899332108"/>
          <c:y val="6.5447224856055294E-2"/>
          <c:w val="0.99426702065700001"/>
          <c:h val="0.3638861634442291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i-F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i-FI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T2 Investoinnit, rahoitus'!A1"/><Relationship Id="rId2" Type="http://schemas.openxmlformats.org/officeDocument/2006/relationships/hyperlink" Target="#'T1 Taloussuunnitelma'!A1"/><Relationship Id="rId1" Type="http://schemas.openxmlformats.org/officeDocument/2006/relationships/image" Target="../media/image1.jpeg"/><Relationship Id="rId6" Type="http://schemas.openxmlformats.org/officeDocument/2006/relationships/image" Target="../media/image2.jpeg"/><Relationship Id="rId5" Type="http://schemas.openxmlformats.org/officeDocument/2006/relationships/hyperlink" Target="#'T4 Tuotanto'!A1"/><Relationship Id="rId4" Type="http://schemas.openxmlformats.org/officeDocument/2006/relationships/hyperlink" Target="#'T3 Kustannuks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hyperlink" Target="#'T2 Investoinnit, rahoitus'!A1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6" Type="http://schemas.openxmlformats.org/officeDocument/2006/relationships/hyperlink" Target="#'T3 Kustannukset'!A1"/><Relationship Id="rId5" Type="http://schemas.openxmlformats.org/officeDocument/2006/relationships/hyperlink" Target="#'T4 Tuotanto'!A1"/><Relationship Id="rId4" Type="http://schemas.openxmlformats.org/officeDocument/2006/relationships/hyperlink" Target="#'T1 Taloussuunnitelma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T4 Tuotanto'!A1"/><Relationship Id="rId2" Type="http://schemas.openxmlformats.org/officeDocument/2006/relationships/hyperlink" Target="#'T1 Taloussuunnitelma'!A1"/><Relationship Id="rId1" Type="http://schemas.openxmlformats.org/officeDocument/2006/relationships/image" Target="../media/image5.jpeg"/><Relationship Id="rId4" Type="http://schemas.openxmlformats.org/officeDocument/2006/relationships/hyperlink" Target="#'T3 Kustannukse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T4 Tuotanto'!A1"/><Relationship Id="rId2" Type="http://schemas.openxmlformats.org/officeDocument/2006/relationships/hyperlink" Target="#'T1 Taloussuunnitelma'!A1"/><Relationship Id="rId1" Type="http://schemas.openxmlformats.org/officeDocument/2006/relationships/image" Target="../media/image6.jpeg"/><Relationship Id="rId5" Type="http://schemas.openxmlformats.org/officeDocument/2006/relationships/hyperlink" Target="#'T3 Kustannukset'!A1"/><Relationship Id="rId4" Type="http://schemas.openxmlformats.org/officeDocument/2006/relationships/hyperlink" Target="#'T2 Investoinnit, rahoitus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T1 Taloussuunnitelma'!A1"/><Relationship Id="rId2" Type="http://schemas.openxmlformats.org/officeDocument/2006/relationships/image" Target="../media/image8.jpeg"/><Relationship Id="rId1" Type="http://schemas.openxmlformats.org/officeDocument/2006/relationships/image" Target="../media/image7.png"/><Relationship Id="rId5" Type="http://schemas.openxmlformats.org/officeDocument/2006/relationships/hyperlink" Target="#'T2 Investoinnit, rahoitus'!A1"/><Relationship Id="rId4" Type="http://schemas.openxmlformats.org/officeDocument/2006/relationships/hyperlink" Target="#'T3 Kustannukset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219075</xdr:colOff>
      <xdr:row>16</xdr:row>
      <xdr:rowOff>0</xdr:rowOff>
    </xdr:to>
    <xdr:pic>
      <xdr:nvPicPr>
        <xdr:cNvPr id="2555750" name="Kuva 17" descr="Agri kuvapalkk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38950" cy="278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843915</xdr:colOff>
      <xdr:row>17</xdr:row>
      <xdr:rowOff>87631</xdr:rowOff>
    </xdr:from>
    <xdr:to>
      <xdr:col>3</xdr:col>
      <xdr:colOff>466753</xdr:colOff>
      <xdr:row>21</xdr:row>
      <xdr:rowOff>110386</xdr:rowOff>
    </xdr:to>
    <xdr:sp macro="" textlink="">
      <xdr:nvSpPr>
        <xdr:cNvPr id="8" name="Pyöristetty suorakulmio 7">
          <a:hlinkClick xmlns:r="http://schemas.openxmlformats.org/officeDocument/2006/relationships" r:id="rId2"/>
        </xdr:cNvPr>
        <xdr:cNvSpPr/>
      </xdr:nvSpPr>
      <xdr:spPr>
        <a:xfrm>
          <a:off x="868680" y="3089911"/>
          <a:ext cx="2889872" cy="735411"/>
        </a:xfrm>
        <a:prstGeom prst="roundRect">
          <a:avLst/>
        </a:prstGeom>
        <a:solidFill>
          <a:srgbClr val="FFFF66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100" b="1">
              <a:solidFill>
                <a:schemeClr val="accent1">
                  <a:lumMod val="75000"/>
                </a:schemeClr>
              </a:solidFill>
            </a:rPr>
            <a:t>TOTEUTUNEEN</a:t>
          </a:r>
          <a:r>
            <a:rPr lang="fi-FI" sz="1100" b="1" baseline="0">
              <a:solidFill>
                <a:schemeClr val="accent1">
                  <a:lumMod val="75000"/>
                </a:schemeClr>
              </a:solidFill>
            </a:rPr>
            <a:t> TILIVUODEN TIETOJEN KIRJAAMINEN TAULUKOIHIN </a:t>
          </a:r>
          <a:r>
            <a:rPr lang="fi-FI" sz="1400" b="1" baseline="0">
              <a:solidFill>
                <a:schemeClr val="accent1">
                  <a:lumMod val="75000"/>
                </a:schemeClr>
              </a:solidFill>
            </a:rPr>
            <a:t>T1 - T4</a:t>
          </a:r>
          <a:endParaRPr lang="fi-FI" sz="1400" b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  <xdr:twoCellAnchor>
    <xdr:from>
      <xdr:col>0</xdr:col>
      <xdr:colOff>1508760</xdr:colOff>
      <xdr:row>22</xdr:row>
      <xdr:rowOff>114300</xdr:rowOff>
    </xdr:from>
    <xdr:to>
      <xdr:col>5</xdr:col>
      <xdr:colOff>104701</xdr:colOff>
      <xdr:row>27</xdr:row>
      <xdr:rowOff>38100</xdr:rowOff>
    </xdr:to>
    <xdr:sp macro="" textlink="">
      <xdr:nvSpPr>
        <xdr:cNvPr id="9" name="Pyöristetty suorakulmio 8">
          <a:hlinkClick xmlns:r="http://schemas.openxmlformats.org/officeDocument/2006/relationships" r:id="rId3"/>
        </xdr:cNvPr>
        <xdr:cNvSpPr/>
      </xdr:nvSpPr>
      <xdr:spPr>
        <a:xfrm>
          <a:off x="1546860" y="3985260"/>
          <a:ext cx="3084194" cy="822960"/>
        </a:xfrm>
        <a:prstGeom prst="roundRect">
          <a:avLst/>
        </a:prstGeom>
        <a:solidFill>
          <a:schemeClr val="tx2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>
            <a:lnSpc>
              <a:spcPts val="900"/>
            </a:lnSpc>
          </a:pPr>
          <a:r>
            <a:rPr lang="fi-FI" sz="1400" b="1" baseline="0">
              <a:solidFill>
                <a:schemeClr val="bg1"/>
              </a:solidFill>
            </a:rPr>
            <a:t> </a:t>
          </a:r>
          <a:r>
            <a:rPr lang="fi-FI" sz="1400" b="1">
              <a:solidFill>
                <a:schemeClr val="lt1"/>
              </a:solidFill>
              <a:latin typeface="+mn-lt"/>
              <a:ea typeface="+mn-ea"/>
              <a:cs typeface="+mn-cs"/>
            </a:rPr>
            <a:t>TAULUKKO T2 </a:t>
          </a:r>
          <a:endParaRPr lang="fi-FI" sz="1400" b="1">
            <a:solidFill>
              <a:schemeClr val="bg1"/>
            </a:solidFill>
          </a:endParaRPr>
        </a:p>
        <a:p>
          <a:pPr algn="ctr">
            <a:lnSpc>
              <a:spcPts val="1100"/>
            </a:lnSpc>
          </a:pPr>
          <a:r>
            <a:rPr lang="fi-FI" sz="1100" b="1" baseline="0">
              <a:solidFill>
                <a:schemeClr val="bg1"/>
              </a:solidFill>
            </a:rPr>
            <a:t>INVESTOINTI- JA RAHOITUSSUUNNITELMAN LAATIMINEN </a:t>
          </a:r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7619</xdr:colOff>
      <xdr:row>28</xdr:row>
      <xdr:rowOff>1</xdr:rowOff>
    </xdr:from>
    <xdr:to>
      <xdr:col>6</xdr:col>
      <xdr:colOff>457198</xdr:colOff>
      <xdr:row>32</xdr:row>
      <xdr:rowOff>95251</xdr:rowOff>
    </xdr:to>
    <xdr:sp macro="" textlink="">
      <xdr:nvSpPr>
        <xdr:cNvPr id="10" name="Pyöristetty suorakulmio 9">
          <a:hlinkClick xmlns:r="http://schemas.openxmlformats.org/officeDocument/2006/relationships" r:id="rId4"/>
        </xdr:cNvPr>
        <xdr:cNvSpPr/>
      </xdr:nvSpPr>
      <xdr:spPr>
        <a:xfrm>
          <a:off x="2133599" y="4968241"/>
          <a:ext cx="3147059" cy="765810"/>
        </a:xfrm>
        <a:prstGeom prst="roundRect">
          <a:avLst/>
        </a:prstGeom>
        <a:solidFill>
          <a:schemeClr val="accent2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400" b="1">
              <a:solidFill>
                <a:schemeClr val="bg1"/>
              </a:solidFill>
            </a:rPr>
            <a:t>TAULUKKO</a:t>
          </a:r>
          <a:r>
            <a:rPr lang="fi-FI" sz="1400" b="1" baseline="0">
              <a:solidFill>
                <a:schemeClr val="bg1"/>
              </a:solidFill>
            </a:rPr>
            <a:t> T3 </a:t>
          </a:r>
          <a:r>
            <a:rPr lang="fi-FI" sz="1100" b="1" baseline="0">
              <a:solidFill>
                <a:schemeClr val="bg1"/>
              </a:solidFill>
            </a:rPr>
            <a:t/>
          </a:r>
          <a:br>
            <a:rPr lang="fi-FI" sz="1100" b="1" baseline="0">
              <a:solidFill>
                <a:schemeClr val="bg1"/>
              </a:solidFill>
            </a:rPr>
          </a:br>
          <a:r>
            <a:rPr lang="fi-FI" sz="1100" b="1" i="0" baseline="0">
              <a:solidFill>
                <a:schemeClr val="bg1"/>
              </a:solidFill>
            </a:rPr>
            <a:t>KUSTANNUSENNUSTEEN L</a:t>
          </a:r>
          <a:r>
            <a:rPr lang="fi-FI" sz="1100" b="1" baseline="0">
              <a:solidFill>
                <a:schemeClr val="bg1"/>
              </a:solidFill>
            </a:rPr>
            <a:t>AATIMINEN </a:t>
          </a:r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129540</xdr:colOff>
      <xdr:row>33</xdr:row>
      <xdr:rowOff>104775</xdr:rowOff>
    </xdr:from>
    <xdr:to>
      <xdr:col>7</xdr:col>
      <xdr:colOff>563917</xdr:colOff>
      <xdr:row>38</xdr:row>
      <xdr:rowOff>28575</xdr:rowOff>
    </xdr:to>
    <xdr:sp macro="" textlink="">
      <xdr:nvSpPr>
        <xdr:cNvPr id="11" name="Pyöristetty suorakulmio 10">
          <a:hlinkClick xmlns:r="http://schemas.openxmlformats.org/officeDocument/2006/relationships" r:id="rId5"/>
        </xdr:cNvPr>
        <xdr:cNvSpPr/>
      </xdr:nvSpPr>
      <xdr:spPr>
        <a:xfrm>
          <a:off x="2811780" y="5911215"/>
          <a:ext cx="3208016" cy="784860"/>
        </a:xfrm>
        <a:prstGeom prst="roundRect">
          <a:avLst/>
        </a:prstGeom>
        <a:solidFill>
          <a:schemeClr val="accent3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400" b="1" baseline="0">
              <a:solidFill>
                <a:schemeClr val="bg1"/>
              </a:solidFill>
            </a:rPr>
            <a:t>TAULUKKO T4 </a:t>
          </a:r>
          <a:r>
            <a:rPr lang="fi-FI" sz="1100" b="1" baseline="0">
              <a:solidFill>
                <a:schemeClr val="bg1"/>
              </a:solidFill>
            </a:rPr>
            <a:t/>
          </a:r>
          <a:br>
            <a:rPr lang="fi-FI" sz="1100" b="1" baseline="0">
              <a:solidFill>
                <a:schemeClr val="bg1"/>
              </a:solidFill>
            </a:rPr>
          </a:br>
          <a:r>
            <a:rPr lang="fi-FI" sz="1100" b="1" baseline="0">
              <a:solidFill>
                <a:schemeClr val="bg1"/>
              </a:solidFill>
            </a:rPr>
            <a:t>TUOTANTOENNUSTEEN LAATIMINEN</a:t>
          </a:r>
          <a:endParaRPr lang="fi-FI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15240</xdr:colOff>
      <xdr:row>39</xdr:row>
      <xdr:rowOff>57150</xdr:rowOff>
    </xdr:from>
    <xdr:to>
      <xdr:col>8</xdr:col>
      <xdr:colOff>247650</xdr:colOff>
      <xdr:row>40</xdr:row>
      <xdr:rowOff>695325</xdr:rowOff>
    </xdr:to>
    <xdr:sp macro="" textlink="">
      <xdr:nvSpPr>
        <xdr:cNvPr id="14" name="Pyöristetty suorakulmio 13">
          <a:hlinkClick xmlns:r="http://schemas.openxmlformats.org/officeDocument/2006/relationships" r:id="rId2"/>
        </xdr:cNvPr>
        <xdr:cNvSpPr/>
      </xdr:nvSpPr>
      <xdr:spPr>
        <a:xfrm>
          <a:off x="3307080" y="6892290"/>
          <a:ext cx="3067050" cy="805815"/>
        </a:xfrm>
        <a:prstGeom prst="roundRect">
          <a:avLst/>
        </a:prstGeom>
        <a:solidFill>
          <a:srgbClr val="FFFF66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i-FI" sz="1400" b="1" baseline="0">
              <a:solidFill>
                <a:schemeClr val="accent1">
                  <a:lumMod val="75000"/>
                </a:schemeClr>
              </a:solidFill>
            </a:rPr>
            <a:t>TAULUKKO T1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400" b="1" baseline="0">
              <a:solidFill>
                <a:schemeClr val="accent1">
                  <a:lumMod val="75000"/>
                </a:schemeClr>
              </a:solidFill>
            </a:rPr>
            <a:t>TULOSTEN ARVIOINTI </a:t>
          </a:r>
        </a:p>
      </xdr:txBody>
    </xdr:sp>
    <xdr:clientData/>
  </xdr:twoCellAnchor>
  <xdr:twoCellAnchor editAs="oneCell">
    <xdr:from>
      <xdr:col>0</xdr:col>
      <xdr:colOff>443864</xdr:colOff>
      <xdr:row>1</xdr:row>
      <xdr:rowOff>10947</xdr:rowOff>
    </xdr:from>
    <xdr:to>
      <xdr:col>1</xdr:col>
      <xdr:colOff>66248</xdr:colOff>
      <xdr:row>4</xdr:row>
      <xdr:rowOff>80092</xdr:rowOff>
    </xdr:to>
    <xdr:pic>
      <xdr:nvPicPr>
        <xdr:cNvPr id="12" name="Kuva 11" descr="YT Agri logo matala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7674" y="176682"/>
          <a:ext cx="1685925" cy="627989"/>
        </a:xfrm>
        <a:prstGeom prst="roundRect">
          <a:avLst>
            <a:gd name="adj" fmla="val 16667"/>
          </a:avLst>
        </a:prstGeom>
        <a:ln>
          <a:noFill/>
        </a:ln>
        <a:effectLst>
          <a:outerShdw blurRad="76200" dist="38100" dir="7800000" algn="tl" rotWithShape="0">
            <a:srgbClr val="000000">
              <a:alpha val="40000"/>
            </a:srgbClr>
          </a:outerShdw>
        </a:effectLst>
        <a:scene3d>
          <a:camera prst="orthographicFront"/>
          <a:lightRig rig="contrasting" dir="t">
            <a:rot lat="0" lon="0" rev="4200000"/>
          </a:lightRig>
        </a:scene3d>
        <a:sp3d prstMaterial="plastic">
          <a:bevelT w="381000" h="114300" prst="relaxedInset"/>
          <a:contourClr>
            <a:srgbClr val="969696"/>
          </a:contourClr>
        </a:sp3d>
      </xdr:spPr>
    </xdr:pic>
    <xdr:clientData/>
  </xdr:twoCellAnchor>
  <xdr:twoCellAnchor>
    <xdr:from>
      <xdr:col>9</xdr:col>
      <xdr:colOff>238125</xdr:colOff>
      <xdr:row>0</xdr:row>
      <xdr:rowOff>47624</xdr:rowOff>
    </xdr:from>
    <xdr:to>
      <xdr:col>15</xdr:col>
      <xdr:colOff>533400</xdr:colOff>
      <xdr:row>40</xdr:row>
      <xdr:rowOff>123824</xdr:rowOff>
    </xdr:to>
    <xdr:sp macro="" textlink="">
      <xdr:nvSpPr>
        <xdr:cNvPr id="13" name="Vuokaaviosymboli: Dokumentti 12"/>
        <xdr:cNvSpPr/>
      </xdr:nvSpPr>
      <xdr:spPr>
        <a:xfrm>
          <a:off x="6858000" y="47624"/>
          <a:ext cx="3952875" cy="6924675"/>
        </a:xfrm>
        <a:prstGeom prst="flowChartDocument">
          <a:avLst/>
        </a:prstGeom>
        <a:solidFill>
          <a:srgbClr val="FFC000"/>
        </a:solidFill>
        <a:ln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>
            <a:lnSpc>
              <a:spcPts val="1400"/>
            </a:lnSpc>
          </a:pPr>
          <a:r>
            <a:rPr lang="fi-FI" sz="1200" b="1">
              <a:solidFill>
                <a:sysClr val="windowText" lastClr="000000"/>
              </a:solidFill>
            </a:rPr>
            <a:t>Täyttöohjeita:</a:t>
          </a:r>
        </a:p>
        <a:p>
          <a:pPr algn="l">
            <a:lnSpc>
              <a:spcPts val="1400"/>
            </a:lnSpc>
          </a:pPr>
          <a:endParaRPr lang="fi-FI" sz="1200" b="1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lang="fi-FI" sz="1200" b="1" u="sng">
              <a:solidFill>
                <a:sysClr val="windowText" lastClr="000000"/>
              </a:solidFill>
            </a:rPr>
            <a:t>Vaihe 1.</a:t>
          </a:r>
          <a:r>
            <a:rPr lang="fi-FI" sz="1200" b="1" u="sng" baseline="0">
              <a:solidFill>
                <a:sysClr val="windowText" lastClr="000000"/>
              </a:solidFill>
            </a:rPr>
            <a:t> </a:t>
          </a:r>
        </a:p>
        <a:p>
          <a:pPr algn="l">
            <a:lnSpc>
              <a:spcPts val="1400"/>
            </a:lnSpc>
          </a:pPr>
          <a:r>
            <a:rPr lang="fi-FI" sz="1200" b="1" baseline="0">
              <a:solidFill>
                <a:sysClr val="windowText" lastClr="000000"/>
              </a:solidFill>
            </a:rPr>
            <a:t>Maatilan nimi yms. tiedot sekä toteutuneen tilivuoden </a:t>
          </a:r>
          <a:br>
            <a:rPr lang="fi-FI" sz="1200" b="1" baseline="0">
              <a:solidFill>
                <a:sysClr val="windowText" lastClr="000000"/>
              </a:solidFill>
            </a:rPr>
          </a:br>
          <a:r>
            <a:rPr lang="fi-FI" sz="1200" b="1" baseline="0">
              <a:solidFill>
                <a:sysClr val="windowText" lastClr="000000"/>
              </a:solidFill>
            </a:rPr>
            <a:t>tiedot</a:t>
          </a:r>
        </a:p>
        <a:p>
          <a:pPr algn="l">
            <a:lnSpc>
              <a:spcPts val="1400"/>
            </a:lnSpc>
          </a:pPr>
          <a:r>
            <a:rPr lang="fi-FI" sz="1200" b="1" baseline="0">
              <a:solidFill>
                <a:sysClr val="windowText" lastClr="000000"/>
              </a:solidFill>
            </a:rPr>
            <a:t>- a</a:t>
          </a:r>
          <a:r>
            <a:rPr lang="fi-FI" sz="1200" b="1">
              <a:solidFill>
                <a:sysClr val="windowText" lastClr="000000"/>
              </a:solidFill>
            </a:rPr>
            <a:t>loita</a:t>
          </a:r>
          <a:r>
            <a:rPr lang="fi-FI" sz="1200" b="1" baseline="0">
              <a:solidFill>
                <a:sysClr val="windowText" lastClr="000000"/>
              </a:solidFill>
            </a:rPr>
            <a:t> täyttämällä toteutuneen tilikauden tiedot kaikkiin </a:t>
          </a:r>
          <a:br>
            <a:rPr lang="fi-FI" sz="1200" b="1" baseline="0">
              <a:solidFill>
                <a:sysClr val="windowText" lastClr="000000"/>
              </a:solidFill>
            </a:rPr>
          </a:br>
          <a:r>
            <a:rPr lang="fi-FI" sz="1200" b="1" baseline="0">
              <a:solidFill>
                <a:sysClr val="windowText" lastClr="000000"/>
              </a:solidFill>
            </a:rPr>
            <a:t>  taulukoihin</a:t>
          </a:r>
        </a:p>
        <a:p>
          <a:pPr algn="l">
            <a:lnSpc>
              <a:spcPts val="1400"/>
            </a:lnSpc>
          </a:pPr>
          <a:r>
            <a:rPr lang="fi-FI" sz="1200" b="1" baseline="0">
              <a:solidFill>
                <a:sysClr val="windowText" lastClr="000000"/>
              </a:solidFill>
            </a:rPr>
            <a:t>- ohjelma laskee valmiiksi tunnuslukuja</a:t>
          </a:r>
        </a:p>
        <a:p>
          <a:pPr algn="l">
            <a:lnSpc>
              <a:spcPts val="1400"/>
            </a:lnSpc>
          </a:pPr>
          <a:r>
            <a:rPr lang="fi-FI" sz="1200" b="1" baseline="0">
              <a:solidFill>
                <a:sysClr val="windowText" lastClr="000000"/>
              </a:solidFill>
            </a:rPr>
            <a:t>- lainalaskurilla voit vertailla erilaisten lainamuotojen </a:t>
          </a:r>
          <a:br>
            <a:rPr lang="fi-FI" sz="1200" b="1" baseline="0">
              <a:solidFill>
                <a:sysClr val="windowText" lastClr="000000"/>
              </a:solidFill>
            </a:rPr>
          </a:br>
          <a:r>
            <a:rPr lang="fi-FI" sz="1200" b="1" baseline="0">
              <a:solidFill>
                <a:sysClr val="windowText" lastClr="000000"/>
              </a:solidFill>
            </a:rPr>
            <a:t>  kustannuksia</a:t>
          </a:r>
        </a:p>
        <a:p>
          <a:pPr algn="l">
            <a:lnSpc>
              <a:spcPts val="1400"/>
            </a:lnSpc>
          </a:pPr>
          <a:endParaRPr lang="fi-FI" sz="1200" b="1" baseline="0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lang="fi-FI" sz="1200" b="1" u="sng" baseline="0">
              <a:solidFill>
                <a:sysClr val="windowText" lastClr="000000"/>
              </a:solidFill>
            </a:rPr>
            <a:t>Vaihe 2.</a:t>
          </a:r>
        </a:p>
        <a:p>
          <a:pPr algn="l">
            <a:lnSpc>
              <a:spcPts val="1400"/>
            </a:lnSpc>
          </a:pPr>
          <a:r>
            <a:rPr lang="fi-FI" sz="1200" b="1" u="none" baseline="0">
              <a:solidFill>
                <a:sysClr val="windowText" lastClr="000000"/>
              </a:solidFill>
            </a:rPr>
            <a:t>Investointi- ja rahoitussuunnitelman laatiminen </a:t>
          </a:r>
        </a:p>
        <a:p>
          <a:pPr algn="l"/>
          <a:r>
            <a:rPr lang="fi-FI" sz="1200" b="1" u="none" baseline="0">
              <a:solidFill>
                <a:sysClr val="windowText" lastClr="000000"/>
              </a:solidFill>
            </a:rPr>
            <a:t>T2-taulukkoon</a:t>
          </a:r>
          <a:br>
            <a:rPr lang="fi-FI" sz="1200" b="1" u="none" baseline="0">
              <a:solidFill>
                <a:sysClr val="windowText" lastClr="000000"/>
              </a:solidFill>
            </a:rPr>
          </a:br>
          <a:r>
            <a:rPr lang="fi-FI" sz="1200" b="1" u="none" baseline="0">
              <a:solidFill>
                <a:sysClr val="windowText" lastClr="000000"/>
              </a:solidFill>
            </a:rPr>
            <a:t>- aseta arvonlisäverolliset investointisummat toteutus-     </a:t>
          </a:r>
          <a:br>
            <a:rPr lang="fi-FI" sz="1200" b="1" u="none" baseline="0">
              <a:solidFill>
                <a:sysClr val="windowText" lastClr="000000"/>
              </a:solidFill>
            </a:rPr>
          </a:br>
          <a:r>
            <a:rPr lang="fi-FI" sz="1200" b="1" u="none" baseline="0">
              <a:solidFill>
                <a:sysClr val="windowText" lastClr="000000"/>
              </a:solidFill>
            </a:rPr>
            <a:t>   vuosittain</a:t>
          </a:r>
        </a:p>
        <a:p>
          <a:pPr algn="l">
            <a:lnSpc>
              <a:spcPts val="1400"/>
            </a:lnSpc>
          </a:pPr>
          <a:r>
            <a:rPr lang="fi-FI" sz="1200" b="1" u="none" baseline="0">
              <a:solidFill>
                <a:sysClr val="windowText" lastClr="000000"/>
              </a:solidFill>
            </a:rPr>
            <a:t>- suunnittele investointiohjelman rahoitus </a:t>
          </a:r>
        </a:p>
        <a:p>
          <a:pPr algn="l"/>
          <a:r>
            <a:rPr lang="fi-FI" sz="1200" b="1" u="none" baseline="0">
              <a:solidFill>
                <a:sysClr val="windowText" lastClr="000000"/>
              </a:solidFill>
            </a:rPr>
            <a:t>- kirjaa maatilan vanhat lainat</a:t>
          </a:r>
        </a:p>
        <a:p>
          <a:pPr algn="l"/>
          <a:endParaRPr lang="fi-FI" sz="1200" b="1" u="none" baseline="0">
            <a:solidFill>
              <a:sysClr val="windowText" lastClr="000000"/>
            </a:solidFill>
          </a:endParaRPr>
        </a:p>
        <a:p>
          <a:pPr algn="l">
            <a:lnSpc>
              <a:spcPts val="1400"/>
            </a:lnSpc>
          </a:pPr>
          <a:r>
            <a:rPr lang="fi-FI" sz="1200" b="1" u="sng" baseline="0">
              <a:solidFill>
                <a:sysClr val="windowText" lastClr="000000"/>
              </a:solidFill>
            </a:rPr>
            <a:t>Vaihe 3.</a:t>
          </a:r>
        </a:p>
        <a:p>
          <a:pPr algn="l"/>
          <a:r>
            <a:rPr lang="fi-FI" sz="1200" b="1" u="none" baseline="0">
              <a:solidFill>
                <a:sysClr val="windowText" lastClr="000000"/>
              </a:solidFill>
            </a:rPr>
            <a:t>Kustannusennusteen laatiminen T3-taulukkoon</a:t>
          </a:r>
        </a:p>
        <a:p>
          <a:pPr algn="l"/>
          <a:endParaRPr lang="fi-FI" sz="1200" b="1" u="none" baseline="0">
            <a:solidFill>
              <a:sysClr val="windowText" lastClr="000000"/>
            </a:solidFill>
          </a:endParaRPr>
        </a:p>
        <a:p>
          <a:pPr algn="l"/>
          <a:r>
            <a:rPr lang="fi-FI" sz="1200" b="1" u="sng" baseline="0">
              <a:solidFill>
                <a:sysClr val="windowText" lastClr="000000"/>
              </a:solidFill>
            </a:rPr>
            <a:t>Vaihe 4.</a:t>
          </a:r>
        </a:p>
        <a:p>
          <a:pPr algn="l">
            <a:lnSpc>
              <a:spcPts val="1400"/>
            </a:lnSpc>
          </a:pPr>
          <a:r>
            <a:rPr lang="fi-FI" sz="1200" b="1" u="none" baseline="0">
              <a:solidFill>
                <a:sysClr val="windowText" lastClr="000000"/>
              </a:solidFill>
            </a:rPr>
            <a:t>Tuotantoennusteen laatiminen T4-taulukkoon</a:t>
          </a:r>
        </a:p>
        <a:p>
          <a:pPr algn="l"/>
          <a:endParaRPr lang="fi-FI" sz="1200" b="1" u="none" baseline="0">
            <a:solidFill>
              <a:sysClr val="windowText" lastClr="000000"/>
            </a:solidFill>
          </a:endParaRPr>
        </a:p>
        <a:p>
          <a:pPr algn="l"/>
          <a:r>
            <a:rPr lang="fi-FI" sz="1200" b="1" u="sng" baseline="0">
              <a:solidFill>
                <a:sysClr val="windowText" lastClr="000000"/>
              </a:solidFill>
            </a:rPr>
            <a:t>Vaihe 5.</a:t>
          </a:r>
        </a:p>
        <a:p>
          <a:pPr algn="l"/>
          <a:r>
            <a:rPr lang="fi-FI" sz="1200" b="1" u="none" baseline="0">
              <a:solidFill>
                <a:sysClr val="windowText" lastClr="000000"/>
              </a:solidFill>
            </a:rPr>
            <a:t>Tulosten arviointi T1-taulukosta</a:t>
          </a:r>
        </a:p>
        <a:p>
          <a:pPr algn="l"/>
          <a:r>
            <a:rPr lang="fi-FI" sz="1200" b="1" u="none" baseline="0">
              <a:solidFill>
                <a:sysClr val="windowText" lastClr="000000"/>
              </a:solidFill>
            </a:rPr>
            <a:t>- lisää urakointi- tms. yritystulot</a:t>
          </a:r>
        </a:p>
        <a:p>
          <a:pPr algn="l">
            <a:lnSpc>
              <a:spcPts val="1400"/>
            </a:lnSpc>
          </a:pPr>
          <a:r>
            <a:rPr lang="fi-FI" sz="1200" b="1" u="none" baseline="0">
              <a:solidFill>
                <a:sysClr val="windowText" lastClr="000000"/>
              </a:solidFill>
            </a:rPr>
            <a:t>- huomaa taulukon alla olevat graafiset kuvaajat</a:t>
          </a:r>
        </a:p>
        <a:p>
          <a:pPr algn="l">
            <a:lnSpc>
              <a:spcPts val="1400"/>
            </a:lnSpc>
          </a:pPr>
          <a:endParaRPr lang="fi-FI" sz="1200" b="1" u="none" baseline="0">
            <a:solidFill>
              <a:schemeClr val="bg1"/>
            </a:solidFill>
          </a:endParaRPr>
        </a:p>
        <a:p>
          <a:pPr algn="l"/>
          <a:endParaRPr lang="fi-FI" sz="1200" b="1" u="sng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28575</xdr:rowOff>
    </xdr:from>
    <xdr:to>
      <xdr:col>19</xdr:col>
      <xdr:colOff>190500</xdr:colOff>
      <xdr:row>0</xdr:row>
      <xdr:rowOff>28575</xdr:rowOff>
    </xdr:to>
    <xdr:pic>
      <xdr:nvPicPr>
        <xdr:cNvPr id="2619941" name="Kuva 12" descr="tulkki_vari2rivi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650" y="28575"/>
          <a:ext cx="1343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104776</xdr:colOff>
      <xdr:row>1</xdr:row>
      <xdr:rowOff>14655</xdr:rowOff>
    </xdr:from>
    <xdr:to>
      <xdr:col>13</xdr:col>
      <xdr:colOff>196242</xdr:colOff>
      <xdr:row>2</xdr:row>
      <xdr:rowOff>120558</xdr:rowOff>
    </xdr:to>
    <xdr:sp macro="" textlink="">
      <xdr:nvSpPr>
        <xdr:cNvPr id="3" name="Tekstikehys 2"/>
        <xdr:cNvSpPr txBox="1"/>
      </xdr:nvSpPr>
      <xdr:spPr>
        <a:xfrm>
          <a:off x="3695701" y="176580"/>
          <a:ext cx="3663341" cy="2678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i-FI" sz="1600" b="1" i="1">
              <a:solidFill>
                <a:srgbClr val="00CC00"/>
              </a:solidFill>
            </a:rPr>
            <a:t>TALOUSSUUNNITELMA </a:t>
          </a:r>
          <a:r>
            <a:rPr lang="fi-FI" sz="1050" b="1" i="1">
              <a:solidFill>
                <a:srgbClr val="00CC00"/>
              </a:solidFill>
            </a:rPr>
            <a:t>AGRI</a:t>
          </a:r>
          <a:r>
            <a:rPr lang="fi-FI" sz="1050" b="1" i="1">
              <a:solidFill>
                <a:schemeClr val="tx2"/>
              </a:solidFill>
            </a:rPr>
            <a:t/>
          </a:r>
          <a:br>
            <a:rPr lang="fi-FI" sz="1050" b="1" i="1">
              <a:solidFill>
                <a:schemeClr val="tx2"/>
              </a:solidFill>
            </a:rPr>
          </a:br>
          <a:r>
            <a:rPr lang="fi-FI" sz="1400" b="1" i="1"/>
            <a:t>        </a:t>
          </a:r>
          <a:endParaRPr lang="fi-FI" sz="1100" b="1" i="1"/>
        </a:p>
      </xdr:txBody>
    </xdr:sp>
    <xdr:clientData/>
  </xdr:twoCellAnchor>
  <xdr:twoCellAnchor>
    <xdr:from>
      <xdr:col>2</xdr:col>
      <xdr:colOff>1257300</xdr:colOff>
      <xdr:row>56</xdr:row>
      <xdr:rowOff>114300</xdr:rowOff>
    </xdr:from>
    <xdr:to>
      <xdr:col>16</xdr:col>
      <xdr:colOff>104775</xdr:colOff>
      <xdr:row>79</xdr:row>
      <xdr:rowOff>28575</xdr:rowOff>
    </xdr:to>
    <xdr:graphicFrame macro="">
      <xdr:nvGraphicFramePr>
        <xdr:cNvPr id="261994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226695</xdr:colOff>
      <xdr:row>2</xdr:row>
      <xdr:rowOff>100965</xdr:rowOff>
    </xdr:from>
    <xdr:to>
      <xdr:col>26</xdr:col>
      <xdr:colOff>225243</xdr:colOff>
      <xdr:row>9</xdr:row>
      <xdr:rowOff>142875</xdr:rowOff>
    </xdr:to>
    <xdr:sp macro="" textlink="">
      <xdr:nvSpPr>
        <xdr:cNvPr id="6" name="AutoShape 189"/>
        <xdr:cNvSpPr>
          <a:spLocks noChangeArrowheads="1"/>
        </xdr:cNvSpPr>
      </xdr:nvSpPr>
      <xdr:spPr bwMode="auto">
        <a:xfrm>
          <a:off x="10791825" y="424815"/>
          <a:ext cx="3282764" cy="1127760"/>
        </a:xfrm>
        <a:prstGeom prst="foldedCorner">
          <a:avLst>
            <a:gd name="adj" fmla="val 12500"/>
          </a:avLst>
        </a:prstGeom>
        <a:solidFill>
          <a:srgbClr val="FFC000"/>
        </a:solidFill>
        <a:ln w="15875">
          <a:solidFill>
            <a:srgbClr val="FFC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08000" tIns="36000" rIns="36000" bIns="0" anchor="ctr" upright="1"/>
        <a:lstStyle/>
        <a:p>
          <a:pPr algn="l" rtl="0"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Täyttöohje</a:t>
          </a:r>
        </a:p>
        <a:p>
          <a:pPr algn="l" rtl="0"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TÄYTETÄÄN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KELTAISET SOLUT SEURAAAVASTI</a:t>
          </a:r>
        </a:p>
        <a:p>
          <a:pPr algn="l" rtl="0">
            <a:defRPr sz="1000"/>
          </a:pP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-  Tilan nimi yms. tiedot siirtyvät tästä taulukosta </a:t>
          </a:r>
          <a:b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  muihin taulukoihin</a:t>
          </a:r>
          <a:endParaRPr lang="fi-FI" sz="1000" b="1" i="1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- MAATILAN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TULOSLASKELMA  - osaan siellä</a:t>
          </a:r>
          <a:b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 kysytyt luvut</a:t>
          </a: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 </a:t>
          </a:r>
          <a:endParaRPr lang="fi-FI" sz="9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17</xdr:col>
      <xdr:colOff>171450</xdr:colOff>
      <xdr:row>1</xdr:row>
      <xdr:rowOff>9525</xdr:rowOff>
    </xdr:from>
    <xdr:to>
      <xdr:col>19</xdr:col>
      <xdr:colOff>295275</xdr:colOff>
      <xdr:row>3</xdr:row>
      <xdr:rowOff>104775</xdr:rowOff>
    </xdr:to>
    <xdr:pic>
      <xdr:nvPicPr>
        <xdr:cNvPr id="2619945" name="Kuva 6" descr="YT Agri logo matala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71450"/>
          <a:ext cx="1123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160857</xdr:colOff>
      <xdr:row>25</xdr:row>
      <xdr:rowOff>164125</xdr:rowOff>
    </xdr:from>
    <xdr:to>
      <xdr:col>0</xdr:col>
      <xdr:colOff>532332</xdr:colOff>
      <xdr:row>29</xdr:row>
      <xdr:rowOff>0</xdr:rowOff>
    </xdr:to>
    <xdr:sp macro="" textlink="">
      <xdr:nvSpPr>
        <xdr:cNvPr id="17" name="Laatta 16">
          <a:hlinkClick xmlns:r="http://schemas.openxmlformats.org/officeDocument/2006/relationships" r:id="rId4"/>
        </xdr:cNvPr>
        <xdr:cNvSpPr/>
      </xdr:nvSpPr>
      <xdr:spPr>
        <a:xfrm>
          <a:off x="160857" y="15423175"/>
          <a:ext cx="371475" cy="455000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149303</xdr:colOff>
      <xdr:row>22</xdr:row>
      <xdr:rowOff>6758</xdr:rowOff>
    </xdr:from>
    <xdr:to>
      <xdr:col>0</xdr:col>
      <xdr:colOff>520778</xdr:colOff>
      <xdr:row>25</xdr:row>
      <xdr:rowOff>8283</xdr:rowOff>
    </xdr:to>
    <xdr:sp macro="" textlink="">
      <xdr:nvSpPr>
        <xdr:cNvPr id="18" name="Laatta 17">
          <a:hlinkClick xmlns:r="http://schemas.openxmlformats.org/officeDocument/2006/relationships" r:id="rId5"/>
        </xdr:cNvPr>
        <xdr:cNvSpPr/>
      </xdr:nvSpPr>
      <xdr:spPr>
        <a:xfrm>
          <a:off x="149303" y="14818133"/>
          <a:ext cx="371475" cy="45872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150830</xdr:colOff>
      <xdr:row>17</xdr:row>
      <xdr:rowOff>162382</xdr:rowOff>
    </xdr:from>
    <xdr:to>
      <xdr:col>0</xdr:col>
      <xdr:colOff>522305</xdr:colOff>
      <xdr:row>21</xdr:row>
      <xdr:rowOff>16564</xdr:rowOff>
    </xdr:to>
    <xdr:sp macro="" textlink="">
      <xdr:nvSpPr>
        <xdr:cNvPr id="19" name="Laatta 18">
          <a:hlinkClick xmlns:r="http://schemas.openxmlformats.org/officeDocument/2006/relationships" r:id="rId6"/>
        </xdr:cNvPr>
        <xdr:cNvSpPr/>
      </xdr:nvSpPr>
      <xdr:spPr>
        <a:xfrm>
          <a:off x="150830" y="14202232"/>
          <a:ext cx="371475" cy="47330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149087</xdr:colOff>
      <xdr:row>14</xdr:row>
      <xdr:rowOff>8282</xdr:rowOff>
    </xdr:from>
    <xdr:to>
      <xdr:col>0</xdr:col>
      <xdr:colOff>520562</xdr:colOff>
      <xdr:row>17</xdr:row>
      <xdr:rowOff>4969</xdr:rowOff>
    </xdr:to>
    <xdr:sp macro="" textlink="">
      <xdr:nvSpPr>
        <xdr:cNvPr id="20" name="Laatta 19">
          <a:hlinkClick xmlns:r="http://schemas.openxmlformats.org/officeDocument/2006/relationships" r:id="rId7"/>
        </xdr:cNvPr>
        <xdr:cNvSpPr/>
      </xdr:nvSpPr>
      <xdr:spPr>
        <a:xfrm>
          <a:off x="149087" y="13600457"/>
          <a:ext cx="371475" cy="45388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157369</xdr:colOff>
      <xdr:row>9</xdr:row>
      <xdr:rowOff>157370</xdr:rowOff>
    </xdr:from>
    <xdr:to>
      <xdr:col>0</xdr:col>
      <xdr:colOff>528844</xdr:colOff>
      <xdr:row>13</xdr:row>
      <xdr:rowOff>0</xdr:rowOff>
    </xdr:to>
    <xdr:sp macro="" textlink="">
      <xdr:nvSpPr>
        <xdr:cNvPr id="21" name="Laatta 20"/>
        <xdr:cNvSpPr/>
      </xdr:nvSpPr>
      <xdr:spPr>
        <a:xfrm>
          <a:off x="157369" y="12978020"/>
          <a:ext cx="371475" cy="461755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6</xdr:col>
      <xdr:colOff>133350</xdr:colOff>
      <xdr:row>45</xdr:row>
      <xdr:rowOff>66675</xdr:rowOff>
    </xdr:from>
    <xdr:to>
      <xdr:col>13</xdr:col>
      <xdr:colOff>224816</xdr:colOff>
      <xdr:row>47</xdr:row>
      <xdr:rowOff>12354</xdr:rowOff>
    </xdr:to>
    <xdr:sp macro="" textlink="">
      <xdr:nvSpPr>
        <xdr:cNvPr id="22" name="Tekstikehys 2"/>
        <xdr:cNvSpPr txBox="1"/>
      </xdr:nvSpPr>
      <xdr:spPr>
        <a:xfrm>
          <a:off x="3714750" y="7134225"/>
          <a:ext cx="3665232" cy="269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i-FI" sz="1600" b="1" i="1">
              <a:solidFill>
                <a:srgbClr val="00CC00"/>
              </a:solidFill>
            </a:rPr>
            <a:t>TALOUSSUUNNITELMA </a:t>
          </a:r>
          <a:r>
            <a:rPr lang="fi-FI" sz="1050" b="1" i="1">
              <a:solidFill>
                <a:srgbClr val="00CC00"/>
              </a:solidFill>
            </a:rPr>
            <a:t>AGRI</a:t>
          </a:r>
          <a:r>
            <a:rPr lang="fi-FI" sz="1050" b="1" i="1">
              <a:solidFill>
                <a:schemeClr val="tx2"/>
              </a:solidFill>
            </a:rPr>
            <a:t/>
          </a:r>
          <a:br>
            <a:rPr lang="fi-FI" sz="1050" b="1" i="1">
              <a:solidFill>
                <a:schemeClr val="tx2"/>
              </a:solidFill>
            </a:rPr>
          </a:br>
          <a:r>
            <a:rPr lang="fi-FI" sz="1400" b="1" i="1"/>
            <a:t>        </a:t>
          </a:r>
          <a:endParaRPr lang="fi-FI" sz="1100" b="1" i="1"/>
        </a:p>
      </xdr:txBody>
    </xdr:sp>
    <xdr:clientData/>
  </xdr:twoCellAnchor>
  <xdr:twoCellAnchor editAs="oneCell">
    <xdr:from>
      <xdr:col>17</xdr:col>
      <xdr:colOff>152400</xdr:colOff>
      <xdr:row>45</xdr:row>
      <xdr:rowOff>38100</xdr:rowOff>
    </xdr:from>
    <xdr:to>
      <xdr:col>19</xdr:col>
      <xdr:colOff>276225</xdr:colOff>
      <xdr:row>47</xdr:row>
      <xdr:rowOff>133350</xdr:rowOff>
    </xdr:to>
    <xdr:pic>
      <xdr:nvPicPr>
        <xdr:cNvPr id="2619952" name="Kuva 6" descr="YT Agri logo matala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7105650"/>
          <a:ext cx="11239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1219931</xdr:colOff>
      <xdr:row>0</xdr:row>
      <xdr:rowOff>0</xdr:rowOff>
    </xdr:from>
    <xdr:to>
      <xdr:col>9</xdr:col>
      <xdr:colOff>366292</xdr:colOff>
      <xdr:row>1</xdr:row>
      <xdr:rowOff>46072</xdr:rowOff>
    </xdr:to>
    <xdr:sp macro="" textlink="">
      <xdr:nvSpPr>
        <xdr:cNvPr id="24" name="Tekstikehys 23"/>
        <xdr:cNvSpPr txBox="1"/>
      </xdr:nvSpPr>
      <xdr:spPr>
        <a:xfrm>
          <a:off x="1896206" y="0"/>
          <a:ext cx="3884003" cy="282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i-FI" sz="1600" b="1" i="1">
              <a:solidFill>
                <a:srgbClr val="00CC00"/>
              </a:solidFill>
            </a:rPr>
            <a:t>TALOUSSUUNNITELMA </a:t>
          </a:r>
          <a:r>
            <a:rPr lang="fi-FI" sz="1050" b="1" i="1">
              <a:solidFill>
                <a:srgbClr val="00CC00"/>
              </a:solidFill>
            </a:rPr>
            <a:t>AGRI</a:t>
          </a:r>
          <a:br>
            <a:rPr lang="fi-FI" sz="1050" b="1" i="1">
              <a:solidFill>
                <a:srgbClr val="00CC00"/>
              </a:solidFill>
            </a:rPr>
          </a:br>
          <a:r>
            <a:rPr lang="fi-FI" sz="1400" b="1" i="1"/>
            <a:t>        </a:t>
          </a:r>
          <a:endParaRPr lang="fi-FI" sz="1100" b="1" i="1"/>
        </a:p>
      </xdr:txBody>
    </xdr:sp>
    <xdr:clientData/>
  </xdr:twoCellAnchor>
  <xdr:twoCellAnchor>
    <xdr:from>
      <xdr:col>13</xdr:col>
      <xdr:colOff>11430</xdr:colOff>
      <xdr:row>0</xdr:row>
      <xdr:rowOff>66674</xdr:rowOff>
    </xdr:from>
    <xdr:to>
      <xdr:col>16</xdr:col>
      <xdr:colOff>468628</xdr:colOff>
      <xdr:row>4</xdr:row>
      <xdr:rowOff>7693</xdr:rowOff>
    </xdr:to>
    <xdr:sp macro="" textlink="">
      <xdr:nvSpPr>
        <xdr:cNvPr id="4" name="AutoShape 189"/>
        <xdr:cNvSpPr>
          <a:spLocks noChangeArrowheads="1"/>
        </xdr:cNvSpPr>
      </xdr:nvSpPr>
      <xdr:spPr bwMode="auto">
        <a:xfrm>
          <a:off x="7311390" y="66674"/>
          <a:ext cx="2295525" cy="550546"/>
        </a:xfrm>
        <a:prstGeom prst="foldedCorner">
          <a:avLst>
            <a:gd name="adj" fmla="val 12500"/>
          </a:avLst>
        </a:prstGeom>
        <a:solidFill>
          <a:srgbClr val="FFC000"/>
        </a:solidFill>
        <a:ln w="15875">
          <a:solidFill>
            <a:schemeClr val="bg1">
              <a:lumMod val="95000"/>
            </a:schemeClr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08000" tIns="108000" rIns="36000" bIns="108000" anchor="t" upright="1"/>
        <a:lstStyle/>
        <a:p>
          <a:pPr algn="l" rtl="0">
            <a:lnSpc>
              <a:spcPts val="9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Täyttöohje</a:t>
          </a:r>
        </a:p>
        <a:p>
          <a:pPr algn="l" rtl="0">
            <a:lnSpc>
              <a:spcPts val="9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TÄYTETÄÄN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KELTAISET SOLUT</a:t>
          </a:r>
          <a:endParaRPr lang="fi-FI" sz="9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9</xdr:col>
      <xdr:colOff>447675</xdr:colOff>
      <xdr:row>0</xdr:row>
      <xdr:rowOff>123825</xdr:rowOff>
    </xdr:from>
    <xdr:to>
      <xdr:col>11</xdr:col>
      <xdr:colOff>371475</xdr:colOff>
      <xdr:row>2</xdr:row>
      <xdr:rowOff>133350</xdr:rowOff>
    </xdr:to>
    <xdr:pic>
      <xdr:nvPicPr>
        <xdr:cNvPr id="2591578" name="Kuva 4" descr="YT Agri logo matal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123825"/>
          <a:ext cx="11049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158952</xdr:colOff>
      <xdr:row>43</xdr:row>
      <xdr:rowOff>148885</xdr:rowOff>
    </xdr:from>
    <xdr:to>
      <xdr:col>0</xdr:col>
      <xdr:colOff>528532</xdr:colOff>
      <xdr:row>47</xdr:row>
      <xdr:rowOff>0</xdr:rowOff>
    </xdr:to>
    <xdr:sp macro="" textlink="">
      <xdr:nvSpPr>
        <xdr:cNvPr id="20" name="Laatta 19">
          <a:hlinkClick xmlns:r="http://schemas.openxmlformats.org/officeDocument/2006/relationships" r:id="rId2"/>
        </xdr:cNvPr>
        <xdr:cNvSpPr/>
      </xdr:nvSpPr>
      <xdr:spPr>
        <a:xfrm>
          <a:off x="160857" y="4404821"/>
          <a:ext cx="371475" cy="498483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147398</xdr:colOff>
      <xdr:row>40</xdr:row>
      <xdr:rowOff>6758</xdr:rowOff>
    </xdr:from>
    <xdr:to>
      <xdr:col>0</xdr:col>
      <xdr:colOff>516735</xdr:colOff>
      <xdr:row>43</xdr:row>
      <xdr:rowOff>8283</xdr:rowOff>
    </xdr:to>
    <xdr:sp macro="" textlink="">
      <xdr:nvSpPr>
        <xdr:cNvPr id="21" name="Laatta 20">
          <a:hlinkClick xmlns:r="http://schemas.openxmlformats.org/officeDocument/2006/relationships" r:id="rId3"/>
        </xdr:cNvPr>
        <xdr:cNvSpPr/>
      </xdr:nvSpPr>
      <xdr:spPr>
        <a:xfrm>
          <a:off x="149303" y="3750497"/>
          <a:ext cx="371475" cy="498482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148925</xdr:colOff>
      <xdr:row>36</xdr:row>
      <xdr:rowOff>2362</xdr:rowOff>
    </xdr:from>
    <xdr:to>
      <xdr:col>0</xdr:col>
      <xdr:colOff>518505</xdr:colOff>
      <xdr:row>39</xdr:row>
      <xdr:rowOff>16564</xdr:rowOff>
    </xdr:to>
    <xdr:sp macro="" textlink="">
      <xdr:nvSpPr>
        <xdr:cNvPr id="22" name="Laatta 21">
          <a:hlinkClick xmlns:r="http://schemas.openxmlformats.org/officeDocument/2006/relationships" r:id="rId4"/>
        </xdr:cNvPr>
        <xdr:cNvSpPr/>
      </xdr:nvSpPr>
      <xdr:spPr>
        <a:xfrm>
          <a:off x="150830" y="3077860"/>
          <a:ext cx="371475" cy="516791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147182</xdr:colOff>
      <xdr:row>32</xdr:row>
      <xdr:rowOff>8282</xdr:rowOff>
    </xdr:from>
    <xdr:to>
      <xdr:col>0</xdr:col>
      <xdr:colOff>516519</xdr:colOff>
      <xdr:row>35</xdr:row>
      <xdr:rowOff>4969</xdr:rowOff>
    </xdr:to>
    <xdr:sp macro="" textlink="">
      <xdr:nvSpPr>
        <xdr:cNvPr id="23" name="Laatta 22"/>
        <xdr:cNvSpPr/>
      </xdr:nvSpPr>
      <xdr:spPr>
        <a:xfrm>
          <a:off x="149087" y="2426804"/>
          <a:ext cx="371475" cy="493643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155464</xdr:colOff>
      <xdr:row>27</xdr:row>
      <xdr:rowOff>149750</xdr:rowOff>
    </xdr:from>
    <xdr:to>
      <xdr:col>0</xdr:col>
      <xdr:colOff>524801</xdr:colOff>
      <xdr:row>31</xdr:row>
      <xdr:rowOff>0</xdr:rowOff>
    </xdr:to>
    <xdr:sp macro="" textlink="">
      <xdr:nvSpPr>
        <xdr:cNvPr id="25" name="Laatta 24">
          <a:hlinkClick xmlns:r="http://schemas.openxmlformats.org/officeDocument/2006/relationships" r:id="rId2"/>
        </xdr:cNvPr>
        <xdr:cNvSpPr/>
      </xdr:nvSpPr>
      <xdr:spPr>
        <a:xfrm>
          <a:off x="157369" y="1747631"/>
          <a:ext cx="371475" cy="505239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0</xdr:col>
      <xdr:colOff>158952</xdr:colOff>
      <xdr:row>101</xdr:row>
      <xdr:rowOff>148885</xdr:rowOff>
    </xdr:from>
    <xdr:to>
      <xdr:col>0</xdr:col>
      <xdr:colOff>528532</xdr:colOff>
      <xdr:row>105</xdr:row>
      <xdr:rowOff>0</xdr:rowOff>
    </xdr:to>
    <xdr:sp macro="" textlink="">
      <xdr:nvSpPr>
        <xdr:cNvPr id="36" name="Laatta 35">
          <a:hlinkClick xmlns:r="http://schemas.openxmlformats.org/officeDocument/2006/relationships" r:id="rId2"/>
        </xdr:cNvPr>
        <xdr:cNvSpPr/>
      </xdr:nvSpPr>
      <xdr:spPr>
        <a:xfrm>
          <a:off x="160857" y="6660175"/>
          <a:ext cx="371475" cy="455000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147398</xdr:colOff>
      <xdr:row>98</xdr:row>
      <xdr:rowOff>6758</xdr:rowOff>
    </xdr:from>
    <xdr:to>
      <xdr:col>0</xdr:col>
      <xdr:colOff>516735</xdr:colOff>
      <xdr:row>101</xdr:row>
      <xdr:rowOff>8283</xdr:rowOff>
    </xdr:to>
    <xdr:sp macro="" textlink="">
      <xdr:nvSpPr>
        <xdr:cNvPr id="37" name="Laatta 36">
          <a:hlinkClick xmlns:r="http://schemas.openxmlformats.org/officeDocument/2006/relationships" r:id="rId3"/>
        </xdr:cNvPr>
        <xdr:cNvSpPr/>
      </xdr:nvSpPr>
      <xdr:spPr>
        <a:xfrm>
          <a:off x="149303" y="6055133"/>
          <a:ext cx="371475" cy="45872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148925</xdr:colOff>
      <xdr:row>94</xdr:row>
      <xdr:rowOff>2362</xdr:rowOff>
    </xdr:from>
    <xdr:to>
      <xdr:col>0</xdr:col>
      <xdr:colOff>518505</xdr:colOff>
      <xdr:row>97</xdr:row>
      <xdr:rowOff>16564</xdr:rowOff>
    </xdr:to>
    <xdr:sp macro="" textlink="">
      <xdr:nvSpPr>
        <xdr:cNvPr id="38" name="Laatta 37">
          <a:hlinkClick xmlns:r="http://schemas.openxmlformats.org/officeDocument/2006/relationships" r:id="rId4"/>
        </xdr:cNvPr>
        <xdr:cNvSpPr/>
      </xdr:nvSpPr>
      <xdr:spPr>
        <a:xfrm>
          <a:off x="150830" y="5439232"/>
          <a:ext cx="371475" cy="47330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147182</xdr:colOff>
      <xdr:row>90</xdr:row>
      <xdr:rowOff>8282</xdr:rowOff>
    </xdr:from>
    <xdr:to>
      <xdr:col>0</xdr:col>
      <xdr:colOff>516519</xdr:colOff>
      <xdr:row>93</xdr:row>
      <xdr:rowOff>4969</xdr:rowOff>
    </xdr:to>
    <xdr:sp macro="" textlink="">
      <xdr:nvSpPr>
        <xdr:cNvPr id="39" name="Laatta 38"/>
        <xdr:cNvSpPr/>
      </xdr:nvSpPr>
      <xdr:spPr>
        <a:xfrm>
          <a:off x="149087" y="4837457"/>
          <a:ext cx="371475" cy="453887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155464</xdr:colOff>
      <xdr:row>85</xdr:row>
      <xdr:rowOff>149750</xdr:rowOff>
    </xdr:from>
    <xdr:to>
      <xdr:col>0</xdr:col>
      <xdr:colOff>524801</xdr:colOff>
      <xdr:row>89</xdr:row>
      <xdr:rowOff>0</xdr:rowOff>
    </xdr:to>
    <xdr:sp macro="" textlink="">
      <xdr:nvSpPr>
        <xdr:cNvPr id="40" name="Laatta 39">
          <a:hlinkClick xmlns:r="http://schemas.openxmlformats.org/officeDocument/2006/relationships" r:id="rId2"/>
        </xdr:cNvPr>
        <xdr:cNvSpPr/>
      </xdr:nvSpPr>
      <xdr:spPr>
        <a:xfrm>
          <a:off x="157369" y="4215020"/>
          <a:ext cx="371475" cy="46175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161926</xdr:colOff>
      <xdr:row>1</xdr:row>
      <xdr:rowOff>85725</xdr:rowOff>
    </xdr:from>
    <xdr:to>
      <xdr:col>11</xdr:col>
      <xdr:colOff>462929</xdr:colOff>
      <xdr:row>3</xdr:row>
      <xdr:rowOff>50555</xdr:rowOff>
    </xdr:to>
    <xdr:sp macro="" textlink="">
      <xdr:nvSpPr>
        <xdr:cNvPr id="5" name="Tekstikehys 4"/>
        <xdr:cNvSpPr txBox="1"/>
      </xdr:nvSpPr>
      <xdr:spPr>
        <a:xfrm>
          <a:off x="4114801" y="247650"/>
          <a:ext cx="3244228" cy="29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i-FI" sz="1600" b="1" i="1">
              <a:solidFill>
                <a:srgbClr val="00CC00"/>
              </a:solidFill>
            </a:rPr>
            <a:t>TALOUSSUUNNITELMA </a:t>
          </a:r>
          <a:r>
            <a:rPr lang="fi-FI" sz="1050" b="1" i="1">
              <a:solidFill>
                <a:srgbClr val="00CC00"/>
              </a:solidFill>
            </a:rPr>
            <a:t>AGRI</a:t>
          </a:r>
          <a:br>
            <a:rPr lang="fi-FI" sz="1050" b="1" i="1">
              <a:solidFill>
                <a:srgbClr val="00CC00"/>
              </a:solidFill>
            </a:rPr>
          </a:br>
          <a:r>
            <a:rPr lang="fi-FI" sz="1400" b="1" i="1"/>
            <a:t>        </a:t>
          </a:r>
          <a:endParaRPr lang="fi-FI" sz="1100" b="1" i="1"/>
        </a:p>
      </xdr:txBody>
    </xdr:sp>
    <xdr:clientData/>
  </xdr:twoCellAnchor>
  <xdr:twoCellAnchor>
    <xdr:from>
      <xdr:col>11</xdr:col>
      <xdr:colOff>264795</xdr:colOff>
      <xdr:row>0</xdr:row>
      <xdr:rowOff>114300</xdr:rowOff>
    </xdr:from>
    <xdr:to>
      <xdr:col>15</xdr:col>
      <xdr:colOff>569658</xdr:colOff>
      <xdr:row>4</xdr:row>
      <xdr:rowOff>142875</xdr:rowOff>
    </xdr:to>
    <xdr:sp macro="" textlink="">
      <xdr:nvSpPr>
        <xdr:cNvPr id="4" name="AutoShape 189"/>
        <xdr:cNvSpPr>
          <a:spLocks noChangeArrowheads="1"/>
        </xdr:cNvSpPr>
      </xdr:nvSpPr>
      <xdr:spPr bwMode="auto">
        <a:xfrm>
          <a:off x="7160895" y="114300"/>
          <a:ext cx="2267013" cy="628650"/>
        </a:xfrm>
        <a:prstGeom prst="foldedCorner">
          <a:avLst>
            <a:gd name="adj" fmla="val 12500"/>
          </a:avLst>
        </a:prstGeom>
        <a:solidFill>
          <a:srgbClr val="FFC000"/>
        </a:solidFill>
        <a:ln w="15875">
          <a:solidFill>
            <a:schemeClr val="bg1">
              <a:lumMod val="95000"/>
            </a:schemeClr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08000" tIns="108000" rIns="36000" bIns="108000" anchor="t" upright="1"/>
        <a:lstStyle/>
        <a:p>
          <a:pPr algn="l" rtl="0">
            <a:lnSpc>
              <a:spcPts val="11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Täyttöohje</a:t>
          </a:r>
        </a:p>
        <a:p>
          <a:pPr algn="l" rtl="0">
            <a:lnSpc>
              <a:spcPts val="11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TÄYTETÄÄN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KELTAISET SOLUT</a:t>
          </a:r>
          <a:endParaRPr lang="fi-FI" sz="9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16</xdr:col>
      <xdr:colOff>38100</xdr:colOff>
      <xdr:row>2</xdr:row>
      <xdr:rowOff>9525</xdr:rowOff>
    </xdr:from>
    <xdr:to>
      <xdr:col>18</xdr:col>
      <xdr:colOff>304800</xdr:colOff>
      <xdr:row>5</xdr:row>
      <xdr:rowOff>19050</xdr:rowOff>
    </xdr:to>
    <xdr:pic>
      <xdr:nvPicPr>
        <xdr:cNvPr id="2582474" name="Kuva 5" descr="YT Agri logo matal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7825" y="323850"/>
          <a:ext cx="12477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158952</xdr:colOff>
      <xdr:row>24</xdr:row>
      <xdr:rowOff>148885</xdr:rowOff>
    </xdr:from>
    <xdr:to>
      <xdr:col>0</xdr:col>
      <xdr:colOff>528532</xdr:colOff>
      <xdr:row>28</xdr:row>
      <xdr:rowOff>0</xdr:rowOff>
    </xdr:to>
    <xdr:sp macro="" textlink="">
      <xdr:nvSpPr>
        <xdr:cNvPr id="16" name="Laatta 15">
          <a:hlinkClick xmlns:r="http://schemas.openxmlformats.org/officeDocument/2006/relationships" r:id="rId2"/>
        </xdr:cNvPr>
        <xdr:cNvSpPr/>
      </xdr:nvSpPr>
      <xdr:spPr>
        <a:xfrm>
          <a:off x="160857" y="15423175"/>
          <a:ext cx="371475" cy="455000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147398</xdr:colOff>
      <xdr:row>21</xdr:row>
      <xdr:rowOff>6758</xdr:rowOff>
    </xdr:from>
    <xdr:to>
      <xdr:col>0</xdr:col>
      <xdr:colOff>516735</xdr:colOff>
      <xdr:row>24</xdr:row>
      <xdr:rowOff>8283</xdr:rowOff>
    </xdr:to>
    <xdr:sp macro="" textlink="">
      <xdr:nvSpPr>
        <xdr:cNvPr id="17" name="Laatta 16">
          <a:hlinkClick xmlns:r="http://schemas.openxmlformats.org/officeDocument/2006/relationships" r:id="rId3"/>
        </xdr:cNvPr>
        <xdr:cNvSpPr/>
      </xdr:nvSpPr>
      <xdr:spPr>
        <a:xfrm>
          <a:off x="149303" y="14818133"/>
          <a:ext cx="371475" cy="45872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148925</xdr:colOff>
      <xdr:row>17</xdr:row>
      <xdr:rowOff>2362</xdr:rowOff>
    </xdr:from>
    <xdr:to>
      <xdr:col>0</xdr:col>
      <xdr:colOff>518505</xdr:colOff>
      <xdr:row>20</xdr:row>
      <xdr:rowOff>16564</xdr:rowOff>
    </xdr:to>
    <xdr:sp macro="" textlink="">
      <xdr:nvSpPr>
        <xdr:cNvPr id="18" name="Laatta 17"/>
        <xdr:cNvSpPr/>
      </xdr:nvSpPr>
      <xdr:spPr>
        <a:xfrm>
          <a:off x="150830" y="14202232"/>
          <a:ext cx="371475" cy="473307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147182</xdr:colOff>
      <xdr:row>13</xdr:row>
      <xdr:rowOff>8282</xdr:rowOff>
    </xdr:from>
    <xdr:to>
      <xdr:col>0</xdr:col>
      <xdr:colOff>516519</xdr:colOff>
      <xdr:row>16</xdr:row>
      <xdr:rowOff>4969</xdr:rowOff>
    </xdr:to>
    <xdr:sp macro="" textlink="">
      <xdr:nvSpPr>
        <xdr:cNvPr id="24" name="Laatta 23">
          <a:hlinkClick xmlns:r="http://schemas.openxmlformats.org/officeDocument/2006/relationships" r:id="rId4"/>
        </xdr:cNvPr>
        <xdr:cNvSpPr/>
      </xdr:nvSpPr>
      <xdr:spPr>
        <a:xfrm>
          <a:off x="149087" y="13600457"/>
          <a:ext cx="371475" cy="45388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155464</xdr:colOff>
      <xdr:row>8</xdr:row>
      <xdr:rowOff>149750</xdr:rowOff>
    </xdr:from>
    <xdr:to>
      <xdr:col>0</xdr:col>
      <xdr:colOff>524801</xdr:colOff>
      <xdr:row>12</xdr:row>
      <xdr:rowOff>0</xdr:rowOff>
    </xdr:to>
    <xdr:sp macro="" textlink="">
      <xdr:nvSpPr>
        <xdr:cNvPr id="25" name="Laatta 24">
          <a:hlinkClick xmlns:r="http://schemas.openxmlformats.org/officeDocument/2006/relationships" r:id="rId2"/>
        </xdr:cNvPr>
        <xdr:cNvSpPr/>
      </xdr:nvSpPr>
      <xdr:spPr>
        <a:xfrm>
          <a:off x="157369" y="12978020"/>
          <a:ext cx="371475" cy="46175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  <xdr:twoCellAnchor>
    <xdr:from>
      <xdr:col>0</xdr:col>
      <xdr:colOff>158952</xdr:colOff>
      <xdr:row>80</xdr:row>
      <xdr:rowOff>148885</xdr:rowOff>
    </xdr:from>
    <xdr:to>
      <xdr:col>0</xdr:col>
      <xdr:colOff>528532</xdr:colOff>
      <xdr:row>84</xdr:row>
      <xdr:rowOff>0</xdr:rowOff>
    </xdr:to>
    <xdr:sp macro="" textlink="">
      <xdr:nvSpPr>
        <xdr:cNvPr id="26" name="Laatta 25">
          <a:hlinkClick xmlns:r="http://schemas.openxmlformats.org/officeDocument/2006/relationships" r:id="rId2"/>
        </xdr:cNvPr>
        <xdr:cNvSpPr/>
      </xdr:nvSpPr>
      <xdr:spPr>
        <a:xfrm>
          <a:off x="160857" y="15423175"/>
          <a:ext cx="371475" cy="455000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147398</xdr:colOff>
      <xdr:row>77</xdr:row>
      <xdr:rowOff>6758</xdr:rowOff>
    </xdr:from>
    <xdr:to>
      <xdr:col>0</xdr:col>
      <xdr:colOff>516735</xdr:colOff>
      <xdr:row>80</xdr:row>
      <xdr:rowOff>8283</xdr:rowOff>
    </xdr:to>
    <xdr:sp macro="" textlink="">
      <xdr:nvSpPr>
        <xdr:cNvPr id="27" name="Laatta 26">
          <a:hlinkClick xmlns:r="http://schemas.openxmlformats.org/officeDocument/2006/relationships" r:id="rId3"/>
        </xdr:cNvPr>
        <xdr:cNvSpPr/>
      </xdr:nvSpPr>
      <xdr:spPr>
        <a:xfrm>
          <a:off x="149303" y="14818133"/>
          <a:ext cx="371475" cy="45872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148925</xdr:colOff>
      <xdr:row>73</xdr:row>
      <xdr:rowOff>2362</xdr:rowOff>
    </xdr:from>
    <xdr:to>
      <xdr:col>0</xdr:col>
      <xdr:colOff>518505</xdr:colOff>
      <xdr:row>76</xdr:row>
      <xdr:rowOff>16564</xdr:rowOff>
    </xdr:to>
    <xdr:sp macro="" textlink="">
      <xdr:nvSpPr>
        <xdr:cNvPr id="28" name="Laatta 27">
          <a:hlinkClick xmlns:r="http://schemas.openxmlformats.org/officeDocument/2006/relationships" r:id="rId5"/>
        </xdr:cNvPr>
        <xdr:cNvSpPr/>
      </xdr:nvSpPr>
      <xdr:spPr>
        <a:xfrm>
          <a:off x="150830" y="14202232"/>
          <a:ext cx="371475" cy="47330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147182</xdr:colOff>
      <xdr:row>68</xdr:row>
      <xdr:rowOff>8282</xdr:rowOff>
    </xdr:from>
    <xdr:to>
      <xdr:col>0</xdr:col>
      <xdr:colOff>516519</xdr:colOff>
      <xdr:row>72</xdr:row>
      <xdr:rowOff>4969</xdr:rowOff>
    </xdr:to>
    <xdr:sp macro="" textlink="">
      <xdr:nvSpPr>
        <xdr:cNvPr id="29" name="Laatta 28"/>
        <xdr:cNvSpPr/>
      </xdr:nvSpPr>
      <xdr:spPr>
        <a:xfrm>
          <a:off x="149087" y="13600457"/>
          <a:ext cx="371475" cy="453887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155464</xdr:colOff>
      <xdr:row>63</xdr:row>
      <xdr:rowOff>149750</xdr:rowOff>
    </xdr:from>
    <xdr:to>
      <xdr:col>0</xdr:col>
      <xdr:colOff>524801</xdr:colOff>
      <xdr:row>67</xdr:row>
      <xdr:rowOff>0</xdr:rowOff>
    </xdr:to>
    <xdr:sp macro="" textlink="">
      <xdr:nvSpPr>
        <xdr:cNvPr id="30" name="Laatta 29">
          <a:hlinkClick xmlns:r="http://schemas.openxmlformats.org/officeDocument/2006/relationships" r:id="rId2"/>
        </xdr:cNvPr>
        <xdr:cNvSpPr/>
      </xdr:nvSpPr>
      <xdr:spPr>
        <a:xfrm>
          <a:off x="157369" y="12978020"/>
          <a:ext cx="371475" cy="461755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0</xdr:rowOff>
    </xdr:from>
    <xdr:to>
      <xdr:col>10</xdr:col>
      <xdr:colOff>504825</xdr:colOff>
      <xdr:row>1</xdr:row>
      <xdr:rowOff>0</xdr:rowOff>
    </xdr:to>
    <xdr:pic>
      <xdr:nvPicPr>
        <xdr:cNvPr id="2639114" name="Picture 241" descr="YT4 kelt yläpalkki 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61925"/>
          <a:ext cx="6191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1216269</xdr:colOff>
      <xdr:row>0</xdr:row>
      <xdr:rowOff>0</xdr:rowOff>
    </xdr:from>
    <xdr:to>
      <xdr:col>9</xdr:col>
      <xdr:colOff>139314</xdr:colOff>
      <xdr:row>2</xdr:row>
      <xdr:rowOff>39248</xdr:rowOff>
    </xdr:to>
    <xdr:sp macro="" textlink="">
      <xdr:nvSpPr>
        <xdr:cNvPr id="22" name="Tekstikehys 21"/>
        <xdr:cNvSpPr txBox="1"/>
      </xdr:nvSpPr>
      <xdr:spPr>
        <a:xfrm>
          <a:off x="1987794" y="0"/>
          <a:ext cx="3875944" cy="355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fi-FI" sz="1600" b="1" i="1">
              <a:solidFill>
                <a:srgbClr val="00CC00"/>
              </a:solidFill>
            </a:rPr>
            <a:t>TALOUSSUUNNITELMA </a:t>
          </a:r>
          <a:r>
            <a:rPr lang="fi-FI" sz="1050" b="1" i="1">
              <a:solidFill>
                <a:srgbClr val="00CC00"/>
              </a:solidFill>
            </a:rPr>
            <a:t>AGRI</a:t>
          </a:r>
          <a:br>
            <a:rPr lang="fi-FI" sz="1050" b="1" i="1">
              <a:solidFill>
                <a:srgbClr val="00CC00"/>
              </a:solidFill>
            </a:rPr>
          </a:br>
          <a:r>
            <a:rPr lang="fi-FI" sz="1400" b="1" i="1"/>
            <a:t>        </a:t>
          </a:r>
          <a:endParaRPr lang="fi-FI" sz="1100" b="1" i="1"/>
        </a:p>
      </xdr:txBody>
    </xdr:sp>
    <xdr:clientData/>
  </xdr:twoCellAnchor>
  <xdr:twoCellAnchor>
    <xdr:from>
      <xdr:col>12</xdr:col>
      <xdr:colOff>61788</xdr:colOff>
      <xdr:row>0</xdr:row>
      <xdr:rowOff>75786</xdr:rowOff>
    </xdr:from>
    <xdr:to>
      <xdr:col>14</xdr:col>
      <xdr:colOff>550713</xdr:colOff>
      <xdr:row>4</xdr:row>
      <xdr:rowOff>40852</xdr:rowOff>
    </xdr:to>
    <xdr:sp macro="" textlink="">
      <xdr:nvSpPr>
        <xdr:cNvPr id="5" name="AutoShape 189"/>
        <xdr:cNvSpPr>
          <a:spLocks noChangeArrowheads="1"/>
        </xdr:cNvSpPr>
      </xdr:nvSpPr>
      <xdr:spPr bwMode="auto">
        <a:xfrm>
          <a:off x="7109046" y="75786"/>
          <a:ext cx="1714751" cy="603388"/>
        </a:xfrm>
        <a:prstGeom prst="foldedCorner">
          <a:avLst>
            <a:gd name="adj" fmla="val 12500"/>
          </a:avLst>
        </a:prstGeom>
        <a:solidFill>
          <a:srgbClr val="FFC000"/>
        </a:solidFill>
        <a:ln w="15875">
          <a:solidFill>
            <a:schemeClr val="bg1">
              <a:lumMod val="95000"/>
            </a:schemeClr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108000" tIns="36000" rIns="36000" bIns="36000" anchor="t" upright="1"/>
        <a:lstStyle/>
        <a:p>
          <a:pPr algn="l" rtl="0">
            <a:lnSpc>
              <a:spcPts val="9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Täyttöohje</a:t>
          </a:r>
        </a:p>
        <a:p>
          <a:pPr algn="l" rtl="0">
            <a:lnSpc>
              <a:spcPts val="900"/>
            </a:lnSpc>
            <a:defRPr sz="1000"/>
          </a:pPr>
          <a:r>
            <a:rPr lang="fi-FI" sz="1000" b="1" i="1" strike="noStrike">
              <a:solidFill>
                <a:srgbClr val="000000"/>
              </a:solidFill>
              <a:latin typeface="Arial"/>
              <a:cs typeface="Arial"/>
            </a:rPr>
            <a:t>TÄYTETÄÄN</a:t>
          </a:r>
          <a:r>
            <a:rPr lang="fi-FI" sz="1000" b="1" i="1" strike="noStrike" baseline="0">
              <a:solidFill>
                <a:srgbClr val="000000"/>
              </a:solidFill>
              <a:latin typeface="Arial"/>
              <a:cs typeface="Arial"/>
            </a:rPr>
            <a:t> KELTAISET SOLUT</a:t>
          </a:r>
          <a:endParaRPr lang="fi-FI" sz="900" b="1" i="1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PrintsWithSheet="0"/>
  </xdr:twoCellAnchor>
  <xdr:twoCellAnchor editAs="oneCell">
    <xdr:from>
      <xdr:col>9</xdr:col>
      <xdr:colOff>85725</xdr:colOff>
      <xdr:row>1</xdr:row>
      <xdr:rowOff>114300</xdr:rowOff>
    </xdr:from>
    <xdr:to>
      <xdr:col>10</xdr:col>
      <xdr:colOff>476250</xdr:colOff>
      <xdr:row>4</xdr:row>
      <xdr:rowOff>28575</xdr:rowOff>
    </xdr:to>
    <xdr:pic>
      <xdr:nvPicPr>
        <xdr:cNvPr id="2639117" name="Kuva 5" descr="YT Agri logo matala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276225"/>
          <a:ext cx="933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158952</xdr:colOff>
      <xdr:row>34</xdr:row>
      <xdr:rowOff>56073</xdr:rowOff>
    </xdr:from>
    <xdr:to>
      <xdr:col>0</xdr:col>
      <xdr:colOff>528532</xdr:colOff>
      <xdr:row>38</xdr:row>
      <xdr:rowOff>330</xdr:rowOff>
    </xdr:to>
    <xdr:sp macro="" textlink="">
      <xdr:nvSpPr>
        <xdr:cNvPr id="11" name="Laatta 10">
          <a:hlinkClick xmlns:r="http://schemas.openxmlformats.org/officeDocument/2006/relationships" r:id="rId3"/>
        </xdr:cNvPr>
        <xdr:cNvSpPr/>
      </xdr:nvSpPr>
      <xdr:spPr>
        <a:xfrm>
          <a:off x="160857" y="4870174"/>
          <a:ext cx="371475" cy="447261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5</a:t>
          </a:r>
        </a:p>
      </xdr:txBody>
    </xdr:sp>
    <xdr:clientData/>
  </xdr:twoCellAnchor>
  <xdr:twoCellAnchor>
    <xdr:from>
      <xdr:col>0</xdr:col>
      <xdr:colOff>147398</xdr:colOff>
      <xdr:row>31</xdr:row>
      <xdr:rowOff>6758</xdr:rowOff>
    </xdr:from>
    <xdr:to>
      <xdr:col>0</xdr:col>
      <xdr:colOff>516735</xdr:colOff>
      <xdr:row>34</xdr:row>
      <xdr:rowOff>8283</xdr:rowOff>
    </xdr:to>
    <xdr:sp macro="" textlink="">
      <xdr:nvSpPr>
        <xdr:cNvPr id="12" name="Laatta 11"/>
        <xdr:cNvSpPr/>
      </xdr:nvSpPr>
      <xdr:spPr>
        <a:xfrm>
          <a:off x="149303" y="14818133"/>
          <a:ext cx="371475" cy="458725"/>
        </a:xfrm>
        <a:prstGeom prst="bevel">
          <a:avLst/>
        </a:prstGeom>
        <a:solidFill>
          <a:srgbClr val="FFC0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4</a:t>
          </a:r>
        </a:p>
      </xdr:txBody>
    </xdr:sp>
    <xdr:clientData/>
  </xdr:twoCellAnchor>
  <xdr:twoCellAnchor>
    <xdr:from>
      <xdr:col>0</xdr:col>
      <xdr:colOff>148925</xdr:colOff>
      <xdr:row>27</xdr:row>
      <xdr:rowOff>2362</xdr:rowOff>
    </xdr:from>
    <xdr:to>
      <xdr:col>0</xdr:col>
      <xdr:colOff>518505</xdr:colOff>
      <xdr:row>30</xdr:row>
      <xdr:rowOff>16564</xdr:rowOff>
    </xdr:to>
    <xdr:sp macro="" textlink="">
      <xdr:nvSpPr>
        <xdr:cNvPr id="13" name="Laatta 12">
          <a:hlinkClick xmlns:r="http://schemas.openxmlformats.org/officeDocument/2006/relationships" r:id="rId4"/>
        </xdr:cNvPr>
        <xdr:cNvSpPr/>
      </xdr:nvSpPr>
      <xdr:spPr>
        <a:xfrm>
          <a:off x="150830" y="14202232"/>
          <a:ext cx="371475" cy="473307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3</a:t>
          </a:r>
        </a:p>
      </xdr:txBody>
    </xdr:sp>
    <xdr:clientData/>
  </xdr:twoCellAnchor>
  <xdr:twoCellAnchor>
    <xdr:from>
      <xdr:col>0</xdr:col>
      <xdr:colOff>147182</xdr:colOff>
      <xdr:row>23</xdr:row>
      <xdr:rowOff>8282</xdr:rowOff>
    </xdr:from>
    <xdr:to>
      <xdr:col>0</xdr:col>
      <xdr:colOff>516519</xdr:colOff>
      <xdr:row>26</xdr:row>
      <xdr:rowOff>107131</xdr:rowOff>
    </xdr:to>
    <xdr:sp macro="" textlink="">
      <xdr:nvSpPr>
        <xdr:cNvPr id="14" name="Laatta 13">
          <a:hlinkClick xmlns:r="http://schemas.openxmlformats.org/officeDocument/2006/relationships" r:id="rId5"/>
        </xdr:cNvPr>
        <xdr:cNvSpPr/>
      </xdr:nvSpPr>
      <xdr:spPr>
        <a:xfrm>
          <a:off x="149087" y="3362739"/>
          <a:ext cx="371475" cy="447261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2</a:t>
          </a:r>
        </a:p>
      </xdr:txBody>
    </xdr:sp>
    <xdr:clientData/>
  </xdr:twoCellAnchor>
  <xdr:twoCellAnchor>
    <xdr:from>
      <xdr:col>0</xdr:col>
      <xdr:colOff>155464</xdr:colOff>
      <xdr:row>19</xdr:row>
      <xdr:rowOff>53837</xdr:rowOff>
    </xdr:from>
    <xdr:to>
      <xdr:col>0</xdr:col>
      <xdr:colOff>524801</xdr:colOff>
      <xdr:row>22</xdr:row>
      <xdr:rowOff>98804</xdr:rowOff>
    </xdr:to>
    <xdr:sp macro="" textlink="">
      <xdr:nvSpPr>
        <xdr:cNvPr id="15" name="Laatta 14">
          <a:hlinkClick xmlns:r="http://schemas.openxmlformats.org/officeDocument/2006/relationships" r:id="rId3"/>
        </xdr:cNvPr>
        <xdr:cNvSpPr/>
      </xdr:nvSpPr>
      <xdr:spPr>
        <a:xfrm>
          <a:off x="157369" y="2802421"/>
          <a:ext cx="371475" cy="494058"/>
        </a:xfrm>
        <a:prstGeom prst="bevel">
          <a:avLst/>
        </a:prstGeom>
        <a:solidFill>
          <a:srgbClr val="00CC00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sv-FI" sz="1400" b="1">
              <a:latin typeface="Arial" pitchFamily="34" charset="0"/>
              <a:cs typeface="Arial" pitchFamily="34" charset="0"/>
            </a:rPr>
            <a:t>1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17</xdr:row>
      <xdr:rowOff>110491</xdr:rowOff>
    </xdr:from>
    <xdr:to>
      <xdr:col>1</xdr:col>
      <xdr:colOff>1428548</xdr:colOff>
      <xdr:row>19</xdr:row>
      <xdr:rowOff>47669</xdr:rowOff>
    </xdr:to>
    <xdr:sp macro="" textlink="">
      <xdr:nvSpPr>
        <xdr:cNvPr id="2" name="Rectangle 24"/>
        <xdr:cNvSpPr>
          <a:spLocks noChangeArrowheads="1"/>
        </xdr:cNvSpPr>
      </xdr:nvSpPr>
      <xdr:spPr bwMode="auto">
        <a:xfrm>
          <a:off x="400050" y="3457576"/>
          <a:ext cx="139065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1" strike="noStrike">
              <a:solidFill>
                <a:srgbClr val="000000"/>
              </a:solidFill>
              <a:latin typeface="Arial"/>
              <a:cs typeface="Arial"/>
            </a:rPr>
            <a:t>MUISTIINPANOJA</a:t>
          </a:r>
        </a:p>
      </xdr:txBody>
    </xdr:sp>
    <xdr:clientData/>
  </xdr:twoCellAnchor>
  <xdr:twoCellAnchor>
    <xdr:from>
      <xdr:col>3</xdr:col>
      <xdr:colOff>798195</xdr:colOff>
      <xdr:row>0</xdr:row>
      <xdr:rowOff>28575</xdr:rowOff>
    </xdr:from>
    <xdr:to>
      <xdr:col>4</xdr:col>
      <xdr:colOff>796308</xdr:colOff>
      <xdr:row>1</xdr:row>
      <xdr:rowOff>125778</xdr:rowOff>
    </xdr:to>
    <xdr:sp macro="" textlink="">
      <xdr:nvSpPr>
        <xdr:cNvPr id="6" name="Tekstikehys 9"/>
        <xdr:cNvSpPr txBox="1"/>
      </xdr:nvSpPr>
      <xdr:spPr>
        <a:xfrm>
          <a:off x="5153025" y="590550"/>
          <a:ext cx="1228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fi-FI" sz="1100" b="1" i="0">
              <a:solidFill>
                <a:schemeClr val="tx2"/>
              </a:solidFill>
            </a:rPr>
            <a:t>  </a:t>
          </a:r>
          <a:r>
            <a:rPr lang="fi-FI" sz="1000" b="1" i="0">
              <a:solidFill>
                <a:srgbClr val="004990"/>
              </a:solidFill>
            </a:rPr>
            <a:t>©Jadelcons Oy</a:t>
          </a:r>
        </a:p>
      </xdr:txBody>
    </xdr:sp>
    <xdr:clientData/>
  </xdr:twoCellAnchor>
  <xdr:twoCellAnchor>
    <xdr:from>
      <xdr:col>6</xdr:col>
      <xdr:colOff>28575</xdr:colOff>
      <xdr:row>17</xdr:row>
      <xdr:rowOff>110490</xdr:rowOff>
    </xdr:from>
    <xdr:to>
      <xdr:col>6</xdr:col>
      <xdr:colOff>1230934</xdr:colOff>
      <xdr:row>19</xdr:row>
      <xdr:rowOff>38262</xdr:rowOff>
    </xdr:to>
    <xdr:sp macro="" textlink="">
      <xdr:nvSpPr>
        <xdr:cNvPr id="9" name="Rectangle 20"/>
        <xdr:cNvSpPr>
          <a:spLocks noChangeArrowheads="1"/>
        </xdr:cNvSpPr>
      </xdr:nvSpPr>
      <xdr:spPr bwMode="auto">
        <a:xfrm>
          <a:off x="4629150" y="3457575"/>
          <a:ext cx="12096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1" strike="noStrike">
              <a:solidFill>
                <a:srgbClr val="000000"/>
              </a:solidFill>
              <a:latin typeface="Arial"/>
              <a:cs typeface="Arial"/>
            </a:rPr>
            <a:t>MUISTIINPANOJA</a:t>
          </a:r>
        </a:p>
      </xdr:txBody>
    </xdr:sp>
    <xdr:clientData/>
  </xdr:twoCellAnchor>
  <xdr:twoCellAnchor>
    <xdr:from>
      <xdr:col>8</xdr:col>
      <xdr:colOff>775335</xdr:colOff>
      <xdr:row>0</xdr:row>
      <xdr:rowOff>47625</xdr:rowOff>
    </xdr:from>
    <xdr:to>
      <xdr:col>10</xdr:col>
      <xdr:colOff>76059</xdr:colOff>
      <xdr:row>1</xdr:row>
      <xdr:rowOff>194518</xdr:rowOff>
    </xdr:to>
    <xdr:sp macro="" textlink="">
      <xdr:nvSpPr>
        <xdr:cNvPr id="10" name="Tekstikehys 10"/>
        <xdr:cNvSpPr txBox="1"/>
      </xdr:nvSpPr>
      <xdr:spPr>
        <a:xfrm>
          <a:off x="5410200" y="628650"/>
          <a:ext cx="12287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i-FI" sz="1100" b="1" i="0">
              <a:solidFill>
                <a:schemeClr val="tx2"/>
              </a:solidFill>
            </a:rPr>
            <a:t>  </a:t>
          </a:r>
          <a:r>
            <a:rPr lang="fi-FI" sz="1000" b="1" i="0">
              <a:solidFill>
                <a:srgbClr val="004990"/>
              </a:solidFill>
            </a:rPr>
            <a:t>©Jadelcons Oy</a:t>
          </a:r>
        </a:p>
      </xdr:txBody>
    </xdr:sp>
    <xdr:clientData/>
  </xdr:twoCellAnchor>
  <xdr:twoCellAnchor>
    <xdr:from>
      <xdr:col>11</xdr:col>
      <xdr:colOff>0</xdr:colOff>
      <xdr:row>30</xdr:row>
      <xdr:rowOff>148590</xdr:rowOff>
    </xdr:from>
    <xdr:to>
      <xdr:col>12</xdr:col>
      <xdr:colOff>411632</xdr:colOff>
      <xdr:row>32</xdr:row>
      <xdr:rowOff>95623</xdr:rowOff>
    </xdr:to>
    <xdr:sp macro="" textlink="">
      <xdr:nvSpPr>
        <xdr:cNvPr id="11" name="Rectangle 36"/>
        <xdr:cNvSpPr>
          <a:spLocks noChangeArrowheads="1"/>
        </xdr:cNvSpPr>
      </xdr:nvSpPr>
      <xdr:spPr bwMode="auto">
        <a:xfrm>
          <a:off x="9401175" y="5610225"/>
          <a:ext cx="10287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i-FI" sz="900" b="1" i="1" strike="noStrike">
              <a:solidFill>
                <a:srgbClr val="000000"/>
              </a:solidFill>
              <a:latin typeface="Arial"/>
              <a:cs typeface="Arial"/>
            </a:rPr>
            <a:t>MUISTIINPANOJA</a:t>
          </a:r>
        </a:p>
      </xdr:txBody>
    </xdr:sp>
    <xdr:clientData/>
  </xdr:twoCellAnchor>
  <xdr:twoCellAnchor editAs="oneCell">
    <xdr:from>
      <xdr:col>9</xdr:col>
      <xdr:colOff>457200</xdr:colOff>
      <xdr:row>1</xdr:row>
      <xdr:rowOff>66675</xdr:rowOff>
    </xdr:from>
    <xdr:to>
      <xdr:col>11</xdr:col>
      <xdr:colOff>0</xdr:colOff>
      <xdr:row>2</xdr:row>
      <xdr:rowOff>190500</xdr:rowOff>
    </xdr:to>
    <xdr:pic>
      <xdr:nvPicPr>
        <xdr:cNvPr id="2621765" name="Kuva 5" descr="YT Agri logo matal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66700"/>
          <a:ext cx="933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485775</xdr:colOff>
      <xdr:row>1</xdr:row>
      <xdr:rowOff>57150</xdr:rowOff>
    </xdr:from>
    <xdr:to>
      <xdr:col>17</xdr:col>
      <xdr:colOff>704850</xdr:colOff>
      <xdr:row>2</xdr:row>
      <xdr:rowOff>180975</xdr:rowOff>
    </xdr:to>
    <xdr:pic>
      <xdr:nvPicPr>
        <xdr:cNvPr id="2621766" name="Kuva 5" descr="YT Agri logo matal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87350" y="257175"/>
          <a:ext cx="9334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showGridLines="0" tabSelected="1" zoomScaleNormal="100" workbookViewId="0">
      <selection activeCell="F19" sqref="F19:I20"/>
    </sheetView>
  </sheetViews>
  <sheetFormatPr defaultRowHeight="12.75" x14ac:dyDescent="0.2"/>
  <cols>
    <col min="1" max="1" width="31" customWidth="1"/>
    <col min="2" max="2" width="8.140625" customWidth="1"/>
    <col min="5" max="5" width="9.140625" customWidth="1"/>
    <col min="6" max="6" width="4.28515625" customWidth="1"/>
    <col min="8" max="8" width="10.140625" customWidth="1"/>
  </cols>
  <sheetData>
    <row r="3" spans="2:4" ht="15.75" x14ac:dyDescent="0.25">
      <c r="B3" s="784"/>
      <c r="C3" s="784"/>
      <c r="D3" s="784"/>
    </row>
    <row r="4" spans="2:4" ht="15.75" x14ac:dyDescent="0.25">
      <c r="B4" s="785"/>
      <c r="C4" s="785"/>
      <c r="D4" s="785"/>
    </row>
    <row r="5" spans="2:4" ht="15.75" x14ac:dyDescent="0.25">
      <c r="B5" s="785"/>
      <c r="C5" s="785"/>
      <c r="D5" s="785"/>
    </row>
    <row r="6" spans="2:4" ht="15.75" x14ac:dyDescent="0.25">
      <c r="B6" s="785" t="s">
        <v>0</v>
      </c>
      <c r="C6" s="785"/>
      <c r="D6" s="785"/>
    </row>
    <row r="15" spans="2:4" x14ac:dyDescent="0.2">
      <c r="B15" s="137"/>
      <c r="C15" s="137"/>
    </row>
    <row r="16" spans="2:4" ht="15.75" x14ac:dyDescent="0.25">
      <c r="B16" s="782" t="s">
        <v>0</v>
      </c>
      <c r="C16" s="782"/>
      <c r="D16" s="782"/>
    </row>
    <row r="17" spans="1:9" x14ac:dyDescent="0.2">
      <c r="B17" s="786"/>
      <c r="C17" s="786"/>
      <c r="D17" s="786"/>
    </row>
    <row r="18" spans="1:9" ht="15.75" x14ac:dyDescent="0.25">
      <c r="B18" s="782"/>
      <c r="C18" s="782"/>
      <c r="D18" s="782"/>
      <c r="E18" s="780" t="s">
        <v>207</v>
      </c>
      <c r="F18" s="780"/>
      <c r="G18" s="780"/>
      <c r="H18" s="780"/>
      <c r="I18" s="780"/>
    </row>
    <row r="19" spans="1:9" x14ac:dyDescent="0.2">
      <c r="A19" s="182"/>
      <c r="B19" s="22"/>
      <c r="C19" s="22"/>
      <c r="D19" s="22"/>
      <c r="E19" s="30"/>
      <c r="F19" s="774" t="s">
        <v>305</v>
      </c>
      <c r="G19" s="775"/>
      <c r="H19" s="775"/>
      <c r="I19" s="776"/>
    </row>
    <row r="20" spans="1:9" x14ac:dyDescent="0.2">
      <c r="E20" s="30"/>
      <c r="F20" s="777"/>
      <c r="G20" s="778"/>
      <c r="H20" s="778"/>
      <c r="I20" s="779"/>
    </row>
    <row r="21" spans="1:9" x14ac:dyDescent="0.2">
      <c r="A21" s="182"/>
      <c r="E21" s="538"/>
      <c r="F21" s="267" t="s">
        <v>206</v>
      </c>
      <c r="G21" s="539" t="s">
        <v>201</v>
      </c>
      <c r="H21" s="540">
        <v>42693</v>
      </c>
      <c r="I21" s="541" t="s">
        <v>202</v>
      </c>
    </row>
    <row r="22" spans="1:9" x14ac:dyDescent="0.2">
      <c r="A22" s="2"/>
    </row>
    <row r="23" spans="1:9" ht="15.75" x14ac:dyDescent="0.25">
      <c r="A23" s="182"/>
      <c r="B23" s="782" t="s">
        <v>0</v>
      </c>
      <c r="C23" s="782"/>
      <c r="D23" s="782"/>
    </row>
    <row r="24" spans="1:9" x14ac:dyDescent="0.2">
      <c r="A24" s="182"/>
      <c r="B24" s="783"/>
      <c r="C24" s="783"/>
      <c r="D24" s="783"/>
    </row>
    <row r="25" spans="1:9" ht="15.75" x14ac:dyDescent="0.25">
      <c r="B25" s="782"/>
      <c r="C25" s="782"/>
      <c r="D25" s="782"/>
    </row>
    <row r="26" spans="1:9" x14ac:dyDescent="0.2">
      <c r="A26" s="182"/>
      <c r="B26" s="22"/>
      <c r="D26" s="22"/>
      <c r="F26" s="137"/>
    </row>
    <row r="27" spans="1:9" x14ac:dyDescent="0.2">
      <c r="A27" s="2"/>
      <c r="B27" s="137"/>
    </row>
    <row r="28" spans="1:9" ht="15.75" x14ac:dyDescent="0.25">
      <c r="A28" s="2"/>
      <c r="B28" s="784"/>
      <c r="C28" s="784"/>
      <c r="D28" s="784"/>
    </row>
    <row r="29" spans="1:9" x14ac:dyDescent="0.2">
      <c r="A29" s="182"/>
      <c r="B29" s="781"/>
      <c r="C29" s="781"/>
      <c r="D29" s="781"/>
    </row>
    <row r="30" spans="1:9" x14ac:dyDescent="0.2">
      <c r="B30" s="22"/>
      <c r="C30" s="22"/>
      <c r="D30" s="22"/>
    </row>
    <row r="31" spans="1:9" x14ac:dyDescent="0.2">
      <c r="A31" s="182"/>
      <c r="B31" s="781"/>
      <c r="C31" s="781"/>
      <c r="D31" s="781"/>
    </row>
    <row r="32" spans="1:9" x14ac:dyDescent="0.2">
      <c r="A32" s="2"/>
      <c r="B32" s="781"/>
      <c r="C32" s="781"/>
      <c r="D32" s="781"/>
    </row>
    <row r="33" spans="1:6" x14ac:dyDescent="0.2">
      <c r="B33" s="781"/>
      <c r="C33" s="781"/>
      <c r="D33" s="781"/>
    </row>
    <row r="34" spans="1:6" x14ac:dyDescent="0.2">
      <c r="A34" s="182"/>
      <c r="F34" s="1"/>
    </row>
    <row r="35" spans="1:6" ht="15" x14ac:dyDescent="0.2">
      <c r="C35" s="138"/>
    </row>
    <row r="36" spans="1:6" x14ac:dyDescent="0.2">
      <c r="A36" s="182"/>
    </row>
    <row r="37" spans="1:6" x14ac:dyDescent="0.2">
      <c r="A37" s="2"/>
    </row>
    <row r="41" spans="1:6" ht="88.5" customHeight="1" x14ac:dyDescent="0.2"/>
    <row r="67" spans="6:8" x14ac:dyDescent="0.2">
      <c r="F67" t="s">
        <v>243</v>
      </c>
      <c r="H67" s="266">
        <f ca="1">TODAY()</f>
        <v>42388</v>
      </c>
    </row>
  </sheetData>
  <sheetProtection password="9675" sheet="1" objects="1" scenarios="1" selectLockedCells="1" selectUnlockedCells="1"/>
  <mergeCells count="17">
    <mergeCell ref="B29:D29"/>
    <mergeCell ref="B3:D3"/>
    <mergeCell ref="B4:D4"/>
    <mergeCell ref="B5:D5"/>
    <mergeCell ref="B6:D6"/>
    <mergeCell ref="B16:D16"/>
    <mergeCell ref="B17:D17"/>
    <mergeCell ref="F19:I20"/>
    <mergeCell ref="E18:I18"/>
    <mergeCell ref="B31:D31"/>
    <mergeCell ref="B32:D32"/>
    <mergeCell ref="B33:D33"/>
    <mergeCell ref="B18:D18"/>
    <mergeCell ref="B23:D23"/>
    <mergeCell ref="B24:D24"/>
    <mergeCell ref="B25:D25"/>
    <mergeCell ref="B28:D28"/>
  </mergeCells>
  <pageMargins left="0.7" right="0.7" top="0.75" bottom="0.75" header="0.3" footer="0.3"/>
  <pageSetup paperSize="9" orientation="portrait" verticalDpi="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U86"/>
  <sheetViews>
    <sheetView showGridLines="0" showZeros="0" defaultGridColor="0" colorId="55" zoomScaleNormal="100" workbookViewId="0">
      <selection activeCell="B5" sqref="B5:D5"/>
    </sheetView>
  </sheetViews>
  <sheetFormatPr defaultRowHeight="12.75" x14ac:dyDescent="0.2"/>
  <cols>
    <col min="2" max="2" width="2.85546875" style="79" customWidth="1"/>
    <col min="3" max="3" width="20.140625" customWidth="1"/>
    <col min="4" max="4" width="6.7109375" customWidth="1"/>
    <col min="5" max="5" width="9" customWidth="1"/>
    <col min="6" max="6" width="6" customWidth="1"/>
    <col min="7" max="7" width="9" customWidth="1"/>
    <col min="8" max="8" width="5.5703125" customWidth="1"/>
    <col min="9" max="9" width="9" customWidth="1"/>
    <col min="10" max="10" width="6" customWidth="1"/>
    <col min="11" max="11" width="9" customWidth="1"/>
    <col min="12" max="12" width="6" customWidth="1"/>
    <col min="13" max="13" width="9" customWidth="1"/>
    <col min="14" max="14" width="6" customWidth="1"/>
    <col min="15" max="15" width="9" customWidth="1"/>
    <col min="16" max="16" width="6" customWidth="1"/>
    <col min="17" max="17" width="9" customWidth="1"/>
    <col min="18" max="18" width="6" customWidth="1"/>
    <col min="19" max="19" width="9" customWidth="1"/>
    <col min="20" max="20" width="6" customWidth="1"/>
    <col min="21" max="21" width="3.5703125" customWidth="1"/>
  </cols>
  <sheetData>
    <row r="2" spans="1:21" x14ac:dyDescent="0.2">
      <c r="U2" s="372"/>
    </row>
    <row r="3" spans="1:21" x14ac:dyDescent="0.2">
      <c r="U3" s="373"/>
    </row>
    <row r="4" spans="1:21" ht="12" customHeight="1" thickBot="1" x14ac:dyDescent="0.25">
      <c r="B4" s="87" t="s">
        <v>117</v>
      </c>
      <c r="C4" s="60"/>
      <c r="D4" s="60"/>
      <c r="E4" s="60" t="s">
        <v>54</v>
      </c>
      <c r="F4" s="60"/>
      <c r="G4" s="60"/>
      <c r="H4" s="60"/>
      <c r="I4" s="60"/>
      <c r="J4" s="60" t="s">
        <v>52</v>
      </c>
      <c r="K4" s="60" t="s">
        <v>0</v>
      </c>
      <c r="L4" s="60"/>
      <c r="M4" s="87" t="s">
        <v>110</v>
      </c>
      <c r="N4" s="87"/>
      <c r="O4" s="60"/>
      <c r="P4" s="60"/>
      <c r="Q4" s="60"/>
      <c r="R4" s="60"/>
      <c r="S4" s="60"/>
      <c r="U4" s="373"/>
    </row>
    <row r="5" spans="1:21" ht="12.75" customHeight="1" thickBot="1" x14ac:dyDescent="0.25">
      <c r="A5" s="110"/>
      <c r="B5" s="831">
        <v>0</v>
      </c>
      <c r="C5" s="832"/>
      <c r="D5" s="833"/>
      <c r="E5" s="834">
        <v>0</v>
      </c>
      <c r="F5" s="835"/>
      <c r="G5" s="836"/>
      <c r="H5" s="836"/>
      <c r="I5" s="837"/>
      <c r="J5" s="847"/>
      <c r="K5" s="848"/>
      <c r="L5" s="849"/>
      <c r="M5" s="850" t="s">
        <v>0</v>
      </c>
      <c r="N5" s="850"/>
      <c r="O5" s="850"/>
      <c r="P5" s="850"/>
      <c r="Q5" s="850"/>
      <c r="R5" s="850"/>
      <c r="S5" s="850"/>
      <c r="T5" s="851"/>
      <c r="U5" s="374"/>
    </row>
    <row r="6" spans="1:21" ht="12" customHeight="1" thickBot="1" x14ac:dyDescent="0.25">
      <c r="A6" s="154"/>
      <c r="B6" s="155"/>
      <c r="C6" s="154"/>
      <c r="D6" s="154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3"/>
    </row>
    <row r="7" spans="1:21" ht="12" customHeight="1" x14ac:dyDescent="0.2">
      <c r="B7" s="820" t="s">
        <v>153</v>
      </c>
      <c r="C7" s="821"/>
      <c r="D7" s="821"/>
      <c r="E7" s="810" t="s">
        <v>124</v>
      </c>
      <c r="F7" s="810"/>
      <c r="G7" s="810" t="s">
        <v>8</v>
      </c>
      <c r="H7" s="810"/>
      <c r="I7" s="810" t="s">
        <v>28</v>
      </c>
      <c r="J7" s="810"/>
      <c r="K7" s="810" t="s">
        <v>25</v>
      </c>
      <c r="L7" s="810"/>
      <c r="M7" s="810" t="s">
        <v>32</v>
      </c>
      <c r="N7" s="810"/>
      <c r="O7" s="810" t="s">
        <v>33</v>
      </c>
      <c r="P7" s="810"/>
      <c r="Q7" s="810" t="s">
        <v>34</v>
      </c>
      <c r="R7" s="810"/>
      <c r="S7" s="810" t="s">
        <v>40</v>
      </c>
      <c r="T7" s="810"/>
    </row>
    <row r="8" spans="1:21" ht="12" customHeight="1" thickBot="1" x14ac:dyDescent="0.25">
      <c r="B8" s="828"/>
      <c r="C8" s="828"/>
      <c r="D8" s="828"/>
      <c r="E8" s="846">
        <v>2015</v>
      </c>
      <c r="F8" s="846"/>
      <c r="G8" s="811">
        <f>E8+1</f>
        <v>2016</v>
      </c>
      <c r="H8" s="811"/>
      <c r="I8" s="811">
        <f>G8+1</f>
        <v>2017</v>
      </c>
      <c r="J8" s="811"/>
      <c r="K8" s="811">
        <f>I8+1</f>
        <v>2018</v>
      </c>
      <c r="L8" s="811"/>
      <c r="M8" s="811">
        <f>K8+1</f>
        <v>2019</v>
      </c>
      <c r="N8" s="811"/>
      <c r="O8" s="811">
        <f>M8+1</f>
        <v>2020</v>
      </c>
      <c r="P8" s="811"/>
      <c r="Q8" s="811">
        <f>O8+1</f>
        <v>2021</v>
      </c>
      <c r="R8" s="811"/>
      <c r="S8" s="811">
        <f>Q8+1</f>
        <v>2022</v>
      </c>
      <c r="T8" s="811"/>
    </row>
    <row r="9" spans="1:21" ht="12" customHeight="1" x14ac:dyDescent="0.2">
      <c r="B9" s="124" t="s">
        <v>15</v>
      </c>
      <c r="C9" s="818" t="s">
        <v>125</v>
      </c>
      <c r="D9" s="819"/>
      <c r="E9" s="812">
        <f>E10+E11</f>
        <v>0</v>
      </c>
      <c r="F9" s="812"/>
      <c r="G9" s="812">
        <f>G10+G11</f>
        <v>0</v>
      </c>
      <c r="H9" s="812"/>
      <c r="I9" s="812">
        <f>I10+I11</f>
        <v>0</v>
      </c>
      <c r="J9" s="812"/>
      <c r="K9" s="812">
        <f>K10+K11</f>
        <v>0</v>
      </c>
      <c r="L9" s="812"/>
      <c r="M9" s="812">
        <f>M10+M11</f>
        <v>0</v>
      </c>
      <c r="N9" s="812"/>
      <c r="O9" s="812">
        <f>O10+O11</f>
        <v>0</v>
      </c>
      <c r="P9" s="812"/>
      <c r="Q9" s="812">
        <f>Q10+Q11</f>
        <v>0</v>
      </c>
      <c r="R9" s="812"/>
      <c r="S9" s="812">
        <f>S10+S11</f>
        <v>0</v>
      </c>
      <c r="T9" s="812"/>
    </row>
    <row r="10" spans="1:21" s="7" customFormat="1" ht="12" customHeight="1" x14ac:dyDescent="0.2">
      <c r="A10"/>
      <c r="B10" s="125"/>
      <c r="C10" s="111" t="s">
        <v>135</v>
      </c>
      <c r="D10" s="113" t="s">
        <v>134</v>
      </c>
      <c r="E10" s="827"/>
      <c r="F10" s="827"/>
      <c r="G10" s="815">
        <f>'T2 Investoinnit, rahoitus'!F20</f>
        <v>0</v>
      </c>
      <c r="H10" s="816"/>
      <c r="I10" s="815">
        <f>'T2 Investoinnit, rahoitus'!G20</f>
        <v>0</v>
      </c>
      <c r="J10" s="816"/>
      <c r="K10" s="815">
        <f>'T2 Investoinnit, rahoitus'!H20</f>
        <v>0</v>
      </c>
      <c r="L10" s="816"/>
      <c r="M10" s="815">
        <f>'T2 Investoinnit, rahoitus'!I20</f>
        <v>0</v>
      </c>
      <c r="N10" s="816"/>
      <c r="O10" s="815">
        <f>'T2 Investoinnit, rahoitus'!J20</f>
        <v>0</v>
      </c>
      <c r="P10" s="816"/>
      <c r="Q10" s="815">
        <f>'T2 Investoinnit, rahoitus'!K20</f>
        <v>0</v>
      </c>
      <c r="R10" s="816"/>
      <c r="S10" s="815">
        <f>'T2 Investoinnit, rahoitus'!L20</f>
        <v>0</v>
      </c>
      <c r="T10" s="816"/>
    </row>
    <row r="11" spans="1:21" s="7" customFormat="1" ht="12" customHeight="1" x14ac:dyDescent="0.2">
      <c r="A11" s="2"/>
      <c r="B11" s="125"/>
      <c r="C11" s="112" t="s">
        <v>136</v>
      </c>
      <c r="D11" s="113" t="s">
        <v>239</v>
      </c>
      <c r="E11" s="827"/>
      <c r="F11" s="827"/>
      <c r="G11" s="815">
        <f>'T2 Investoinnit, rahoitus'!F10</f>
        <v>0</v>
      </c>
      <c r="H11" s="816"/>
      <c r="I11" s="815">
        <f>'T2 Investoinnit, rahoitus'!G10</f>
        <v>0</v>
      </c>
      <c r="J11" s="816"/>
      <c r="K11" s="815">
        <f>'T2 Investoinnit, rahoitus'!H10</f>
        <v>0</v>
      </c>
      <c r="L11" s="816"/>
      <c r="M11" s="815">
        <f>'T2 Investoinnit, rahoitus'!I10</f>
        <v>0</v>
      </c>
      <c r="N11" s="816"/>
      <c r="O11" s="815">
        <f>'T2 Investoinnit, rahoitus'!J10</f>
        <v>0</v>
      </c>
      <c r="P11" s="816"/>
      <c r="Q11" s="815">
        <f>'T2 Investoinnit, rahoitus'!K10</f>
        <v>0</v>
      </c>
      <c r="R11" s="816"/>
      <c r="S11" s="815">
        <f>'T2 Investoinnit, rahoitus'!L10</f>
        <v>0</v>
      </c>
      <c r="T11" s="816"/>
    </row>
    <row r="12" spans="1:21" ht="12" customHeight="1" x14ac:dyDescent="0.2">
      <c r="A12" s="182"/>
      <c r="B12" s="126" t="s">
        <v>16</v>
      </c>
      <c r="C12" s="112" t="s">
        <v>137</v>
      </c>
      <c r="D12" s="113" t="s">
        <v>239</v>
      </c>
      <c r="E12" s="827"/>
      <c r="F12" s="827"/>
      <c r="G12" s="815">
        <f>'T2 Investoinnit, rahoitus'!F16</f>
        <v>0</v>
      </c>
      <c r="H12" s="816"/>
      <c r="I12" s="815">
        <f>'T2 Investoinnit, rahoitus'!G16</f>
        <v>0</v>
      </c>
      <c r="J12" s="816"/>
      <c r="K12" s="815">
        <f>'T2 Investoinnit, rahoitus'!H16</f>
        <v>0</v>
      </c>
      <c r="L12" s="816"/>
      <c r="M12" s="815">
        <f>'T2 Investoinnit, rahoitus'!I16</f>
        <v>0</v>
      </c>
      <c r="N12" s="816"/>
      <c r="O12" s="815">
        <f>'T2 Investoinnit, rahoitus'!J16</f>
        <v>0</v>
      </c>
      <c r="P12" s="816"/>
      <c r="Q12" s="815">
        <f>'T2 Investoinnit, rahoitus'!K16</f>
        <v>0</v>
      </c>
      <c r="R12" s="816"/>
      <c r="S12" s="815">
        <f>'T2 Investoinnit, rahoitus'!L16</f>
        <v>0</v>
      </c>
      <c r="T12" s="816"/>
    </row>
    <row r="13" spans="1:21" ht="12" customHeight="1" x14ac:dyDescent="0.2">
      <c r="A13" s="182"/>
      <c r="B13" s="125" t="s">
        <v>17</v>
      </c>
      <c r="C13" s="127" t="s">
        <v>291</v>
      </c>
      <c r="D13" s="113" t="s">
        <v>239</v>
      </c>
      <c r="E13" s="827"/>
      <c r="F13" s="827"/>
      <c r="G13" s="817">
        <f>'T2 Investoinnit, rahoitus'!F22</f>
        <v>0</v>
      </c>
      <c r="H13" s="817"/>
      <c r="I13" s="817">
        <f>'T2 Investoinnit, rahoitus'!H22</f>
        <v>0</v>
      </c>
      <c r="J13" s="817"/>
      <c r="K13" s="817">
        <f>'T2 Investoinnit, rahoitus'!J22</f>
        <v>0</v>
      </c>
      <c r="L13" s="817"/>
      <c r="M13" s="817">
        <f>'T2 Investoinnit, rahoitus'!L22</f>
        <v>0</v>
      </c>
      <c r="N13" s="817"/>
      <c r="O13" s="817">
        <f>'T2 Investoinnit, rahoitus'!N22</f>
        <v>0</v>
      </c>
      <c r="P13" s="817"/>
      <c r="Q13" s="817">
        <f>'T2 Investoinnit, rahoitus'!P22</f>
        <v>0</v>
      </c>
      <c r="R13" s="817"/>
      <c r="S13" s="817">
        <f>'T2 Investoinnit, rahoitus'!R22</f>
        <v>0</v>
      </c>
      <c r="T13" s="817"/>
    </row>
    <row r="14" spans="1:21" ht="12" customHeight="1" x14ac:dyDescent="0.2">
      <c r="B14" s="125" t="s">
        <v>18</v>
      </c>
      <c r="C14" s="804" t="s">
        <v>129</v>
      </c>
      <c r="D14" s="805"/>
      <c r="E14" s="825"/>
      <c r="F14" s="825"/>
      <c r="G14" s="823"/>
      <c r="H14" s="823"/>
      <c r="I14" s="823"/>
      <c r="J14" s="823"/>
      <c r="K14" s="823"/>
      <c r="L14" s="823"/>
      <c r="M14" s="823"/>
      <c r="N14" s="823"/>
      <c r="O14" s="823"/>
      <c r="P14" s="823"/>
      <c r="Q14" s="823"/>
      <c r="R14" s="823"/>
      <c r="S14" s="823"/>
      <c r="T14" s="823"/>
    </row>
    <row r="15" spans="1:21" ht="12" customHeight="1" thickBot="1" x14ac:dyDescent="0.25">
      <c r="A15" s="182"/>
      <c r="B15" s="128" t="s">
        <v>19</v>
      </c>
      <c r="C15" s="806" t="s">
        <v>130</v>
      </c>
      <c r="D15" s="807"/>
      <c r="E15" s="829">
        <f>E9+E12+E13</f>
        <v>0</v>
      </c>
      <c r="F15" s="830"/>
      <c r="G15" s="813">
        <f>G9+G12+G13+G14</f>
        <v>0</v>
      </c>
      <c r="H15" s="814"/>
      <c r="I15" s="813">
        <f>I9+I12+I13+I14</f>
        <v>0</v>
      </c>
      <c r="J15" s="814"/>
      <c r="K15" s="813">
        <f>K9+K12+K13+K14</f>
        <v>0</v>
      </c>
      <c r="L15" s="814"/>
      <c r="M15" s="813">
        <f>M9+M12+M13+M14</f>
        <v>0</v>
      </c>
      <c r="N15" s="814"/>
      <c r="O15" s="813">
        <f>O9+O12+O13+O14</f>
        <v>0</v>
      </c>
      <c r="P15" s="814"/>
      <c r="Q15" s="813">
        <f>Q9+Q12+Q13+Q14</f>
        <v>0</v>
      </c>
      <c r="R15" s="814"/>
      <c r="S15" s="813">
        <f>S9+S12+S13+S14</f>
        <v>0</v>
      </c>
      <c r="T15" s="814"/>
    </row>
    <row r="16" spans="1:21" ht="12" customHeight="1" x14ac:dyDescent="0.2">
      <c r="A16" s="2"/>
      <c r="B16" s="820" t="s">
        <v>152</v>
      </c>
      <c r="C16" s="821"/>
      <c r="D16" s="821"/>
      <c r="E16" s="810" t="s">
        <v>124</v>
      </c>
      <c r="F16" s="810"/>
      <c r="G16" s="810" t="s">
        <v>8</v>
      </c>
      <c r="H16" s="810"/>
      <c r="I16" s="810" t="s">
        <v>28</v>
      </c>
      <c r="J16" s="810"/>
      <c r="K16" s="810" t="s">
        <v>25</v>
      </c>
      <c r="L16" s="810"/>
      <c r="M16" s="810" t="s">
        <v>32</v>
      </c>
      <c r="N16" s="810"/>
      <c r="O16" s="810" t="s">
        <v>33</v>
      </c>
      <c r="P16" s="810"/>
      <c r="Q16" s="810" t="s">
        <v>34</v>
      </c>
      <c r="R16" s="810"/>
      <c r="S16" s="810" t="s">
        <v>40</v>
      </c>
      <c r="T16" s="810"/>
    </row>
    <row r="17" spans="1:20" ht="12" customHeight="1" x14ac:dyDescent="0.2">
      <c r="A17" s="2"/>
      <c r="B17" s="822"/>
      <c r="C17" s="822"/>
      <c r="D17" s="822"/>
      <c r="E17" s="811">
        <f>E8</f>
        <v>2015</v>
      </c>
      <c r="F17" s="811"/>
      <c r="G17" s="811">
        <f>E17+1</f>
        <v>2016</v>
      </c>
      <c r="H17" s="811"/>
      <c r="I17" s="811">
        <f>G17+1</f>
        <v>2017</v>
      </c>
      <c r="J17" s="811"/>
      <c r="K17" s="811">
        <f>I17+1</f>
        <v>2018</v>
      </c>
      <c r="L17" s="811"/>
      <c r="M17" s="811">
        <f>K17+1</f>
        <v>2019</v>
      </c>
      <c r="N17" s="811"/>
      <c r="O17" s="811">
        <f>M17+1</f>
        <v>2020</v>
      </c>
      <c r="P17" s="811"/>
      <c r="Q17" s="811">
        <f>O17+1</f>
        <v>2021</v>
      </c>
      <c r="R17" s="811"/>
      <c r="S17" s="811">
        <f>Q17+1</f>
        <v>2022</v>
      </c>
      <c r="T17" s="811"/>
    </row>
    <row r="18" spans="1:20" ht="12" customHeight="1" x14ac:dyDescent="0.2">
      <c r="A18" s="182"/>
      <c r="B18" s="126" t="s">
        <v>20</v>
      </c>
      <c r="C18" s="129" t="s">
        <v>126</v>
      </c>
      <c r="D18" s="114"/>
      <c r="E18" s="812"/>
      <c r="F18" s="826"/>
      <c r="G18" s="815">
        <f>'T2 Investoinnit, rahoitus'!F28+'T2 Investoinnit, rahoitus'!F34+'T2 Investoinnit, rahoitus'!F40+'T2 Investoinnit, rahoitus'!F46+'T2 Investoinnit, rahoitus'!F52+'T2 Investoinnit, rahoitus'!F59+'T2 Investoinnit, rahoitus'!F66+'T2 Investoinnit, rahoitus'!F73</f>
        <v>0</v>
      </c>
      <c r="H18" s="816"/>
      <c r="I18" s="815">
        <f>'T2 Investoinnit, rahoitus'!G28+'T2 Investoinnit, rahoitus'!G34+'T2 Investoinnit, rahoitus'!G40+'T2 Investoinnit, rahoitus'!G46+'T2 Investoinnit, rahoitus'!G59+'T2 Investoinnit, rahoitus'!G66+'T2 Investoinnit, rahoitus'!G73</f>
        <v>0</v>
      </c>
      <c r="J18" s="816"/>
      <c r="K18" s="815">
        <f>'T2 Investoinnit, rahoitus'!H28+'T2 Investoinnit, rahoitus'!H34+'T2 Investoinnit, rahoitus'!H40+'T2 Investoinnit, rahoitus'!H46+'T2 Investoinnit, rahoitus'!H52+'T2 Investoinnit, rahoitus'!H59+'T2 Investoinnit, rahoitus'!H66+'T2 Investoinnit, rahoitus'!H73</f>
        <v>0</v>
      </c>
      <c r="L18" s="816"/>
      <c r="M18" s="815">
        <f>'T2 Investoinnit, rahoitus'!I28+'T2 Investoinnit, rahoitus'!I34+'T2 Investoinnit, rahoitus'!I40+'T2 Investoinnit, rahoitus'!I46+'T2 Investoinnit, rahoitus'!I52+'T2 Investoinnit, rahoitus'!I59+'T2 Investoinnit, rahoitus'!I66+'T2 Investoinnit, rahoitus'!I73</f>
        <v>0</v>
      </c>
      <c r="N18" s="816"/>
      <c r="O18" s="815">
        <f>'T2 Investoinnit, rahoitus'!J28+'T2 Investoinnit, rahoitus'!J34+'T2 Investoinnit, rahoitus'!J40+'T2 Investoinnit, rahoitus'!J46+'T2 Investoinnit, rahoitus'!J52+'T2 Investoinnit, rahoitus'!J59+'T2 Investoinnit, rahoitus'!J66+'T2 Investoinnit, rahoitus'!J73</f>
        <v>0</v>
      </c>
      <c r="P18" s="816"/>
      <c r="Q18" s="815">
        <f>'T2 Investoinnit, rahoitus'!K28+'T2 Investoinnit, rahoitus'!K34+'T2 Investoinnit, rahoitus'!K40+'T2 Investoinnit, rahoitus'!K46+'T2 Investoinnit, rahoitus'!K52+'T2 Investoinnit, rahoitus'!K59+'T2 Investoinnit, rahoitus'!K66+'T2 Investoinnit, rahoitus'!K73</f>
        <v>0</v>
      </c>
      <c r="R18" s="816"/>
      <c r="S18" s="815">
        <f>'T2 Investoinnit, rahoitus'!L28+'T2 Investoinnit, rahoitus'!L34+'T2 Investoinnit, rahoitus'!L40+'T2 Investoinnit, rahoitus'!L46+'T2 Investoinnit, rahoitus'!L52+'T2 Investoinnit, rahoitus'!L59+'T2 Investoinnit, rahoitus'!L66+'T2 Investoinnit, rahoitus'!L73</f>
        <v>0</v>
      </c>
      <c r="T18" s="816"/>
    </row>
    <row r="19" spans="1:20" ht="12" customHeight="1" x14ac:dyDescent="0.2">
      <c r="B19" s="126" t="s">
        <v>21</v>
      </c>
      <c r="C19" s="130" t="s">
        <v>127</v>
      </c>
      <c r="D19" s="114"/>
      <c r="E19" s="812"/>
      <c r="F19" s="826"/>
      <c r="G19" s="815">
        <f>'T2 Investoinnit, rahoitus'!F81</f>
        <v>0</v>
      </c>
      <c r="H19" s="816"/>
      <c r="I19" s="815">
        <f>'T2 Investoinnit, rahoitus'!G81</f>
        <v>0</v>
      </c>
      <c r="J19" s="816"/>
      <c r="K19" s="815">
        <f>'T2 Investoinnit, rahoitus'!H81</f>
        <v>0</v>
      </c>
      <c r="L19" s="816"/>
      <c r="M19" s="815">
        <f>'T2 Investoinnit, rahoitus'!I81</f>
        <v>0</v>
      </c>
      <c r="N19" s="816"/>
      <c r="O19" s="815">
        <f>'T2 Investoinnit, rahoitus'!J81</f>
        <v>0</v>
      </c>
      <c r="P19" s="816"/>
      <c r="Q19" s="815">
        <f>'T2 Investoinnit, rahoitus'!K81</f>
        <v>0</v>
      </c>
      <c r="R19" s="816"/>
      <c r="S19" s="815">
        <f>'T2 Investoinnit, rahoitus'!L81</f>
        <v>0</v>
      </c>
      <c r="T19" s="816"/>
    </row>
    <row r="20" spans="1:20" ht="12" customHeight="1" x14ac:dyDescent="0.2">
      <c r="A20" s="182"/>
      <c r="B20" s="126" t="s">
        <v>22</v>
      </c>
      <c r="C20" s="130" t="s">
        <v>132</v>
      </c>
      <c r="D20" s="114"/>
      <c r="E20" s="824"/>
      <c r="F20" s="824"/>
      <c r="G20" s="815">
        <f>'T2 Investoinnit, rahoitus'!F82</f>
        <v>0</v>
      </c>
      <c r="H20" s="816"/>
      <c r="I20" s="815">
        <f>'T2 Investoinnit, rahoitus'!G82</f>
        <v>0</v>
      </c>
      <c r="J20" s="816"/>
      <c r="K20" s="815">
        <f>'T2 Investoinnit, rahoitus'!H82</f>
        <v>0</v>
      </c>
      <c r="L20" s="816"/>
      <c r="M20" s="815">
        <f>'T2 Investoinnit, rahoitus'!I82</f>
        <v>0</v>
      </c>
      <c r="N20" s="816"/>
      <c r="O20" s="815">
        <f>'T2 Investoinnit, rahoitus'!J82</f>
        <v>0</v>
      </c>
      <c r="P20" s="816"/>
      <c r="Q20" s="815">
        <f>'T2 Investoinnit, rahoitus'!K82</f>
        <v>0</v>
      </c>
      <c r="R20" s="816"/>
      <c r="S20" s="815">
        <f>'T2 Investoinnit, rahoitus'!L82</f>
        <v>0</v>
      </c>
      <c r="T20" s="816"/>
    </row>
    <row r="21" spans="1:20" ht="12" customHeight="1" x14ac:dyDescent="0.2">
      <c r="A21" s="2"/>
      <c r="B21" s="126" t="s">
        <v>23</v>
      </c>
      <c r="C21" s="130" t="s">
        <v>128</v>
      </c>
      <c r="D21" s="114"/>
      <c r="E21" s="812"/>
      <c r="F21" s="826"/>
      <c r="G21" s="815">
        <f>'T2 Investoinnit, rahoitus'!F83</f>
        <v>0</v>
      </c>
      <c r="H21" s="816"/>
      <c r="I21" s="815">
        <f>'T2 Investoinnit, rahoitus'!G83</f>
        <v>0</v>
      </c>
      <c r="J21" s="816"/>
      <c r="K21" s="815">
        <f>'T2 Investoinnit, rahoitus'!H83</f>
        <v>0</v>
      </c>
      <c r="L21" s="816"/>
      <c r="M21" s="815">
        <f>'T2 Investoinnit, rahoitus'!I83</f>
        <v>0</v>
      </c>
      <c r="N21" s="816"/>
      <c r="O21" s="815">
        <f>'T2 Investoinnit, rahoitus'!J83</f>
        <v>0</v>
      </c>
      <c r="P21" s="816"/>
      <c r="Q21" s="815">
        <f>'T2 Investoinnit, rahoitus'!K83</f>
        <v>0</v>
      </c>
      <c r="R21" s="816"/>
      <c r="S21" s="815">
        <f>'T2 Investoinnit, rahoitus'!L83</f>
        <v>0</v>
      </c>
      <c r="T21" s="816"/>
    </row>
    <row r="22" spans="1:20" ht="12" customHeight="1" thickBot="1" x14ac:dyDescent="0.25">
      <c r="B22" s="131" t="s">
        <v>24</v>
      </c>
      <c r="C22" s="132" t="s">
        <v>130</v>
      </c>
      <c r="D22" s="115"/>
      <c r="E22" s="829"/>
      <c r="F22" s="830"/>
      <c r="G22" s="813">
        <f>SUM(G18:H21)</f>
        <v>0</v>
      </c>
      <c r="H22" s="814"/>
      <c r="I22" s="813">
        <f>SUM(I18:J21)</f>
        <v>0</v>
      </c>
      <c r="J22" s="814"/>
      <c r="K22" s="813">
        <f>SUM(K18:L21)</f>
        <v>0</v>
      </c>
      <c r="L22" s="814"/>
      <c r="M22" s="813">
        <f>SUM(M18:N21)</f>
        <v>0</v>
      </c>
      <c r="N22" s="814"/>
      <c r="O22" s="813">
        <f>SUM(O18:P21)</f>
        <v>0</v>
      </c>
      <c r="P22" s="814"/>
      <c r="Q22" s="813">
        <f>SUM(Q18:R21)</f>
        <v>0</v>
      </c>
      <c r="R22" s="814"/>
      <c r="S22" s="813">
        <f>SUM(S18:T21)</f>
        <v>0</v>
      </c>
      <c r="T22" s="814"/>
    </row>
    <row r="23" spans="1:20" ht="12" customHeight="1" thickBot="1" x14ac:dyDescent="0.25">
      <c r="A23" s="182"/>
      <c r="B23" s="89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ht="12" customHeight="1" x14ac:dyDescent="0.2">
      <c r="B24" s="838" t="s">
        <v>111</v>
      </c>
      <c r="C24" s="839"/>
      <c r="D24" s="840"/>
      <c r="E24" s="844" t="s">
        <v>124</v>
      </c>
      <c r="F24" s="845"/>
      <c r="G24" s="844" t="s">
        <v>8</v>
      </c>
      <c r="H24" s="845"/>
      <c r="I24" s="844" t="s">
        <v>28</v>
      </c>
      <c r="J24" s="845"/>
      <c r="K24" s="844" t="s">
        <v>25</v>
      </c>
      <c r="L24" s="845"/>
      <c r="M24" s="844" t="s">
        <v>32</v>
      </c>
      <c r="N24" s="845"/>
      <c r="O24" s="844" t="s">
        <v>33</v>
      </c>
      <c r="P24" s="845"/>
      <c r="Q24" s="844" t="s">
        <v>34</v>
      </c>
      <c r="R24" s="845"/>
      <c r="S24" s="844" t="s">
        <v>40</v>
      </c>
      <c r="T24" s="845"/>
    </row>
    <row r="25" spans="1:20" ht="12" customHeight="1" thickBot="1" x14ac:dyDescent="0.25">
      <c r="A25" s="182"/>
      <c r="B25" s="841"/>
      <c r="C25" s="842"/>
      <c r="D25" s="843"/>
      <c r="E25" s="673">
        <f>E8</f>
        <v>2015</v>
      </c>
      <c r="F25" s="674" t="s">
        <v>39</v>
      </c>
      <c r="G25" s="675">
        <f>E25+1</f>
        <v>2016</v>
      </c>
      <c r="H25" s="676" t="s">
        <v>39</v>
      </c>
      <c r="I25" s="675">
        <f>G25+1</f>
        <v>2017</v>
      </c>
      <c r="J25" s="676" t="s">
        <v>39</v>
      </c>
      <c r="K25" s="675">
        <f>I25+1</f>
        <v>2018</v>
      </c>
      <c r="L25" s="676" t="s">
        <v>39</v>
      </c>
      <c r="M25" s="675">
        <f>K25+1</f>
        <v>2019</v>
      </c>
      <c r="N25" s="676" t="s">
        <v>39</v>
      </c>
      <c r="O25" s="675">
        <f>M25+1</f>
        <v>2020</v>
      </c>
      <c r="P25" s="676" t="s">
        <v>39</v>
      </c>
      <c r="Q25" s="675">
        <f>O25+1</f>
        <v>2021</v>
      </c>
      <c r="R25" s="676" t="s">
        <v>39</v>
      </c>
      <c r="S25" s="675">
        <f>Q25+1</f>
        <v>2022</v>
      </c>
      <c r="T25" s="676" t="s">
        <v>39</v>
      </c>
    </row>
    <row r="26" spans="1:20" ht="12" customHeight="1" x14ac:dyDescent="0.2">
      <c r="B26" s="122" t="s">
        <v>15</v>
      </c>
      <c r="C26" s="120" t="s">
        <v>302</v>
      </c>
      <c r="D26" s="121"/>
      <c r="E26" s="480">
        <f>'T4 Tuotanto'!D43</f>
        <v>0</v>
      </c>
      <c r="F26" s="91">
        <f ca="1">IF(E$35=0,0,100*E26/E$35)</f>
        <v>0</v>
      </c>
      <c r="G26" s="93">
        <f ca="1">'T4 Tuotanto'!E43</f>
        <v>0</v>
      </c>
      <c r="H26" s="91">
        <f ca="1">IF(G$35=0,0,G26/G$35*100)</f>
        <v>0</v>
      </c>
      <c r="I26" s="93">
        <f ca="1">'T4 Tuotanto'!F43</f>
        <v>0</v>
      </c>
      <c r="J26" s="91">
        <f ca="1">IF(I$35=0,0,I26/I$35*100)</f>
        <v>0</v>
      </c>
      <c r="K26" s="93">
        <f ca="1">'T4 Tuotanto'!G43</f>
        <v>0</v>
      </c>
      <c r="L26" s="91">
        <f ca="1">IF(K$35=0,0,K26/K$35*100)</f>
        <v>0</v>
      </c>
      <c r="M26" s="93">
        <f ca="1">'T4 Tuotanto'!H43</f>
        <v>0</v>
      </c>
      <c r="N26" s="91">
        <f ca="1">IF(M$35=0,0,M26/M$35*100)</f>
        <v>0</v>
      </c>
      <c r="O26" s="93">
        <f ca="1">'T4 Tuotanto'!I43</f>
        <v>0</v>
      </c>
      <c r="P26" s="91">
        <f ca="1">IF(O$35=0,0,O26/O$35*100)</f>
        <v>0</v>
      </c>
      <c r="Q26" s="93">
        <f ca="1">'T4 Tuotanto'!J43</f>
        <v>0</v>
      </c>
      <c r="R26" s="91">
        <f ca="1">IF(Q$35=0,0,Q26/Q$35*100)</f>
        <v>0</v>
      </c>
      <c r="S26" s="93">
        <f ca="1">'T4 Tuotanto'!K43</f>
        <v>0</v>
      </c>
      <c r="T26" s="91">
        <f ca="1">IF(S$35=0,0,S26/S$35*100)</f>
        <v>0</v>
      </c>
    </row>
    <row r="27" spans="1:20" ht="12" customHeight="1" x14ac:dyDescent="0.2">
      <c r="B27" s="123" t="s">
        <v>16</v>
      </c>
      <c r="C27" s="59" t="s">
        <v>112</v>
      </c>
      <c r="D27" s="90"/>
      <c r="E27" s="153">
        <v>0</v>
      </c>
      <c r="F27" s="91">
        <f ca="1">IF(E$35=0,0,100*E27/E$35)</f>
        <v>0</v>
      </c>
      <c r="G27" s="103">
        <f>'T4 Tuotanto'!E11*G28/100</f>
        <v>0</v>
      </c>
      <c r="H27" s="91">
        <f ca="1">IF(G$35=0,0,100*G27/G$35)</f>
        <v>0</v>
      </c>
      <c r="I27" s="103">
        <f>'T4 Tuotanto'!F11*I28/100</f>
        <v>0</v>
      </c>
      <c r="J27" s="91">
        <f ca="1">IF(I$35=0,0,100*I27/I$35)</f>
        <v>0</v>
      </c>
      <c r="K27" s="103">
        <f>'T4 Tuotanto'!G11*K28/100</f>
        <v>0</v>
      </c>
      <c r="L27" s="91">
        <f ca="1">IF(K$35=0,0,100*K27/K$35)</f>
        <v>0</v>
      </c>
      <c r="M27" s="103">
        <f>'T4 Tuotanto'!H11*M28/100</f>
        <v>0</v>
      </c>
      <c r="N27" s="91">
        <f ca="1">IF(M$35=0,0,100*M27/M$35)</f>
        <v>0</v>
      </c>
      <c r="O27" s="103">
        <f>'T4 Tuotanto'!I11*O28/100</f>
        <v>0</v>
      </c>
      <c r="P27" s="91">
        <f ca="1">IF(O$35=0,0,100*O27/O$35)</f>
        <v>0</v>
      </c>
      <c r="Q27" s="103">
        <f>'T4 Tuotanto'!J11*Q28/100</f>
        <v>0</v>
      </c>
      <c r="R27" s="91">
        <f ca="1">IF(Q$35=0,0,100*Q27/Q$35)</f>
        <v>0</v>
      </c>
      <c r="S27" s="103">
        <f>'T4 Tuotanto'!K11*S28/100</f>
        <v>0</v>
      </c>
      <c r="T27" s="91">
        <f ca="1">IF(S$35=0,0,100*S27/S$35)</f>
        <v>0</v>
      </c>
    </row>
    <row r="28" spans="1:20" s="94" customFormat="1" ht="12" customHeight="1" x14ac:dyDescent="0.2">
      <c r="A28" s="157"/>
      <c r="B28" s="123" t="s">
        <v>0</v>
      </c>
      <c r="C28" s="59" t="s">
        <v>123</v>
      </c>
      <c r="D28" s="116"/>
      <c r="E28" s="117">
        <f>IF('T4 Tuotanto'!D11=0,0,100*E27/'T4 Tuotanto'!D11)</f>
        <v>0</v>
      </c>
      <c r="F28" s="118"/>
      <c r="G28" s="382">
        <v>0</v>
      </c>
      <c r="H28" s="119"/>
      <c r="I28" s="382">
        <f>G28</f>
        <v>0</v>
      </c>
      <c r="J28" s="119"/>
      <c r="K28" s="382">
        <f>I28</f>
        <v>0</v>
      </c>
      <c r="L28" s="119"/>
      <c r="M28" s="382">
        <f>K28</f>
        <v>0</v>
      </c>
      <c r="N28" s="119"/>
      <c r="O28" s="382">
        <f>M28</f>
        <v>0</v>
      </c>
      <c r="P28" s="119"/>
      <c r="Q28" s="382">
        <f>O28</f>
        <v>0</v>
      </c>
      <c r="R28" s="119"/>
      <c r="S28" s="382">
        <f>Q28</f>
        <v>0</v>
      </c>
      <c r="T28" s="119"/>
    </row>
    <row r="29" spans="1:20" ht="12" customHeight="1" x14ac:dyDescent="0.2">
      <c r="A29" s="157"/>
      <c r="B29" s="123" t="s">
        <v>17</v>
      </c>
      <c r="C29" s="59" t="s">
        <v>115</v>
      </c>
      <c r="D29" s="90"/>
      <c r="E29" s="153">
        <v>0</v>
      </c>
      <c r="F29" s="91">
        <f t="shared" ref="F29:F34" ca="1" si="0">IF(E$35=0,0,100*E29/E$35)</f>
        <v>0</v>
      </c>
      <c r="G29" s="153">
        <v>0</v>
      </c>
      <c r="H29" s="91">
        <f t="shared" ref="H29:H34" ca="1" si="1">IF(G$35=0,0,100*G29/G$35)</f>
        <v>0</v>
      </c>
      <c r="I29" s="153">
        <f>G29</f>
        <v>0</v>
      </c>
      <c r="J29" s="91">
        <f t="shared" ref="J29:J34" ca="1" si="2">IF(I$35=0,0,100*I29/I$35)</f>
        <v>0</v>
      </c>
      <c r="K29" s="153">
        <f>I29</f>
        <v>0</v>
      </c>
      <c r="L29" s="91">
        <f t="shared" ref="L29:L34" ca="1" si="3">IF(K$35=0,0,100*K29/K$35)</f>
        <v>0</v>
      </c>
      <c r="M29" s="153">
        <f>K29</f>
        <v>0</v>
      </c>
      <c r="N29" s="91">
        <f t="shared" ref="N29:N34" ca="1" si="4">IF(M$35=0,0,100*M29/M$35)</f>
        <v>0</v>
      </c>
      <c r="O29" s="153">
        <f>M29</f>
        <v>0</v>
      </c>
      <c r="P29" s="91">
        <f t="shared" ref="P29:P34" ca="1" si="5">IF(O$35=0,0,100*O29/O$35)</f>
        <v>0</v>
      </c>
      <c r="Q29" s="153">
        <f>O29</f>
        <v>0</v>
      </c>
      <c r="R29" s="91">
        <f t="shared" ref="R29:R34" ca="1" si="6">IF(Q$35=0,0,100*Q29/Q$35)</f>
        <v>0</v>
      </c>
      <c r="S29" s="153">
        <f>Q29</f>
        <v>0</v>
      </c>
      <c r="T29" s="91">
        <f t="shared" ref="T29:T34" ca="1" si="7">IF(S$35=0,0,100*S29/S$35)</f>
        <v>0</v>
      </c>
    </row>
    <row r="30" spans="1:20" ht="12" customHeight="1" x14ac:dyDescent="0.2">
      <c r="B30" s="123" t="s">
        <v>18</v>
      </c>
      <c r="C30" s="59" t="s">
        <v>113</v>
      </c>
      <c r="D30" s="90"/>
      <c r="E30" s="481">
        <f ca="1">'T4 Tuotanto'!D76</f>
        <v>0</v>
      </c>
      <c r="F30" s="91">
        <f t="shared" ca="1" si="0"/>
        <v>0</v>
      </c>
      <c r="G30" s="93">
        <f ca="1">'T4 Tuotanto'!E76</f>
        <v>0</v>
      </c>
      <c r="H30" s="91">
        <f t="shared" ca="1" si="1"/>
        <v>0</v>
      </c>
      <c r="I30" s="93">
        <f ca="1">'T4 Tuotanto'!F76</f>
        <v>0</v>
      </c>
      <c r="J30" s="91">
        <f t="shared" ca="1" si="2"/>
        <v>0</v>
      </c>
      <c r="K30" s="93">
        <f ca="1">'T4 Tuotanto'!G76</f>
        <v>0</v>
      </c>
      <c r="L30" s="91">
        <f t="shared" ca="1" si="3"/>
        <v>0</v>
      </c>
      <c r="M30" s="93">
        <f ca="1">'T4 Tuotanto'!H76</f>
        <v>0</v>
      </c>
      <c r="N30" s="91">
        <f t="shared" ca="1" si="4"/>
        <v>0</v>
      </c>
      <c r="O30" s="93">
        <f ca="1">'T4 Tuotanto'!I76</f>
        <v>0</v>
      </c>
      <c r="P30" s="91">
        <f t="shared" ca="1" si="5"/>
        <v>0</v>
      </c>
      <c r="Q30" s="93">
        <f ca="1">'T4 Tuotanto'!J76</f>
        <v>0</v>
      </c>
      <c r="R30" s="91">
        <f t="shared" ca="1" si="6"/>
        <v>0</v>
      </c>
      <c r="S30" s="93">
        <f ca="1">'T4 Tuotanto'!K76</f>
        <v>0</v>
      </c>
      <c r="T30" s="91">
        <f t="shared" ca="1" si="7"/>
        <v>0</v>
      </c>
    </row>
    <row r="31" spans="1:20" ht="12" customHeight="1" x14ac:dyDescent="0.2">
      <c r="B31" s="123" t="s">
        <v>19</v>
      </c>
      <c r="C31" s="59" t="s">
        <v>114</v>
      </c>
      <c r="D31" s="90"/>
      <c r="E31" s="153">
        <v>0</v>
      </c>
      <c r="F31" s="91">
        <f t="shared" ca="1" si="0"/>
        <v>0</v>
      </c>
      <c r="G31" s="153">
        <f>E31</f>
        <v>0</v>
      </c>
      <c r="H31" s="91">
        <f t="shared" ca="1" si="1"/>
        <v>0</v>
      </c>
      <c r="I31" s="153">
        <f>G31</f>
        <v>0</v>
      </c>
      <c r="J31" s="91">
        <f t="shared" ca="1" si="2"/>
        <v>0</v>
      </c>
      <c r="K31" s="153">
        <f>I31</f>
        <v>0</v>
      </c>
      <c r="L31" s="91">
        <f t="shared" ca="1" si="3"/>
        <v>0</v>
      </c>
      <c r="M31" s="153">
        <f>K31</f>
        <v>0</v>
      </c>
      <c r="N31" s="91">
        <f t="shared" ca="1" si="4"/>
        <v>0</v>
      </c>
      <c r="O31" s="153">
        <f>M31</f>
        <v>0</v>
      </c>
      <c r="P31" s="91">
        <f t="shared" ca="1" si="5"/>
        <v>0</v>
      </c>
      <c r="Q31" s="153">
        <f>O31</f>
        <v>0</v>
      </c>
      <c r="R31" s="91">
        <f t="shared" ca="1" si="6"/>
        <v>0</v>
      </c>
      <c r="S31" s="153">
        <f>Q31</f>
        <v>0</v>
      </c>
      <c r="T31" s="91">
        <f t="shared" ca="1" si="7"/>
        <v>0</v>
      </c>
    </row>
    <row r="32" spans="1:20" ht="12" customHeight="1" x14ac:dyDescent="0.2">
      <c r="B32" s="123" t="s">
        <v>20</v>
      </c>
      <c r="C32" s="787" t="s">
        <v>203</v>
      </c>
      <c r="D32" s="788"/>
      <c r="E32" s="153">
        <v>0</v>
      </c>
      <c r="F32" s="91">
        <f t="shared" ca="1" si="0"/>
        <v>0</v>
      </c>
      <c r="G32" s="153">
        <f t="shared" ref="G32:S34" si="8">E32</f>
        <v>0</v>
      </c>
      <c r="H32" s="91">
        <f t="shared" ca="1" si="1"/>
        <v>0</v>
      </c>
      <c r="I32" s="153">
        <f t="shared" si="8"/>
        <v>0</v>
      </c>
      <c r="J32" s="91">
        <f t="shared" ca="1" si="2"/>
        <v>0</v>
      </c>
      <c r="K32" s="153">
        <f t="shared" si="8"/>
        <v>0</v>
      </c>
      <c r="L32" s="91">
        <f t="shared" ca="1" si="3"/>
        <v>0</v>
      </c>
      <c r="M32" s="153">
        <f t="shared" si="8"/>
        <v>0</v>
      </c>
      <c r="N32" s="91">
        <f t="shared" ca="1" si="4"/>
        <v>0</v>
      </c>
      <c r="O32" s="153">
        <f t="shared" si="8"/>
        <v>0</v>
      </c>
      <c r="P32" s="91">
        <f t="shared" ca="1" si="5"/>
        <v>0</v>
      </c>
      <c r="Q32" s="153">
        <f t="shared" si="8"/>
        <v>0</v>
      </c>
      <c r="R32" s="91">
        <f t="shared" ca="1" si="6"/>
        <v>0</v>
      </c>
      <c r="S32" s="153">
        <f t="shared" si="8"/>
        <v>0</v>
      </c>
      <c r="T32" s="91">
        <f t="shared" ca="1" si="7"/>
        <v>0</v>
      </c>
    </row>
    <row r="33" spans="2:20" ht="12" customHeight="1" x14ac:dyDescent="0.2">
      <c r="B33" s="123" t="s">
        <v>21</v>
      </c>
      <c r="C33" s="787" t="s">
        <v>204</v>
      </c>
      <c r="D33" s="788"/>
      <c r="E33" s="153">
        <v>0</v>
      </c>
      <c r="F33" s="91">
        <f t="shared" ca="1" si="0"/>
        <v>0</v>
      </c>
      <c r="G33" s="153">
        <f t="shared" si="8"/>
        <v>0</v>
      </c>
      <c r="H33" s="91">
        <f t="shared" ca="1" si="1"/>
        <v>0</v>
      </c>
      <c r="I33" s="153">
        <f t="shared" si="8"/>
        <v>0</v>
      </c>
      <c r="J33" s="91">
        <f t="shared" ca="1" si="2"/>
        <v>0</v>
      </c>
      <c r="K33" s="153">
        <f t="shared" si="8"/>
        <v>0</v>
      </c>
      <c r="L33" s="91">
        <f t="shared" ca="1" si="3"/>
        <v>0</v>
      </c>
      <c r="M33" s="153">
        <f t="shared" si="8"/>
        <v>0</v>
      </c>
      <c r="N33" s="91">
        <f t="shared" ca="1" si="4"/>
        <v>0</v>
      </c>
      <c r="O33" s="153">
        <f t="shared" si="8"/>
        <v>0</v>
      </c>
      <c r="P33" s="91">
        <f t="shared" ca="1" si="5"/>
        <v>0</v>
      </c>
      <c r="Q33" s="153">
        <f t="shared" si="8"/>
        <v>0</v>
      </c>
      <c r="R33" s="91">
        <f t="shared" ca="1" si="6"/>
        <v>0</v>
      </c>
      <c r="S33" s="153">
        <f t="shared" si="8"/>
        <v>0</v>
      </c>
      <c r="T33" s="91">
        <f t="shared" ca="1" si="7"/>
        <v>0</v>
      </c>
    </row>
    <row r="34" spans="2:20" ht="12" customHeight="1" x14ac:dyDescent="0.2">
      <c r="B34" s="123" t="s">
        <v>22</v>
      </c>
      <c r="C34" s="787" t="s">
        <v>205</v>
      </c>
      <c r="D34" s="788"/>
      <c r="E34" s="153">
        <v>0</v>
      </c>
      <c r="F34" s="91">
        <f t="shared" ca="1" si="0"/>
        <v>0</v>
      </c>
      <c r="G34" s="153">
        <f t="shared" si="8"/>
        <v>0</v>
      </c>
      <c r="H34" s="91">
        <f t="shared" ca="1" si="1"/>
        <v>0</v>
      </c>
      <c r="I34" s="153">
        <f t="shared" si="8"/>
        <v>0</v>
      </c>
      <c r="J34" s="91">
        <f t="shared" ca="1" si="2"/>
        <v>0</v>
      </c>
      <c r="K34" s="153">
        <f t="shared" si="8"/>
        <v>0</v>
      </c>
      <c r="L34" s="91">
        <f t="shared" ca="1" si="3"/>
        <v>0</v>
      </c>
      <c r="M34" s="153">
        <f t="shared" si="8"/>
        <v>0</v>
      </c>
      <c r="N34" s="91">
        <f t="shared" ca="1" si="4"/>
        <v>0</v>
      </c>
      <c r="O34" s="153">
        <f t="shared" si="8"/>
        <v>0</v>
      </c>
      <c r="P34" s="91">
        <f t="shared" ca="1" si="5"/>
        <v>0</v>
      </c>
      <c r="Q34" s="153">
        <f t="shared" si="8"/>
        <v>0</v>
      </c>
      <c r="R34" s="91">
        <f t="shared" ca="1" si="6"/>
        <v>0</v>
      </c>
      <c r="S34" s="153">
        <f t="shared" si="8"/>
        <v>0</v>
      </c>
      <c r="T34" s="91">
        <f t="shared" ca="1" si="7"/>
        <v>0</v>
      </c>
    </row>
    <row r="35" spans="2:20" ht="12" customHeight="1" x14ac:dyDescent="0.2">
      <c r="B35" s="123" t="s">
        <v>23</v>
      </c>
      <c r="C35" s="81" t="s">
        <v>145</v>
      </c>
      <c r="D35" s="90"/>
      <c r="E35" s="543">
        <f ca="1">IF(Ohjeet!$H67&gt;Ohjeet!$H21,0,SUM(E26:E34)-E28)</f>
        <v>0</v>
      </c>
      <c r="F35" s="134">
        <v>100</v>
      </c>
      <c r="G35" s="133">
        <f ca="1">IF(Ohjeet!$H67&gt;Ohjeet!$H21,0,SUM(G26:G34)-G28)</f>
        <v>0</v>
      </c>
      <c r="H35" s="134">
        <v>100</v>
      </c>
      <c r="I35" s="133">
        <f ca="1">IF(Ohjeet!$H67&gt;Ohjeet!$H21,0,SUM(I26:I34)-I28)</f>
        <v>0</v>
      </c>
      <c r="J35" s="134">
        <v>100</v>
      </c>
      <c r="K35" s="133">
        <f ca="1">IF(Ohjeet!$H67&gt;Ohjeet!$H21,0,SUM(K26:K34)-K28)</f>
        <v>0</v>
      </c>
      <c r="L35" s="134">
        <v>100</v>
      </c>
      <c r="M35" s="133">
        <f ca="1">IF(Ohjeet!$H67&gt;Ohjeet!$H21,0,SUM(M26:M34)-M28)</f>
        <v>0</v>
      </c>
      <c r="N35" s="134">
        <v>100</v>
      </c>
      <c r="O35" s="133">
        <f ca="1">IF(Ohjeet!$H67&gt;Ohjeet!$H21,0,SUM(O26:O34)-O28)</f>
        <v>0</v>
      </c>
      <c r="P35" s="134">
        <v>100</v>
      </c>
      <c r="Q35" s="133">
        <f ca="1">IF(Ohjeet!$H67&gt;Ohjeet!$H21,0,SUM(Q26:Q34)-Q28)</f>
        <v>0</v>
      </c>
      <c r="R35" s="134">
        <v>100</v>
      </c>
      <c r="S35" s="133">
        <f ca="1">IF(Ohjeet!$H67&gt;Ohjeet!$H21,0,SUM(S26:S34)-S28)</f>
        <v>0</v>
      </c>
      <c r="T35" s="134">
        <v>100</v>
      </c>
    </row>
    <row r="36" spans="2:20" ht="12" customHeight="1" x14ac:dyDescent="0.2">
      <c r="B36" s="123" t="s">
        <v>24</v>
      </c>
      <c r="C36" s="59" t="s">
        <v>147</v>
      </c>
      <c r="D36" s="90"/>
      <c r="E36" s="481">
        <f ca="1">'T3 Kustannukset'!D87</f>
        <v>0</v>
      </c>
      <c r="F36" s="91">
        <f t="shared" ref="F36:F41" ca="1" si="9">IF(E$35=0,0,100*E36/E$35)</f>
        <v>0</v>
      </c>
      <c r="G36" s="92">
        <f ca="1">'T3 Kustannukset'!F87</f>
        <v>0</v>
      </c>
      <c r="H36" s="91">
        <f t="shared" ref="H36:H41" ca="1" si="10">IF(G$35=0,0,100*G36/G$35)</f>
        <v>0</v>
      </c>
      <c r="I36" s="92">
        <f ca="1">'T3 Kustannukset'!H87</f>
        <v>0</v>
      </c>
      <c r="J36" s="91">
        <f t="shared" ref="J36:J41" ca="1" si="11">IF(I$35=0,0,100*I36/I$35)</f>
        <v>0</v>
      </c>
      <c r="K36" s="92">
        <f ca="1">'T3 Kustannukset'!J87</f>
        <v>0</v>
      </c>
      <c r="L36" s="91">
        <f t="shared" ref="L36:L41" ca="1" si="12">IF(K$35=0,0,100*K36/K$35)</f>
        <v>0</v>
      </c>
      <c r="M36" s="92">
        <f ca="1">'T3 Kustannukset'!L87</f>
        <v>0</v>
      </c>
      <c r="N36" s="91">
        <f t="shared" ref="N36:N41" ca="1" si="13">IF(M$35=0,0,100*M36/M$35)</f>
        <v>0</v>
      </c>
      <c r="O36" s="92">
        <f ca="1">'T3 Kustannukset'!N87</f>
        <v>0</v>
      </c>
      <c r="P36" s="91">
        <f t="shared" ref="P36:P41" ca="1" si="14">IF(O$35=0,0,100*O36/O$35)</f>
        <v>0</v>
      </c>
      <c r="Q36" s="92">
        <f ca="1">'T3 Kustannukset'!P87</f>
        <v>0</v>
      </c>
      <c r="R36" s="91">
        <f t="shared" ref="R36:R41" ca="1" si="15">IF(Q$35=0,0,100*Q36/Q$35)</f>
        <v>0</v>
      </c>
      <c r="S36" s="92">
        <f ca="1">'T3 Kustannukset'!R87</f>
        <v>0</v>
      </c>
      <c r="T36" s="91">
        <f t="shared" ref="T36:T41" ca="1" si="16">IF(S$35=0,0,100*S36/S$35)</f>
        <v>0</v>
      </c>
    </row>
    <row r="37" spans="2:20" ht="12" customHeight="1" x14ac:dyDescent="0.2">
      <c r="B37" s="123" t="s">
        <v>154</v>
      </c>
      <c r="C37" s="59" t="s">
        <v>116</v>
      </c>
      <c r="D37" s="90"/>
      <c r="E37" s="153">
        <v>0</v>
      </c>
      <c r="F37" s="91">
        <f t="shared" ca="1" si="9"/>
        <v>0</v>
      </c>
      <c r="G37" s="92">
        <f>'T2 Investoinnit, rahoitus'!F146</f>
        <v>0</v>
      </c>
      <c r="H37" s="91">
        <f t="shared" ca="1" si="10"/>
        <v>0</v>
      </c>
      <c r="I37" s="92">
        <f>'T2 Investoinnit, rahoitus'!G146</f>
        <v>0</v>
      </c>
      <c r="J37" s="91">
        <f t="shared" ca="1" si="11"/>
        <v>0</v>
      </c>
      <c r="K37" s="92">
        <f>'T2 Investoinnit, rahoitus'!H146</f>
        <v>0</v>
      </c>
      <c r="L37" s="91">
        <f t="shared" ca="1" si="12"/>
        <v>0</v>
      </c>
      <c r="M37" s="92">
        <f>'T2 Investoinnit, rahoitus'!I146</f>
        <v>0</v>
      </c>
      <c r="N37" s="91">
        <f t="shared" ca="1" si="13"/>
        <v>0</v>
      </c>
      <c r="O37" s="92">
        <f>'T2 Investoinnit, rahoitus'!J146</f>
        <v>0</v>
      </c>
      <c r="P37" s="91">
        <f t="shared" ca="1" si="14"/>
        <v>0</v>
      </c>
      <c r="Q37" s="92">
        <f>'T2 Investoinnit, rahoitus'!K146</f>
        <v>0</v>
      </c>
      <c r="R37" s="91">
        <f t="shared" ca="1" si="15"/>
        <v>0</v>
      </c>
      <c r="S37" s="92">
        <f>'T2 Investoinnit, rahoitus'!L146</f>
        <v>0</v>
      </c>
      <c r="T37" s="91">
        <f t="shared" ca="1" si="16"/>
        <v>0</v>
      </c>
    </row>
    <row r="38" spans="2:20" ht="12" customHeight="1" x14ac:dyDescent="0.2">
      <c r="B38" s="123" t="s">
        <v>155</v>
      </c>
      <c r="C38" s="854" t="s">
        <v>292</v>
      </c>
      <c r="D38" s="855"/>
      <c r="E38" s="153">
        <v>0</v>
      </c>
      <c r="F38" s="91">
        <f t="shared" ca="1" si="9"/>
        <v>0</v>
      </c>
      <c r="G38" s="153">
        <f>E38</f>
        <v>0</v>
      </c>
      <c r="H38" s="91">
        <f t="shared" ca="1" si="10"/>
        <v>0</v>
      </c>
      <c r="I38" s="153">
        <f>G38</f>
        <v>0</v>
      </c>
      <c r="J38" s="91">
        <f t="shared" ca="1" si="11"/>
        <v>0</v>
      </c>
      <c r="K38" s="153">
        <f>I38</f>
        <v>0</v>
      </c>
      <c r="L38" s="91">
        <f t="shared" ca="1" si="12"/>
        <v>0</v>
      </c>
      <c r="M38" s="153">
        <f>K38</f>
        <v>0</v>
      </c>
      <c r="N38" s="91">
        <f t="shared" ca="1" si="13"/>
        <v>0</v>
      </c>
      <c r="O38" s="153">
        <f>M38</f>
        <v>0</v>
      </c>
      <c r="P38" s="91">
        <f t="shared" ca="1" si="14"/>
        <v>0</v>
      </c>
      <c r="Q38" s="153">
        <f>O38</f>
        <v>0</v>
      </c>
      <c r="R38" s="91">
        <f t="shared" ca="1" si="15"/>
        <v>0</v>
      </c>
      <c r="S38" s="153">
        <f>Q38</f>
        <v>0</v>
      </c>
      <c r="T38" s="91">
        <f t="shared" ca="1" si="16"/>
        <v>0</v>
      </c>
    </row>
    <row r="39" spans="2:20" ht="24" customHeight="1" x14ac:dyDescent="0.2">
      <c r="B39" s="123" t="s">
        <v>199</v>
      </c>
      <c r="C39" s="852" t="s">
        <v>251</v>
      </c>
      <c r="D39" s="853"/>
      <c r="E39" s="449">
        <f ca="1">E35-E36-E37-E38</f>
        <v>0</v>
      </c>
      <c r="F39" s="450">
        <f t="shared" ca="1" si="9"/>
        <v>0</v>
      </c>
      <c r="G39" s="449">
        <f ca="1">G35-G36-G37-G38</f>
        <v>0</v>
      </c>
      <c r="H39" s="450">
        <f t="shared" ca="1" si="10"/>
        <v>0</v>
      </c>
      <c r="I39" s="449">
        <f ca="1">I35-I36-I37-I38</f>
        <v>0</v>
      </c>
      <c r="J39" s="450">
        <f t="shared" ca="1" si="11"/>
        <v>0</v>
      </c>
      <c r="K39" s="449">
        <f ca="1">K35-K36-K37-K38</f>
        <v>0</v>
      </c>
      <c r="L39" s="450">
        <f t="shared" ca="1" si="12"/>
        <v>0</v>
      </c>
      <c r="M39" s="449">
        <f ca="1">M35-M36-M37-M38</f>
        <v>0</v>
      </c>
      <c r="N39" s="450">
        <f t="shared" ca="1" si="13"/>
        <v>0</v>
      </c>
      <c r="O39" s="449">
        <f ca="1">O35-O36-O37-O38</f>
        <v>0</v>
      </c>
      <c r="P39" s="450">
        <f t="shared" ca="1" si="14"/>
        <v>0</v>
      </c>
      <c r="Q39" s="449">
        <f ca="1">Q35-Q36-Q37-Q38</f>
        <v>0</v>
      </c>
      <c r="R39" s="450">
        <f t="shared" ca="1" si="15"/>
        <v>0</v>
      </c>
      <c r="S39" s="449">
        <f ca="1">S35-S36-S37-S38</f>
        <v>0</v>
      </c>
      <c r="T39" s="450">
        <f t="shared" ca="1" si="16"/>
        <v>0</v>
      </c>
    </row>
    <row r="40" spans="2:20" ht="12" customHeight="1" x14ac:dyDescent="0.2">
      <c r="B40" s="123" t="s">
        <v>165</v>
      </c>
      <c r="C40" s="59" t="s">
        <v>146</v>
      </c>
      <c r="D40" s="90"/>
      <c r="E40" s="153">
        <v>0</v>
      </c>
      <c r="F40" s="91">
        <f t="shared" ca="1" si="9"/>
        <v>0</v>
      </c>
      <c r="G40" s="92">
        <f>'T2 Investoinnit, rahoitus'!F13+'T2 Investoinnit, rahoitus'!F19</f>
        <v>0</v>
      </c>
      <c r="H40" s="91">
        <f t="shared" ca="1" si="10"/>
        <v>0</v>
      </c>
      <c r="I40" s="92">
        <f>'T2 Investoinnit, rahoitus'!G13+'T2 Investoinnit, rahoitus'!G19</f>
        <v>0</v>
      </c>
      <c r="J40" s="91">
        <f t="shared" ca="1" si="11"/>
        <v>0</v>
      </c>
      <c r="K40" s="92">
        <f>'T2 Investoinnit, rahoitus'!H13+'T2 Investoinnit, rahoitus'!H19</f>
        <v>0</v>
      </c>
      <c r="L40" s="91">
        <f t="shared" ca="1" si="12"/>
        <v>0</v>
      </c>
      <c r="M40" s="92">
        <f>'T2 Investoinnit, rahoitus'!I13+'T2 Investoinnit, rahoitus'!I19</f>
        <v>0</v>
      </c>
      <c r="N40" s="91">
        <f t="shared" ca="1" si="13"/>
        <v>0</v>
      </c>
      <c r="O40" s="92">
        <f>'T2 Investoinnit, rahoitus'!J13+'T2 Investoinnit, rahoitus'!J19</f>
        <v>0</v>
      </c>
      <c r="P40" s="91">
        <f t="shared" ca="1" si="14"/>
        <v>0</v>
      </c>
      <c r="Q40" s="92">
        <f>'T2 Investoinnit, rahoitus'!K13+'T2 Investoinnit, rahoitus'!K19</f>
        <v>0</v>
      </c>
      <c r="R40" s="91">
        <f t="shared" ca="1" si="15"/>
        <v>0</v>
      </c>
      <c r="S40" s="92">
        <f>'T2 Investoinnit, rahoitus'!L13+'T2 Investoinnit, rahoitus'!L19</f>
        <v>0</v>
      </c>
      <c r="T40" s="91">
        <f t="shared" ca="1" si="16"/>
        <v>0</v>
      </c>
    </row>
    <row r="41" spans="2:20" ht="12" customHeight="1" thickBot="1" x14ac:dyDescent="0.25">
      <c r="B41" s="88" t="s">
        <v>166</v>
      </c>
      <c r="C41" s="808" t="s">
        <v>150</v>
      </c>
      <c r="D41" s="809"/>
      <c r="E41" s="542">
        <f ca="1">IF(E35-E36-E37-E40&lt;0,0,E35-E36-E37-E38-E40)</f>
        <v>0</v>
      </c>
      <c r="F41" s="136">
        <f t="shared" ca="1" si="9"/>
        <v>0</v>
      </c>
      <c r="G41" s="135">
        <f ca="1">IF(G35-G36-G37-G40&lt;0,0,G35-G36-G37-G38-G40)</f>
        <v>0</v>
      </c>
      <c r="H41" s="136">
        <f t="shared" ca="1" si="10"/>
        <v>0</v>
      </c>
      <c r="I41" s="135">
        <f ca="1">IF(I35-I36-I37-I40&lt;0,0,I35-I36-I37-I38-I40)</f>
        <v>0</v>
      </c>
      <c r="J41" s="136">
        <f t="shared" ca="1" si="11"/>
        <v>0</v>
      </c>
      <c r="K41" s="135">
        <f ca="1">IF(K35-K36-K37-K40&lt;0,0,K35-K36-K37-K38-K40)</f>
        <v>0</v>
      </c>
      <c r="L41" s="136">
        <f t="shared" ca="1" si="12"/>
        <v>0</v>
      </c>
      <c r="M41" s="135">
        <f ca="1">IF(M35-M36-M37-M40&lt;0,0,M35-M36-M37-M38-M40)</f>
        <v>0</v>
      </c>
      <c r="N41" s="136">
        <f t="shared" ca="1" si="13"/>
        <v>0</v>
      </c>
      <c r="O41" s="135">
        <f ca="1">IF(O35-O36-O37-O40&lt;0,0,O35-O36-O37-O38-O40)</f>
        <v>0</v>
      </c>
      <c r="P41" s="136">
        <f t="shared" ca="1" si="14"/>
        <v>0</v>
      </c>
      <c r="Q41" s="135">
        <f ca="1">IF(Q35-Q36-Q37-Q40&lt;0,0,Q35-Q36-Q37-Q38-Q40)</f>
        <v>0</v>
      </c>
      <c r="R41" s="136">
        <f t="shared" ca="1" si="15"/>
        <v>0</v>
      </c>
      <c r="S41" s="135">
        <f ca="1">IF(S35-S36-S37-S40&lt;0,0,S35-S36-S37-S38-S40)</f>
        <v>0</v>
      </c>
      <c r="T41" s="136">
        <f t="shared" ca="1" si="16"/>
        <v>0</v>
      </c>
    </row>
    <row r="42" spans="2:20" ht="12" customHeight="1" thickBot="1" x14ac:dyDescent="0.25">
      <c r="B42" s="89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2:20" ht="12" customHeight="1" x14ac:dyDescent="0.2">
      <c r="B43" s="89"/>
      <c r="C43" s="802" t="s">
        <v>197</v>
      </c>
      <c r="D43" s="803"/>
      <c r="E43" s="798"/>
      <c r="F43" s="798"/>
      <c r="G43" s="799">
        <f>'T2 Investoinnit, rahoitus'!F145</f>
        <v>0</v>
      </c>
      <c r="H43" s="799"/>
      <c r="I43" s="799">
        <f>'T2 Investoinnit, rahoitus'!G145</f>
        <v>0</v>
      </c>
      <c r="J43" s="799"/>
      <c r="K43" s="799">
        <f>'T2 Investoinnit, rahoitus'!H145</f>
        <v>0</v>
      </c>
      <c r="L43" s="799"/>
      <c r="M43" s="799">
        <f>'T2 Investoinnit, rahoitus'!I145</f>
        <v>0</v>
      </c>
      <c r="N43" s="799"/>
      <c r="O43" s="799">
        <f>'T2 Investoinnit, rahoitus'!J145</f>
        <v>0</v>
      </c>
      <c r="P43" s="799"/>
      <c r="Q43" s="799">
        <f>'T2 Investoinnit, rahoitus'!K145</f>
        <v>0</v>
      </c>
      <c r="R43" s="799"/>
      <c r="S43" s="799">
        <f>'T2 Investoinnit, rahoitus'!L145</f>
        <v>0</v>
      </c>
      <c r="T43" s="799"/>
    </row>
    <row r="45" spans="2:20" x14ac:dyDescent="0.2">
      <c r="C45" s="267" t="str">
        <f>Ohjeet!E18</f>
        <v>Palvelun tarjoaa:</v>
      </c>
      <c r="D45" s="60" t="str">
        <f>Ohjeet!F19</f>
        <v>Seinäjoen kaupungin maaseutupalvelut</v>
      </c>
      <c r="T45" s="375" t="s">
        <v>242</v>
      </c>
    </row>
    <row r="46" spans="2:20" x14ac:dyDescent="0.2">
      <c r="C46" s="60"/>
    </row>
    <row r="47" spans="2:20" x14ac:dyDescent="0.2">
      <c r="C47" s="60"/>
    </row>
    <row r="48" spans="2:20" x14ac:dyDescent="0.2">
      <c r="C48" s="60"/>
    </row>
    <row r="49" spans="2:20" ht="13.5" thickBot="1" x14ac:dyDescent="0.25">
      <c r="B49" s="87" t="s">
        <v>117</v>
      </c>
      <c r="C49" s="60"/>
      <c r="D49" s="60"/>
      <c r="E49" s="60" t="s">
        <v>54</v>
      </c>
      <c r="F49" s="60"/>
      <c r="G49" s="60"/>
      <c r="H49" s="60"/>
      <c r="I49" s="60"/>
      <c r="J49" s="60" t="s">
        <v>52</v>
      </c>
      <c r="K49" s="60" t="s">
        <v>0</v>
      </c>
      <c r="L49" s="60"/>
      <c r="M49" s="87" t="s">
        <v>110</v>
      </c>
      <c r="N49" s="87"/>
      <c r="O49" s="60"/>
      <c r="P49" s="60"/>
      <c r="Q49" s="60"/>
      <c r="R49" s="60"/>
      <c r="S49" s="60"/>
    </row>
    <row r="50" spans="2:20" ht="13.5" thickBot="1" x14ac:dyDescent="0.25">
      <c r="B50" s="789">
        <f>B5</f>
        <v>0</v>
      </c>
      <c r="C50" s="790"/>
      <c r="D50" s="791"/>
      <c r="E50" s="792">
        <f>E5</f>
        <v>0</v>
      </c>
      <c r="F50" s="793"/>
      <c r="G50" s="793"/>
      <c r="H50" s="793"/>
      <c r="I50" s="794"/>
      <c r="J50" s="795">
        <f>J5</f>
        <v>0</v>
      </c>
      <c r="K50" s="796"/>
      <c r="L50" s="797"/>
      <c r="M50" s="800" t="str">
        <f>M5</f>
        <v xml:space="preserve"> </v>
      </c>
      <c r="N50" s="800"/>
      <c r="O50" s="800"/>
      <c r="P50" s="800"/>
      <c r="Q50" s="800"/>
      <c r="R50" s="800"/>
      <c r="S50" s="800"/>
      <c r="T50" s="801"/>
    </row>
    <row r="51" spans="2:20" x14ac:dyDescent="0.2">
      <c r="B51" s="200"/>
      <c r="C51" s="200"/>
      <c r="D51" s="200"/>
      <c r="E51" s="201"/>
      <c r="F51" s="201"/>
      <c r="G51" s="201"/>
      <c r="H51" s="201"/>
      <c r="I51" s="201"/>
      <c r="J51" s="198"/>
      <c r="K51" s="202"/>
      <c r="L51" s="202"/>
      <c r="M51" s="203"/>
      <c r="N51" s="203"/>
      <c r="O51" s="203"/>
      <c r="P51" s="203"/>
      <c r="Q51" s="203"/>
      <c r="R51" s="203"/>
      <c r="S51" s="203"/>
      <c r="T51" s="203"/>
    </row>
    <row r="52" spans="2:20" x14ac:dyDescent="0.2">
      <c r="B52" s="200"/>
      <c r="C52" s="200"/>
      <c r="D52" s="200"/>
      <c r="E52" s="201"/>
      <c r="F52" s="201"/>
      <c r="G52" s="201"/>
      <c r="H52" s="201"/>
      <c r="I52" s="201"/>
      <c r="J52" s="198"/>
      <c r="K52" s="202"/>
      <c r="L52" s="202"/>
      <c r="M52" s="203"/>
      <c r="N52" s="203"/>
      <c r="O52" s="203"/>
      <c r="P52" s="203"/>
      <c r="Q52" s="203"/>
      <c r="R52" s="203"/>
      <c r="S52" s="203"/>
      <c r="T52" s="203"/>
    </row>
    <row r="53" spans="2:20" x14ac:dyDescent="0.2">
      <c r="B53" s="200"/>
      <c r="C53" s="200"/>
      <c r="D53" s="200"/>
      <c r="E53" s="201"/>
      <c r="F53" s="201"/>
      <c r="G53" s="201"/>
      <c r="H53" s="201"/>
      <c r="I53" s="201"/>
      <c r="J53" s="198"/>
      <c r="K53" s="202"/>
      <c r="L53" s="202"/>
      <c r="M53" s="203"/>
      <c r="N53" s="203"/>
      <c r="O53" s="203"/>
      <c r="P53" s="203"/>
      <c r="Q53" s="203"/>
      <c r="R53" s="203"/>
      <c r="S53" s="203"/>
      <c r="T53" s="203"/>
    </row>
    <row r="54" spans="2:20" ht="18" x14ac:dyDescent="0.2">
      <c r="B54" s="200"/>
      <c r="C54" s="200"/>
      <c r="D54" s="204" t="s">
        <v>164</v>
      </c>
      <c r="F54" s="201"/>
      <c r="G54" s="201"/>
      <c r="H54" s="201"/>
      <c r="I54" s="201"/>
      <c r="J54" s="198"/>
      <c r="K54" s="202"/>
      <c r="L54" s="202"/>
      <c r="M54" s="203"/>
      <c r="N54" s="203"/>
      <c r="O54" s="203"/>
      <c r="P54" s="203"/>
      <c r="Q54" s="203"/>
      <c r="R54" s="203"/>
      <c r="S54" s="203"/>
      <c r="T54" s="203"/>
    </row>
    <row r="55" spans="2:20" ht="18" x14ac:dyDescent="0.2">
      <c r="B55" s="200"/>
      <c r="C55" s="200"/>
      <c r="D55" s="204"/>
      <c r="F55" s="201"/>
      <c r="G55" s="201"/>
      <c r="H55" s="201"/>
      <c r="I55" s="201"/>
      <c r="J55" s="198"/>
      <c r="K55" s="202"/>
      <c r="L55" s="202"/>
      <c r="M55" s="203"/>
      <c r="N55" s="203"/>
      <c r="O55" s="203"/>
      <c r="P55" s="203"/>
      <c r="Q55" s="203"/>
      <c r="R55" s="203"/>
      <c r="S55" s="203"/>
      <c r="T55" s="203"/>
    </row>
    <row r="81" spans="3:20" x14ac:dyDescent="0.2">
      <c r="T81" s="267" t="str">
        <f>T45</f>
        <v>Tuotanto: Jadelcons Oy</v>
      </c>
    </row>
    <row r="84" spans="3:20" x14ac:dyDescent="0.2">
      <c r="C84" s="380" t="s">
        <v>240</v>
      </c>
    </row>
    <row r="85" spans="3:20" x14ac:dyDescent="0.2">
      <c r="C85" s="157" t="s">
        <v>241</v>
      </c>
    </row>
    <row r="86" spans="3:20" x14ac:dyDescent="0.2">
      <c r="C86" s="157" t="s">
        <v>254</v>
      </c>
    </row>
  </sheetData>
  <sheetProtection password="9675" sheet="1" objects="1" scenarios="1" selectLockedCells="1"/>
  <mergeCells count="165">
    <mergeCell ref="C39:D39"/>
    <mergeCell ref="C38:D38"/>
    <mergeCell ref="Q9:R9"/>
    <mergeCell ref="M43:N43"/>
    <mergeCell ref="O43:P43"/>
    <mergeCell ref="Q43:R43"/>
    <mergeCell ref="Q11:R11"/>
    <mergeCell ref="Q12:R12"/>
    <mergeCell ref="M14:N14"/>
    <mergeCell ref="O14:P14"/>
    <mergeCell ref="Q14:R14"/>
    <mergeCell ref="O18:P18"/>
    <mergeCell ref="S43:T43"/>
    <mergeCell ref="J5:L5"/>
    <mergeCell ref="M5:T5"/>
    <mergeCell ref="O24:P24"/>
    <mergeCell ref="M24:N24"/>
    <mergeCell ref="S7:T7"/>
    <mergeCell ref="S8:T8"/>
    <mergeCell ref="S24:T24"/>
    <mergeCell ref="O7:P7"/>
    <mergeCell ref="O8:P8"/>
    <mergeCell ref="Q24:R24"/>
    <mergeCell ref="K7:L7"/>
    <mergeCell ref="G24:H24"/>
    <mergeCell ref="I24:J24"/>
    <mergeCell ref="K24:L24"/>
    <mergeCell ref="Q7:R7"/>
    <mergeCell ref="Q8:R8"/>
    <mergeCell ref="I10:J10"/>
    <mergeCell ref="E12:F12"/>
    <mergeCell ref="I9:J9"/>
    <mergeCell ref="G7:H7"/>
    <mergeCell ref="G8:H8"/>
    <mergeCell ref="K8:L8"/>
    <mergeCell ref="M7:N7"/>
    <mergeCell ref="M8:N8"/>
    <mergeCell ref="K10:L10"/>
    <mergeCell ref="M10:N10"/>
    <mergeCell ref="E7:F7"/>
    <mergeCell ref="E8:F8"/>
    <mergeCell ref="E9:F9"/>
    <mergeCell ref="E10:F10"/>
    <mergeCell ref="G9:H9"/>
    <mergeCell ref="O11:P11"/>
    <mergeCell ref="K9:L9"/>
    <mergeCell ref="M9:N9"/>
    <mergeCell ref="O9:P9"/>
    <mergeCell ref="I8:J8"/>
    <mergeCell ref="E21:F21"/>
    <mergeCell ref="E22:F22"/>
    <mergeCell ref="E15:F15"/>
    <mergeCell ref="B5:D5"/>
    <mergeCell ref="E5:I5"/>
    <mergeCell ref="B24:D25"/>
    <mergeCell ref="E24:F24"/>
    <mergeCell ref="E11:F11"/>
    <mergeCell ref="G10:H10"/>
    <mergeCell ref="G21:H21"/>
    <mergeCell ref="E19:F19"/>
    <mergeCell ref="B7:D8"/>
    <mergeCell ref="O10:P10"/>
    <mergeCell ref="Q10:R10"/>
    <mergeCell ref="S10:T10"/>
    <mergeCell ref="G11:H11"/>
    <mergeCell ref="I11:J11"/>
    <mergeCell ref="K11:L11"/>
    <mergeCell ref="M11:N11"/>
    <mergeCell ref="I7:J7"/>
    <mergeCell ref="S12:T12"/>
    <mergeCell ref="G12:H12"/>
    <mergeCell ref="I12:J12"/>
    <mergeCell ref="K12:L12"/>
    <mergeCell ref="M12:N12"/>
    <mergeCell ref="O12:P12"/>
    <mergeCell ref="E14:F14"/>
    <mergeCell ref="G13:H13"/>
    <mergeCell ref="I13:J13"/>
    <mergeCell ref="K13:L13"/>
    <mergeCell ref="M13:N13"/>
    <mergeCell ref="I18:J18"/>
    <mergeCell ref="K18:L18"/>
    <mergeCell ref="M18:N18"/>
    <mergeCell ref="E18:F18"/>
    <mergeCell ref="E13:F13"/>
    <mergeCell ref="Q18:R18"/>
    <mergeCell ref="S14:T14"/>
    <mergeCell ref="I15:J15"/>
    <mergeCell ref="K15:L15"/>
    <mergeCell ref="M15:N15"/>
    <mergeCell ref="O15:P15"/>
    <mergeCell ref="K17:L17"/>
    <mergeCell ref="M17:N17"/>
    <mergeCell ref="O17:P17"/>
    <mergeCell ref="Q17:R17"/>
    <mergeCell ref="S21:T21"/>
    <mergeCell ref="S18:T18"/>
    <mergeCell ref="G19:H19"/>
    <mergeCell ref="I19:J19"/>
    <mergeCell ref="K19:L19"/>
    <mergeCell ref="M19:N19"/>
    <mergeCell ref="O19:P19"/>
    <mergeCell ref="Q19:R19"/>
    <mergeCell ref="S19:T19"/>
    <mergeCell ref="G18:H18"/>
    <mergeCell ref="I22:J22"/>
    <mergeCell ref="K22:L22"/>
    <mergeCell ref="M22:N22"/>
    <mergeCell ref="O22:P22"/>
    <mergeCell ref="Q22:R22"/>
    <mergeCell ref="I21:J21"/>
    <mergeCell ref="K21:L21"/>
    <mergeCell ref="M21:N21"/>
    <mergeCell ref="O21:P21"/>
    <mergeCell ref="Q21:R21"/>
    <mergeCell ref="S22:T22"/>
    <mergeCell ref="E20:F20"/>
    <mergeCell ref="G20:H20"/>
    <mergeCell ref="I20:J20"/>
    <mergeCell ref="K20:L20"/>
    <mergeCell ref="M20:N20"/>
    <mergeCell ref="O20:P20"/>
    <mergeCell ref="Q20:R20"/>
    <mergeCell ref="S20:T20"/>
    <mergeCell ref="G22:H22"/>
    <mergeCell ref="C9:D9"/>
    <mergeCell ref="B16:D17"/>
    <mergeCell ref="E16:F16"/>
    <mergeCell ref="G16:H16"/>
    <mergeCell ref="I16:J16"/>
    <mergeCell ref="K16:L16"/>
    <mergeCell ref="G15:H15"/>
    <mergeCell ref="G14:H14"/>
    <mergeCell ref="I14:J14"/>
    <mergeCell ref="K14:L14"/>
    <mergeCell ref="S17:T17"/>
    <mergeCell ref="S9:T9"/>
    <mergeCell ref="M16:N16"/>
    <mergeCell ref="O16:P16"/>
    <mergeCell ref="Q15:R15"/>
    <mergeCell ref="S15:T15"/>
    <mergeCell ref="S11:T11"/>
    <mergeCell ref="O13:P13"/>
    <mergeCell ref="Q13:R13"/>
    <mergeCell ref="S13:T13"/>
    <mergeCell ref="M50:T50"/>
    <mergeCell ref="C43:D43"/>
    <mergeCell ref="C14:D14"/>
    <mergeCell ref="C15:D15"/>
    <mergeCell ref="C41:D41"/>
    <mergeCell ref="Q16:R16"/>
    <mergeCell ref="S16:T16"/>
    <mergeCell ref="E17:F17"/>
    <mergeCell ref="G17:H17"/>
    <mergeCell ref="I17:J17"/>
    <mergeCell ref="C32:D32"/>
    <mergeCell ref="C34:D34"/>
    <mergeCell ref="C33:D33"/>
    <mergeCell ref="B50:D50"/>
    <mergeCell ref="E50:I50"/>
    <mergeCell ref="J50:L50"/>
    <mergeCell ref="E43:F43"/>
    <mergeCell ref="G43:H43"/>
    <mergeCell ref="I43:J43"/>
    <mergeCell ref="K43:L43"/>
  </mergeCells>
  <printOptions horizontalCentered="1" verticalCentered="1"/>
  <pageMargins left="0.39370078740157483" right="0.31496062992125984" top="0.27559055118110237" bottom="0.35433070866141736" header="0.23622047244094491" footer="0.31496062992125984"/>
  <pageSetup paperSize="9" scale="95" orientation="landscape" r:id="rId1"/>
  <rowBreaks count="1" manualBreakCount="1">
    <brk id="45" min="1" max="19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2">
    <tabColor theme="3"/>
  </sheetPr>
  <dimension ref="A1:X441"/>
  <sheetViews>
    <sheetView showGridLines="0" showZeros="0" defaultGridColor="0" colorId="55" zoomScaleNormal="100" workbookViewId="0">
      <selection activeCell="E8" sqref="E8"/>
    </sheetView>
  </sheetViews>
  <sheetFormatPr defaultRowHeight="12.75" x14ac:dyDescent="0.2"/>
  <cols>
    <col min="1" max="1" width="8.85546875" customWidth="1"/>
    <col min="2" max="2" width="3" style="43" customWidth="1"/>
    <col min="3" max="3" width="20.28515625" customWidth="1"/>
    <col min="4" max="4" width="12.140625" customWidth="1"/>
    <col min="5" max="12" width="8.85546875" customWidth="1"/>
    <col min="13" max="13" width="2.7109375" customWidth="1"/>
    <col min="26" max="26" width="10.42578125" bestFit="1" customWidth="1"/>
    <col min="27" max="27" width="12.5703125" customWidth="1"/>
    <col min="28" max="29" width="9.7109375" bestFit="1" customWidth="1"/>
  </cols>
  <sheetData>
    <row r="1" spans="1:24" ht="17.25" customHeight="1" x14ac:dyDescent="0.2">
      <c r="R1" s="372"/>
    </row>
    <row r="2" spans="1:24" s="60" customFormat="1" ht="13.5" thickBot="1" x14ac:dyDescent="0.25">
      <c r="B2" s="80" t="s">
        <v>53</v>
      </c>
      <c r="E2" s="60" t="s">
        <v>54</v>
      </c>
      <c r="H2" s="60" t="s">
        <v>52</v>
      </c>
      <c r="R2" s="373"/>
    </row>
    <row r="3" spans="1:24" ht="13.5" thickBot="1" x14ac:dyDescent="0.25">
      <c r="B3" s="789">
        <f>'T1 Taloussuunnitelma'!B5:D5</f>
        <v>0</v>
      </c>
      <c r="C3" s="790"/>
      <c r="D3" s="791"/>
      <c r="E3" s="792">
        <f>'T1 Taloussuunnitelma'!E5:I5</f>
        <v>0</v>
      </c>
      <c r="F3" s="793"/>
      <c r="G3" s="794"/>
      <c r="H3" s="795">
        <f>'T1 Taloussuunnitelma'!J5</f>
        <v>0</v>
      </c>
      <c r="I3" s="874"/>
      <c r="K3" s="61"/>
      <c r="L3" s="61"/>
      <c r="R3" s="373"/>
    </row>
    <row r="4" spans="1:24" ht="6" customHeight="1" thickBot="1" x14ac:dyDescent="0.25">
      <c r="R4" s="875"/>
      <c r="S4" s="875"/>
      <c r="T4" s="875"/>
      <c r="U4" s="875"/>
      <c r="V4" s="875"/>
      <c r="W4" s="875"/>
    </row>
    <row r="5" spans="1:24" ht="11.25" customHeight="1" x14ac:dyDescent="0.2">
      <c r="B5" s="864" t="s">
        <v>57</v>
      </c>
      <c r="C5" s="865"/>
      <c r="D5" s="866"/>
      <c r="E5" s="669" t="s">
        <v>49</v>
      </c>
      <c r="F5" s="669" t="s">
        <v>8</v>
      </c>
      <c r="G5" s="669" t="s">
        <v>28</v>
      </c>
      <c r="H5" s="669" t="s">
        <v>25</v>
      </c>
      <c r="I5" s="669" t="s">
        <v>32</v>
      </c>
      <c r="J5" s="669" t="s">
        <v>33</v>
      </c>
      <c r="K5" s="669" t="s">
        <v>34</v>
      </c>
      <c r="L5" s="670" t="s">
        <v>40</v>
      </c>
      <c r="N5" s="4"/>
      <c r="R5" s="875"/>
      <c r="S5" s="875"/>
      <c r="T5" s="875"/>
      <c r="U5" s="875"/>
      <c r="V5" s="875"/>
      <c r="W5" s="875"/>
    </row>
    <row r="6" spans="1:24" ht="12" customHeight="1" thickBot="1" x14ac:dyDescent="0.25">
      <c r="B6" s="867"/>
      <c r="C6" s="868"/>
      <c r="D6" s="869"/>
      <c r="E6" s="671">
        <f>'T1 Taloussuunnitelma'!E8:F8</f>
        <v>2015</v>
      </c>
      <c r="F6" s="671">
        <f t="shared" ref="F6:L6" si="0">E6+1</f>
        <v>2016</v>
      </c>
      <c r="G6" s="671">
        <f t="shared" si="0"/>
        <v>2017</v>
      </c>
      <c r="H6" s="671">
        <f t="shared" si="0"/>
        <v>2018</v>
      </c>
      <c r="I6" s="671">
        <f t="shared" si="0"/>
        <v>2019</v>
      </c>
      <c r="J6" s="671">
        <f t="shared" si="0"/>
        <v>2020</v>
      </c>
      <c r="K6" s="671">
        <f t="shared" si="0"/>
        <v>2021</v>
      </c>
      <c r="L6" s="672">
        <f t="shared" si="0"/>
        <v>2022</v>
      </c>
      <c r="N6" s="452" t="s">
        <v>56</v>
      </c>
    </row>
    <row r="7" spans="1:24" ht="12.75" customHeight="1" thickBot="1" x14ac:dyDescent="0.25">
      <c r="B7" s="515" t="s">
        <v>266</v>
      </c>
      <c r="C7" s="489"/>
      <c r="D7" s="489"/>
      <c r="E7" s="490"/>
      <c r="F7" s="490"/>
      <c r="G7" s="490"/>
      <c r="H7" s="490"/>
      <c r="I7" s="490"/>
      <c r="J7" s="490"/>
      <c r="K7" s="490"/>
      <c r="L7" s="491"/>
      <c r="N7" s="492" t="s">
        <v>120</v>
      </c>
      <c r="O7" s="493"/>
      <c r="P7" s="493"/>
      <c r="Q7" s="494"/>
      <c r="R7" s="494"/>
      <c r="S7" s="494"/>
      <c r="T7" s="494"/>
      <c r="U7" s="494"/>
      <c r="V7" s="494"/>
      <c r="W7" s="495"/>
      <c r="X7" s="451"/>
    </row>
    <row r="8" spans="1:24" s="146" customFormat="1" ht="12" customHeight="1" x14ac:dyDescent="0.2">
      <c r="B8" s="95" t="s">
        <v>15</v>
      </c>
      <c r="C8" s="145" t="s">
        <v>301</v>
      </c>
      <c r="D8" s="145"/>
      <c r="E8" s="101">
        <v>0</v>
      </c>
      <c r="F8" s="225">
        <f>IF((F9+(1-F11)*F10/(1+F$23)-F13)&lt;0,0,F9+(1-F11)*F10/(1+F$23)-F13)</f>
        <v>0</v>
      </c>
      <c r="G8" s="225">
        <f t="shared" ref="G8:L8" si="1">IF((G9+(1-G11)*G10/(1+G$23)-G13)&lt;0,0,G9+(1-G11)*G10/(1+G$23)-G13)</f>
        <v>0</v>
      </c>
      <c r="H8" s="225">
        <f t="shared" si="1"/>
        <v>0</v>
      </c>
      <c r="I8" s="225">
        <f t="shared" si="1"/>
        <v>0</v>
      </c>
      <c r="J8" s="225">
        <f t="shared" si="1"/>
        <v>0</v>
      </c>
      <c r="K8" s="225">
        <f t="shared" si="1"/>
        <v>0</v>
      </c>
      <c r="L8" s="226">
        <f t="shared" si="1"/>
        <v>0</v>
      </c>
      <c r="N8" s="366"/>
      <c r="O8" s="365"/>
      <c r="P8" s="365"/>
      <c r="Q8" s="365"/>
      <c r="R8" s="365"/>
      <c r="S8" s="365"/>
      <c r="T8" s="365"/>
      <c r="U8" s="365"/>
      <c r="V8" s="365"/>
      <c r="W8" s="159"/>
    </row>
    <row r="9" spans="1:24" s="163" customFormat="1" ht="12" customHeight="1" x14ac:dyDescent="0.2">
      <c r="A9" s="182"/>
      <c r="B9" s="160"/>
      <c r="C9" s="161" t="s">
        <v>41</v>
      </c>
      <c r="D9" s="162"/>
      <c r="E9" s="561"/>
      <c r="F9" s="227">
        <f t="shared" ref="F9:L9" si="2">E8</f>
        <v>0</v>
      </c>
      <c r="G9" s="227">
        <f t="shared" si="2"/>
        <v>0</v>
      </c>
      <c r="H9" s="227">
        <f t="shared" si="2"/>
        <v>0</v>
      </c>
      <c r="I9" s="227">
        <f t="shared" si="2"/>
        <v>0</v>
      </c>
      <c r="J9" s="227">
        <f t="shared" si="2"/>
        <v>0</v>
      </c>
      <c r="K9" s="227">
        <f t="shared" si="2"/>
        <v>0</v>
      </c>
      <c r="L9" s="228">
        <f t="shared" si="2"/>
        <v>0</v>
      </c>
      <c r="N9" s="381"/>
      <c r="O9" s="365"/>
      <c r="P9" s="365"/>
      <c r="Q9" s="365"/>
      <c r="R9" s="365"/>
      <c r="S9" s="365"/>
      <c r="T9" s="365"/>
      <c r="U9" s="365"/>
      <c r="V9" s="365"/>
      <c r="W9" s="159"/>
    </row>
    <row r="10" spans="1:24" s="163" customFormat="1" ht="12" customHeight="1" x14ac:dyDescent="0.2">
      <c r="A10"/>
      <c r="B10" s="160"/>
      <c r="C10" s="161" t="s">
        <v>245</v>
      </c>
      <c r="D10" s="162"/>
      <c r="E10" s="561"/>
      <c r="F10" s="229">
        <v>0</v>
      </c>
      <c r="G10" s="229">
        <v>0</v>
      </c>
      <c r="H10" s="229">
        <v>0</v>
      </c>
      <c r="I10" s="229">
        <v>0</v>
      </c>
      <c r="J10" s="229">
        <v>0</v>
      </c>
      <c r="K10" s="229">
        <v>0</v>
      </c>
      <c r="L10" s="230">
        <v>0</v>
      </c>
      <c r="N10" s="366"/>
      <c r="O10" s="365"/>
      <c r="P10" s="365"/>
      <c r="Q10" s="365"/>
      <c r="R10" s="365"/>
      <c r="S10" s="365"/>
      <c r="T10" s="365"/>
      <c r="U10" s="365"/>
      <c r="V10" s="365"/>
      <c r="W10" s="159"/>
    </row>
    <row r="11" spans="1:24" s="163" customFormat="1" ht="12" customHeight="1" x14ac:dyDescent="0.2">
      <c r="A11" s="182"/>
      <c r="B11" s="160"/>
      <c r="C11" s="161" t="s">
        <v>179</v>
      </c>
      <c r="D11" s="162"/>
      <c r="E11" s="561"/>
      <c r="F11" s="231">
        <v>0</v>
      </c>
      <c r="G11" s="231">
        <v>0</v>
      </c>
      <c r="H11" s="231">
        <v>0</v>
      </c>
      <c r="I11" s="231">
        <v>0</v>
      </c>
      <c r="J11" s="231">
        <v>0</v>
      </c>
      <c r="K11" s="231">
        <v>0</v>
      </c>
      <c r="L11" s="232">
        <v>0</v>
      </c>
      <c r="N11" s="366"/>
      <c r="O11" s="365"/>
      <c r="P11" s="365"/>
      <c r="Q11" s="365"/>
      <c r="R11" s="365"/>
      <c r="S11" s="365"/>
      <c r="T11" s="365"/>
      <c r="U11" s="365"/>
      <c r="V11" s="365"/>
      <c r="W11" s="159"/>
    </row>
    <row r="12" spans="1:24" s="163" customFormat="1" ht="12" customHeight="1" x14ac:dyDescent="0.2">
      <c r="B12" s="160"/>
      <c r="C12" s="161" t="s">
        <v>42</v>
      </c>
      <c r="D12" s="162"/>
      <c r="E12" s="562"/>
      <c r="F12" s="231">
        <v>0.1</v>
      </c>
      <c r="G12" s="231">
        <f t="shared" ref="G12:L12" si="3">F12</f>
        <v>0.1</v>
      </c>
      <c r="H12" s="231">
        <f t="shared" si="3"/>
        <v>0.1</v>
      </c>
      <c r="I12" s="231">
        <f t="shared" si="3"/>
        <v>0.1</v>
      </c>
      <c r="J12" s="231">
        <f t="shared" si="3"/>
        <v>0.1</v>
      </c>
      <c r="K12" s="231">
        <f t="shared" si="3"/>
        <v>0.1</v>
      </c>
      <c r="L12" s="232">
        <f t="shared" si="3"/>
        <v>0.1</v>
      </c>
      <c r="N12" s="366"/>
      <c r="O12" s="365"/>
      <c r="P12" s="365"/>
      <c r="Q12" s="365"/>
      <c r="R12" s="365"/>
      <c r="S12" s="365"/>
      <c r="T12" s="365"/>
      <c r="U12" s="365"/>
      <c r="V12" s="365"/>
      <c r="W12" s="159"/>
    </row>
    <row r="13" spans="1:24" s="163" customFormat="1" ht="12" customHeight="1" thickBot="1" x14ac:dyDescent="0.25">
      <c r="B13" s="164"/>
      <c r="C13" s="165" t="s">
        <v>43</v>
      </c>
      <c r="D13" s="166"/>
      <c r="E13" s="563"/>
      <c r="F13" s="233">
        <f t="shared" ref="F13:L13" si="4">((F9+F10/(1+F23)*(1-F11))*F12)</f>
        <v>0</v>
      </c>
      <c r="G13" s="233">
        <f t="shared" si="4"/>
        <v>0</v>
      </c>
      <c r="H13" s="233">
        <f t="shared" si="4"/>
        <v>0</v>
      </c>
      <c r="I13" s="233">
        <f t="shared" si="4"/>
        <v>0</v>
      </c>
      <c r="J13" s="233">
        <f t="shared" si="4"/>
        <v>0</v>
      </c>
      <c r="K13" s="233">
        <f t="shared" si="4"/>
        <v>0</v>
      </c>
      <c r="L13" s="234">
        <f t="shared" si="4"/>
        <v>0</v>
      </c>
      <c r="N13" s="366"/>
      <c r="O13" s="365"/>
      <c r="P13" s="365"/>
      <c r="Q13" s="365"/>
      <c r="R13" s="365"/>
      <c r="S13" s="365"/>
      <c r="T13" s="365"/>
      <c r="U13" s="365"/>
      <c r="V13" s="365"/>
      <c r="W13" s="159"/>
    </row>
    <row r="14" spans="1:24" s="79" customFormat="1" ht="12" customHeight="1" x14ac:dyDescent="0.2">
      <c r="B14" s="95" t="s">
        <v>16</v>
      </c>
      <c r="C14" s="880" t="s">
        <v>89</v>
      </c>
      <c r="D14" s="881"/>
      <c r="E14" s="101">
        <v>0</v>
      </c>
      <c r="F14" s="225">
        <f>IF((F15+(1-F17)*F16/(1+F$23)-F19)&lt;0,0,F15+(1-F17)*F16/(1+F$23)-F19)</f>
        <v>0</v>
      </c>
      <c r="G14" s="225">
        <f t="shared" ref="G14:L14" si="5">IF((G15+(1-G17)*G16/(1+G$23)-G19)&lt;0,0,G15+(1-G17)*G16/(1+G$23)-G19)</f>
        <v>0</v>
      </c>
      <c r="H14" s="225">
        <f t="shared" si="5"/>
        <v>0</v>
      </c>
      <c r="I14" s="225">
        <f t="shared" si="5"/>
        <v>0</v>
      </c>
      <c r="J14" s="225">
        <f t="shared" si="5"/>
        <v>0</v>
      </c>
      <c r="K14" s="225">
        <f t="shared" si="5"/>
        <v>0</v>
      </c>
      <c r="L14" s="226">
        <f t="shared" si="5"/>
        <v>0</v>
      </c>
      <c r="N14" s="366"/>
      <c r="O14" s="365"/>
      <c r="P14" s="365"/>
      <c r="Q14" s="365"/>
      <c r="R14" s="365"/>
      <c r="S14" s="365"/>
      <c r="T14" s="365"/>
      <c r="U14" s="365"/>
      <c r="V14" s="365"/>
      <c r="W14" s="159"/>
    </row>
    <row r="15" spans="1:24" s="163" customFormat="1" ht="12" customHeight="1" x14ac:dyDescent="0.2">
      <c r="B15" s="167"/>
      <c r="C15" s="161" t="s">
        <v>41</v>
      </c>
      <c r="D15" s="162"/>
      <c r="E15" s="564"/>
      <c r="F15" s="237">
        <f t="shared" ref="F15:L15" si="6">E14</f>
        <v>0</v>
      </c>
      <c r="G15" s="237">
        <f t="shared" si="6"/>
        <v>0</v>
      </c>
      <c r="H15" s="237">
        <f t="shared" si="6"/>
        <v>0</v>
      </c>
      <c r="I15" s="237">
        <f t="shared" si="6"/>
        <v>0</v>
      </c>
      <c r="J15" s="237">
        <f t="shared" si="6"/>
        <v>0</v>
      </c>
      <c r="K15" s="237">
        <f t="shared" si="6"/>
        <v>0</v>
      </c>
      <c r="L15" s="238">
        <f t="shared" si="6"/>
        <v>0</v>
      </c>
      <c r="N15" s="366"/>
      <c r="O15" s="365"/>
      <c r="P15" s="365"/>
      <c r="Q15" s="365"/>
      <c r="R15" s="365"/>
      <c r="S15" s="365"/>
      <c r="T15" s="365"/>
      <c r="U15" s="365"/>
      <c r="V15" s="365"/>
      <c r="W15" s="159"/>
    </row>
    <row r="16" spans="1:24" s="163" customFormat="1" ht="12" customHeight="1" x14ac:dyDescent="0.2">
      <c r="B16" s="167"/>
      <c r="C16" s="161" t="s">
        <v>246</v>
      </c>
      <c r="D16" s="162"/>
      <c r="E16" s="564"/>
      <c r="F16" s="229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30">
        <v>0</v>
      </c>
      <c r="N16" s="366"/>
      <c r="O16" s="365"/>
      <c r="P16" s="365"/>
      <c r="Q16" s="365"/>
      <c r="R16" s="365"/>
      <c r="S16" s="365"/>
      <c r="T16" s="365"/>
      <c r="U16" s="365"/>
      <c r="V16" s="365"/>
      <c r="W16" s="159"/>
    </row>
    <row r="17" spans="1:23" s="163" customFormat="1" ht="12" customHeight="1" x14ac:dyDescent="0.2">
      <c r="B17" s="167"/>
      <c r="C17" s="161" t="s">
        <v>179</v>
      </c>
      <c r="D17" s="162"/>
      <c r="E17" s="561"/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2">
        <v>0</v>
      </c>
      <c r="N17" s="366"/>
      <c r="O17" s="365"/>
      <c r="P17" s="365"/>
      <c r="Q17" s="365"/>
      <c r="R17" s="365"/>
      <c r="S17" s="365"/>
      <c r="T17" s="365"/>
      <c r="U17" s="365"/>
      <c r="V17" s="365"/>
      <c r="W17" s="159"/>
    </row>
    <row r="18" spans="1:23" s="163" customFormat="1" ht="12" customHeight="1" x14ac:dyDescent="0.2">
      <c r="B18" s="167"/>
      <c r="C18" s="161" t="s">
        <v>42</v>
      </c>
      <c r="D18" s="162"/>
      <c r="E18" s="565"/>
      <c r="F18" s="231">
        <v>0.25</v>
      </c>
      <c r="G18" s="231">
        <f t="shared" ref="G18:L18" si="7">F18</f>
        <v>0.25</v>
      </c>
      <c r="H18" s="231">
        <f t="shared" si="7"/>
        <v>0.25</v>
      </c>
      <c r="I18" s="231">
        <f t="shared" si="7"/>
        <v>0.25</v>
      </c>
      <c r="J18" s="231">
        <f t="shared" si="7"/>
        <v>0.25</v>
      </c>
      <c r="K18" s="231">
        <f t="shared" si="7"/>
        <v>0.25</v>
      </c>
      <c r="L18" s="232">
        <f t="shared" si="7"/>
        <v>0.25</v>
      </c>
      <c r="N18" s="366"/>
      <c r="O18" s="365"/>
      <c r="P18" s="365"/>
      <c r="Q18" s="365"/>
      <c r="R18" s="365"/>
      <c r="S18" s="365"/>
      <c r="T18" s="365"/>
      <c r="U18" s="365"/>
      <c r="V18" s="365"/>
      <c r="W18" s="159"/>
    </row>
    <row r="19" spans="1:23" s="163" customFormat="1" ht="12" customHeight="1" thickBot="1" x14ac:dyDescent="0.25">
      <c r="B19" s="168"/>
      <c r="C19" s="165" t="s">
        <v>43</v>
      </c>
      <c r="D19" s="166"/>
      <c r="E19" s="566"/>
      <c r="F19" s="233">
        <f t="shared" ref="F19:L19" si="8">((F15+F16/(1+F23)*(1-F17))*F18)</f>
        <v>0</v>
      </c>
      <c r="G19" s="233">
        <f t="shared" si="8"/>
        <v>0</v>
      </c>
      <c r="H19" s="233">
        <f t="shared" si="8"/>
        <v>0</v>
      </c>
      <c r="I19" s="233">
        <f t="shared" si="8"/>
        <v>0</v>
      </c>
      <c r="J19" s="233">
        <f t="shared" si="8"/>
        <v>0</v>
      </c>
      <c r="K19" s="233">
        <f t="shared" si="8"/>
        <v>0</v>
      </c>
      <c r="L19" s="234">
        <f t="shared" si="8"/>
        <v>0</v>
      </c>
      <c r="N19" s="366"/>
      <c r="O19" s="365"/>
      <c r="P19" s="365"/>
      <c r="Q19" s="365" t="s">
        <v>0</v>
      </c>
      <c r="R19" s="365"/>
      <c r="S19" s="365"/>
      <c r="T19" s="365"/>
      <c r="U19" s="365"/>
      <c r="V19" s="365"/>
      <c r="W19" s="159"/>
    </row>
    <row r="20" spans="1:23" s="79" customFormat="1" ht="12" customHeight="1" x14ac:dyDescent="0.2">
      <c r="B20" s="97" t="s">
        <v>17</v>
      </c>
      <c r="C20" s="147" t="s">
        <v>133</v>
      </c>
      <c r="D20" s="148"/>
      <c r="E20" s="567"/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0</v>
      </c>
      <c r="L20" s="240">
        <v>0</v>
      </c>
      <c r="N20" s="366">
        <v>0</v>
      </c>
      <c r="O20" s="365"/>
      <c r="P20" s="365"/>
      <c r="Q20" s="365"/>
      <c r="R20" s="365"/>
      <c r="S20" s="365"/>
      <c r="T20" s="365"/>
      <c r="U20" s="365"/>
      <c r="V20" s="365"/>
      <c r="W20" s="159"/>
    </row>
    <row r="21" spans="1:23" s="163" customFormat="1" ht="12" customHeight="1" thickBot="1" x14ac:dyDescent="0.25">
      <c r="B21" s="167"/>
      <c r="C21" s="161" t="s">
        <v>179</v>
      </c>
      <c r="D21" s="162"/>
      <c r="E21" s="561"/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2">
        <v>0</v>
      </c>
      <c r="N21" s="366"/>
      <c r="O21" s="365"/>
      <c r="P21" s="365"/>
      <c r="Q21" s="365"/>
      <c r="R21" s="365"/>
      <c r="S21" s="365"/>
      <c r="T21" s="365"/>
      <c r="U21" s="365"/>
      <c r="V21" s="365"/>
      <c r="W21" s="159"/>
    </row>
    <row r="22" spans="1:23" s="79" customFormat="1" ht="12" customHeight="1" thickBot="1" x14ac:dyDescent="0.25">
      <c r="B22" s="98" t="s">
        <v>18</v>
      </c>
      <c r="C22" s="876" t="s">
        <v>238</v>
      </c>
      <c r="D22" s="877"/>
      <c r="E22" s="568"/>
      <c r="F22" s="241">
        <v>0</v>
      </c>
      <c r="G22" s="241"/>
      <c r="H22" s="241">
        <v>0</v>
      </c>
      <c r="I22" s="241">
        <v>0</v>
      </c>
      <c r="J22" s="241"/>
      <c r="K22" s="241">
        <v>0</v>
      </c>
      <c r="L22" s="242"/>
      <c r="N22" s="366"/>
      <c r="O22" s="365"/>
      <c r="P22" s="365"/>
      <c r="Q22" s="365"/>
      <c r="R22" s="365"/>
      <c r="S22" s="365"/>
      <c r="T22" s="365"/>
      <c r="U22" s="365"/>
      <c r="V22" s="365"/>
      <c r="W22" s="159"/>
    </row>
    <row r="23" spans="1:23" s="79" customFormat="1" ht="12" customHeight="1" thickBot="1" x14ac:dyDescent="0.25">
      <c r="B23" s="98"/>
      <c r="C23" s="878" t="s">
        <v>237</v>
      </c>
      <c r="D23" s="879"/>
      <c r="E23" s="569"/>
      <c r="F23" s="371">
        <v>0.24</v>
      </c>
      <c r="G23" s="371">
        <f t="shared" ref="G23:L23" si="9">F23</f>
        <v>0.24</v>
      </c>
      <c r="H23" s="371">
        <f t="shared" si="9"/>
        <v>0.24</v>
      </c>
      <c r="I23" s="371">
        <f t="shared" si="9"/>
        <v>0.24</v>
      </c>
      <c r="J23" s="371">
        <f t="shared" si="9"/>
        <v>0.24</v>
      </c>
      <c r="K23" s="371">
        <f t="shared" si="9"/>
        <v>0.24</v>
      </c>
      <c r="L23" s="379">
        <f t="shared" si="9"/>
        <v>0.24</v>
      </c>
      <c r="N23" s="366"/>
      <c r="O23" s="365"/>
      <c r="P23" s="365"/>
      <c r="Q23" s="365"/>
      <c r="R23" s="365"/>
      <c r="S23" s="365"/>
      <c r="T23" s="365"/>
      <c r="U23" s="365"/>
      <c r="V23" s="365"/>
      <c r="W23" s="159"/>
    </row>
    <row r="24" spans="1:23" s="79" customFormat="1" ht="12" customHeight="1" thickBot="1" x14ac:dyDescent="0.25">
      <c r="B24" s="149" t="s">
        <v>19</v>
      </c>
      <c r="C24" s="100" t="s">
        <v>131</v>
      </c>
      <c r="D24" s="99"/>
      <c r="E24" s="568"/>
      <c r="F24" s="241"/>
      <c r="G24" s="241"/>
      <c r="H24" s="241"/>
      <c r="I24" s="241"/>
      <c r="J24" s="241"/>
      <c r="K24" s="241"/>
      <c r="L24" s="242"/>
      <c r="N24" s="366"/>
      <c r="O24" s="365"/>
      <c r="P24" s="365"/>
      <c r="Q24" s="365"/>
      <c r="R24" s="365"/>
      <c r="S24" s="365"/>
      <c r="T24" s="365"/>
      <c r="U24" s="365"/>
      <c r="V24" s="365"/>
      <c r="W24" s="159"/>
    </row>
    <row r="25" spans="1:23" s="79" customFormat="1" ht="12" customHeight="1" thickBot="1" x14ac:dyDescent="0.25">
      <c r="B25" s="861" t="s">
        <v>90</v>
      </c>
      <c r="C25" s="862"/>
      <c r="D25" s="863"/>
      <c r="E25" s="570">
        <v>0</v>
      </c>
      <c r="F25" s="243">
        <f t="shared" ref="F25:L25" si="10">F10+F16+F20+F22+F24</f>
        <v>0</v>
      </c>
      <c r="G25" s="243">
        <f t="shared" si="10"/>
        <v>0</v>
      </c>
      <c r="H25" s="243">
        <f t="shared" si="10"/>
        <v>0</v>
      </c>
      <c r="I25" s="243">
        <f t="shared" si="10"/>
        <v>0</v>
      </c>
      <c r="J25" s="243">
        <f t="shared" si="10"/>
        <v>0</v>
      </c>
      <c r="K25" s="243">
        <f t="shared" si="10"/>
        <v>0</v>
      </c>
      <c r="L25" s="244">
        <f t="shared" si="10"/>
        <v>0</v>
      </c>
      <c r="N25" s="366"/>
      <c r="O25" s="365"/>
      <c r="P25" s="365"/>
      <c r="Q25" s="365"/>
      <c r="R25" s="365"/>
      <c r="S25" s="365"/>
      <c r="T25" s="365"/>
      <c r="U25" s="365"/>
      <c r="V25" s="365"/>
      <c r="W25" s="159"/>
    </row>
    <row r="26" spans="1:23" s="79" customFormat="1" ht="6" customHeight="1" thickBot="1" x14ac:dyDescent="0.25">
      <c r="B26" s="74"/>
      <c r="C26" s="150"/>
      <c r="D26" s="150"/>
      <c r="E26" s="181"/>
      <c r="F26" s="245"/>
      <c r="G26" s="245"/>
      <c r="H26" s="245"/>
      <c r="I26" s="245"/>
      <c r="J26" s="245"/>
      <c r="K26" s="245"/>
      <c r="L26" s="245"/>
      <c r="N26" s="367"/>
      <c r="O26" s="368"/>
      <c r="P26" s="368"/>
      <c r="Q26" s="368"/>
      <c r="R26" s="368"/>
      <c r="S26" s="368"/>
      <c r="T26" s="368"/>
      <c r="U26" s="368"/>
      <c r="V26" s="368"/>
      <c r="W26" s="183"/>
    </row>
    <row r="27" spans="1:23" ht="12" customHeight="1" thickBot="1" x14ac:dyDescent="0.25">
      <c r="B27" s="492" t="s">
        <v>267</v>
      </c>
      <c r="C27" s="496"/>
      <c r="D27" s="496"/>
      <c r="E27" s="494"/>
      <c r="F27" s="497"/>
      <c r="G27" s="497"/>
      <c r="H27" s="497"/>
      <c r="I27" s="497"/>
      <c r="J27" s="497"/>
      <c r="K27" s="497"/>
      <c r="L27" s="498"/>
      <c r="N27" s="492" t="s">
        <v>119</v>
      </c>
      <c r="O27" s="496"/>
      <c r="P27" s="496"/>
      <c r="Q27" s="494"/>
      <c r="R27" s="497"/>
      <c r="S27" s="497"/>
      <c r="T27" s="497"/>
      <c r="U27" s="497"/>
      <c r="V27" s="497"/>
      <c r="W27" s="498"/>
    </row>
    <row r="28" spans="1:23" ht="12" customHeight="1" x14ac:dyDescent="0.2">
      <c r="B28" s="95" t="s">
        <v>15</v>
      </c>
      <c r="C28" s="856" t="s">
        <v>167</v>
      </c>
      <c r="D28" s="857"/>
      <c r="E28" s="571" t="s">
        <v>51</v>
      </c>
      <c r="F28" s="239">
        <v>0</v>
      </c>
      <c r="G28" s="239">
        <v>0</v>
      </c>
      <c r="H28" s="239">
        <v>0</v>
      </c>
      <c r="I28" s="239">
        <v>0</v>
      </c>
      <c r="J28" s="239">
        <v>0</v>
      </c>
      <c r="K28" s="239">
        <v>0</v>
      </c>
      <c r="L28" s="240">
        <v>0</v>
      </c>
      <c r="N28" s="366"/>
      <c r="O28" s="365"/>
      <c r="P28" s="365"/>
      <c r="Q28" s="365"/>
      <c r="R28" s="365"/>
      <c r="S28" s="365"/>
      <c r="T28" s="365"/>
      <c r="U28" s="365"/>
      <c r="V28" s="365"/>
      <c r="W28" s="184"/>
    </row>
    <row r="29" spans="1:23" s="157" customFormat="1" ht="12" customHeight="1" x14ac:dyDescent="0.2">
      <c r="A29" s="2"/>
      <c r="B29" s="169"/>
      <c r="C29" s="170" t="s">
        <v>94</v>
      </c>
      <c r="D29" s="171"/>
      <c r="E29" s="572"/>
      <c r="F29" s="246">
        <f>F28</f>
        <v>0</v>
      </c>
      <c r="G29" s="246">
        <f t="shared" ref="G29:L29" si="11">IF(F33&lt;0,0,F33)</f>
        <v>0</v>
      </c>
      <c r="H29" s="246">
        <f t="shared" si="11"/>
        <v>0</v>
      </c>
      <c r="I29" s="246">
        <f t="shared" si="11"/>
        <v>0</v>
      </c>
      <c r="J29" s="246">
        <f t="shared" si="11"/>
        <v>0</v>
      </c>
      <c r="K29" s="246">
        <f t="shared" si="11"/>
        <v>0</v>
      </c>
      <c r="L29" s="247">
        <f t="shared" si="11"/>
        <v>0</v>
      </c>
      <c r="N29" s="366"/>
      <c r="O29" s="365"/>
      <c r="P29" s="365"/>
      <c r="Q29" s="365"/>
      <c r="R29" s="365"/>
      <c r="S29" s="365"/>
      <c r="T29" s="365"/>
      <c r="U29" s="365"/>
      <c r="V29" s="365"/>
      <c r="W29" s="184"/>
    </row>
    <row r="30" spans="1:23" s="157" customFormat="1" ht="12" customHeight="1" x14ac:dyDescent="0.2">
      <c r="A30" s="182"/>
      <c r="B30" s="172"/>
      <c r="C30" s="173" t="s">
        <v>45</v>
      </c>
      <c r="D30" s="174"/>
      <c r="E30" s="573"/>
      <c r="F30" s="229">
        <v>0</v>
      </c>
      <c r="G30" s="229">
        <f t="shared" ref="G30:L30" si="12">F30</f>
        <v>0</v>
      </c>
      <c r="H30" s="229">
        <f t="shared" si="12"/>
        <v>0</v>
      </c>
      <c r="I30" s="229">
        <f t="shared" si="12"/>
        <v>0</v>
      </c>
      <c r="J30" s="229">
        <f t="shared" si="12"/>
        <v>0</v>
      </c>
      <c r="K30" s="229">
        <f t="shared" si="12"/>
        <v>0</v>
      </c>
      <c r="L30" s="230">
        <f t="shared" si="12"/>
        <v>0</v>
      </c>
      <c r="N30" s="366"/>
      <c r="O30" s="365"/>
      <c r="P30" s="365"/>
      <c r="Q30" s="365"/>
      <c r="R30" s="365"/>
      <c r="S30" s="365"/>
      <c r="T30" s="365"/>
      <c r="U30" s="365"/>
      <c r="V30" s="365"/>
      <c r="W30" s="184"/>
    </row>
    <row r="31" spans="1:23" s="157" customFormat="1" ht="12" customHeight="1" x14ac:dyDescent="0.2">
      <c r="A31" s="182"/>
      <c r="B31" s="172"/>
      <c r="C31" s="173" t="s">
        <v>46</v>
      </c>
      <c r="D31" s="174"/>
      <c r="E31" s="572"/>
      <c r="F31" s="231">
        <v>0</v>
      </c>
      <c r="G31" s="231">
        <f t="shared" ref="G31:L31" si="13">F31</f>
        <v>0</v>
      </c>
      <c r="H31" s="231">
        <f t="shared" si="13"/>
        <v>0</v>
      </c>
      <c r="I31" s="231">
        <f t="shared" si="13"/>
        <v>0</v>
      </c>
      <c r="J31" s="231">
        <f t="shared" si="13"/>
        <v>0</v>
      </c>
      <c r="K31" s="231">
        <f t="shared" si="13"/>
        <v>0</v>
      </c>
      <c r="L31" s="232">
        <f t="shared" si="13"/>
        <v>0</v>
      </c>
      <c r="N31" s="366"/>
      <c r="O31" s="365"/>
      <c r="P31" s="365"/>
      <c r="Q31" s="365"/>
      <c r="R31" s="365"/>
      <c r="S31" s="365"/>
      <c r="T31" s="365"/>
      <c r="U31" s="365"/>
      <c r="V31" s="365"/>
      <c r="W31" s="184"/>
    </row>
    <row r="32" spans="1:23" s="157" customFormat="1" ht="12" customHeight="1" x14ac:dyDescent="0.2">
      <c r="A32"/>
      <c r="B32" s="172"/>
      <c r="C32" s="173" t="s">
        <v>48</v>
      </c>
      <c r="D32" s="174"/>
      <c r="E32" s="573"/>
      <c r="F32" s="227">
        <f>(F28-F30/2)*F31</f>
        <v>0</v>
      </c>
      <c r="G32" s="227">
        <f t="shared" ref="G32:L32" si="14">IF(G28+G29-G30&lt;0,0,(G29+G28-G30/2)*G31)</f>
        <v>0</v>
      </c>
      <c r="H32" s="227">
        <f t="shared" si="14"/>
        <v>0</v>
      </c>
      <c r="I32" s="227">
        <f t="shared" si="14"/>
        <v>0</v>
      </c>
      <c r="J32" s="227">
        <f t="shared" si="14"/>
        <v>0</v>
      </c>
      <c r="K32" s="227">
        <f t="shared" si="14"/>
        <v>0</v>
      </c>
      <c r="L32" s="228">
        <f t="shared" si="14"/>
        <v>0</v>
      </c>
      <c r="N32" s="366"/>
      <c r="O32" s="365"/>
      <c r="P32" s="365"/>
      <c r="Q32" s="365"/>
      <c r="R32" s="365"/>
      <c r="S32" s="365"/>
      <c r="T32" s="365"/>
      <c r="U32" s="365"/>
      <c r="V32" s="365"/>
      <c r="W32" s="184"/>
    </row>
    <row r="33" spans="1:23" s="157" customFormat="1" ht="12" customHeight="1" thickBot="1" x14ac:dyDescent="0.25">
      <c r="A33" s="182"/>
      <c r="B33" s="175"/>
      <c r="C33" s="176" t="s">
        <v>47</v>
      </c>
      <c r="D33" s="177"/>
      <c r="E33" s="574"/>
      <c r="F33" s="248">
        <f>IF(F29-F30&lt;0,0,F28-F30)</f>
        <v>0</v>
      </c>
      <c r="G33" s="248">
        <f t="shared" ref="G33:L33" si="15">IF(G29+G28-G30&lt;0,0,G29+G28-G30)</f>
        <v>0</v>
      </c>
      <c r="H33" s="248">
        <f t="shared" si="15"/>
        <v>0</v>
      </c>
      <c r="I33" s="248">
        <f t="shared" si="15"/>
        <v>0</v>
      </c>
      <c r="J33" s="248">
        <f t="shared" si="15"/>
        <v>0</v>
      </c>
      <c r="K33" s="248">
        <f t="shared" si="15"/>
        <v>0</v>
      </c>
      <c r="L33" s="249">
        <f t="shared" si="15"/>
        <v>0</v>
      </c>
      <c r="N33" s="366"/>
      <c r="O33" s="365"/>
      <c r="P33" s="365"/>
      <c r="Q33" s="365"/>
      <c r="R33" s="365"/>
      <c r="S33" s="365"/>
      <c r="T33" s="365"/>
      <c r="U33" s="365"/>
      <c r="V33" s="365"/>
      <c r="W33" s="184"/>
    </row>
    <row r="34" spans="1:23" ht="12" customHeight="1" x14ac:dyDescent="0.2">
      <c r="A34" s="2"/>
      <c r="B34" s="95" t="s">
        <v>16</v>
      </c>
      <c r="C34" s="856" t="s">
        <v>170</v>
      </c>
      <c r="D34" s="857"/>
      <c r="E34" s="571" t="s">
        <v>51</v>
      </c>
      <c r="F34" s="239">
        <v>0</v>
      </c>
      <c r="G34" s="239">
        <v>0</v>
      </c>
      <c r="H34" s="239">
        <v>0</v>
      </c>
      <c r="I34" s="239">
        <v>0</v>
      </c>
      <c r="J34" s="239">
        <v>0</v>
      </c>
      <c r="K34" s="239">
        <v>0</v>
      </c>
      <c r="L34" s="240">
        <v>0</v>
      </c>
      <c r="N34" s="366"/>
      <c r="O34" s="365"/>
      <c r="P34" s="365"/>
      <c r="Q34" s="365"/>
      <c r="R34" s="365"/>
      <c r="S34" s="365"/>
      <c r="T34" s="365"/>
      <c r="U34" s="365"/>
      <c r="V34" s="365"/>
      <c r="W34" s="184"/>
    </row>
    <row r="35" spans="1:23" s="157" customFormat="1" ht="12" customHeight="1" x14ac:dyDescent="0.2">
      <c r="A35" s="2"/>
      <c r="B35" s="169"/>
      <c r="C35" s="170" t="s">
        <v>94</v>
      </c>
      <c r="D35" s="171"/>
      <c r="E35" s="572"/>
      <c r="F35" s="246">
        <f>F34</f>
        <v>0</v>
      </c>
      <c r="G35" s="246">
        <f t="shared" ref="G35:L35" si="16">IF(F39&lt;0,0,F39)</f>
        <v>0</v>
      </c>
      <c r="H35" s="246">
        <f t="shared" si="16"/>
        <v>0</v>
      </c>
      <c r="I35" s="246">
        <f t="shared" si="16"/>
        <v>0</v>
      </c>
      <c r="J35" s="246">
        <f t="shared" si="16"/>
        <v>0</v>
      </c>
      <c r="K35" s="246">
        <f t="shared" si="16"/>
        <v>0</v>
      </c>
      <c r="L35" s="247">
        <f t="shared" si="16"/>
        <v>0</v>
      </c>
      <c r="N35" s="366"/>
      <c r="O35" s="365"/>
      <c r="P35" s="365"/>
      <c r="Q35" s="365"/>
      <c r="R35" s="365"/>
      <c r="S35" s="365"/>
      <c r="T35" s="365"/>
      <c r="U35" s="365"/>
      <c r="V35" s="365"/>
      <c r="W35" s="184"/>
    </row>
    <row r="36" spans="1:23" s="157" customFormat="1" ht="12" customHeight="1" x14ac:dyDescent="0.2">
      <c r="A36" s="182"/>
      <c r="B36" s="172"/>
      <c r="C36" s="173" t="s">
        <v>45</v>
      </c>
      <c r="D36" s="174"/>
      <c r="E36" s="573"/>
      <c r="F36" s="229">
        <v>0</v>
      </c>
      <c r="G36" s="229">
        <f t="shared" ref="G36:L36" si="17">F36</f>
        <v>0</v>
      </c>
      <c r="H36" s="229">
        <f t="shared" si="17"/>
        <v>0</v>
      </c>
      <c r="I36" s="229">
        <f t="shared" si="17"/>
        <v>0</v>
      </c>
      <c r="J36" s="229">
        <f t="shared" si="17"/>
        <v>0</v>
      </c>
      <c r="K36" s="229">
        <f t="shared" si="17"/>
        <v>0</v>
      </c>
      <c r="L36" s="230">
        <f t="shared" si="17"/>
        <v>0</v>
      </c>
      <c r="N36" s="366"/>
      <c r="O36" s="365"/>
      <c r="P36" s="365"/>
      <c r="Q36" s="365"/>
      <c r="R36" s="365"/>
      <c r="S36" s="365"/>
      <c r="T36" s="365"/>
      <c r="U36" s="365"/>
      <c r="V36" s="365"/>
      <c r="W36" s="184"/>
    </row>
    <row r="37" spans="1:23" s="157" customFormat="1" ht="12" customHeight="1" x14ac:dyDescent="0.2">
      <c r="A37"/>
      <c r="B37" s="172"/>
      <c r="C37" s="173" t="s">
        <v>46</v>
      </c>
      <c r="D37" s="174"/>
      <c r="E37" s="572"/>
      <c r="F37" s="231">
        <v>0</v>
      </c>
      <c r="G37" s="231">
        <f t="shared" ref="G37:L37" si="18">F37</f>
        <v>0</v>
      </c>
      <c r="H37" s="231">
        <f t="shared" si="18"/>
        <v>0</v>
      </c>
      <c r="I37" s="231">
        <f t="shared" si="18"/>
        <v>0</v>
      </c>
      <c r="J37" s="231">
        <f t="shared" si="18"/>
        <v>0</v>
      </c>
      <c r="K37" s="231">
        <f t="shared" si="18"/>
        <v>0</v>
      </c>
      <c r="L37" s="232">
        <f t="shared" si="18"/>
        <v>0</v>
      </c>
      <c r="N37" s="366"/>
      <c r="O37" s="365"/>
      <c r="P37" s="365"/>
      <c r="Q37" s="365"/>
      <c r="R37" s="365"/>
      <c r="S37" s="365"/>
      <c r="T37" s="365"/>
      <c r="U37" s="365"/>
      <c r="V37" s="365"/>
      <c r="W37" s="184"/>
    </row>
    <row r="38" spans="1:23" s="157" customFormat="1" ht="12" customHeight="1" x14ac:dyDescent="0.2">
      <c r="A38" s="182"/>
      <c r="B38" s="172"/>
      <c r="C38" s="173" t="s">
        <v>48</v>
      </c>
      <c r="D38" s="174"/>
      <c r="E38" s="573"/>
      <c r="F38" s="227">
        <f>(F34-F36/2)*F37</f>
        <v>0</v>
      </c>
      <c r="G38" s="227">
        <f t="shared" ref="G38:L38" si="19">IF(G34+G35-G36&lt;0,0,(G35+G34-G36/2)*G37)</f>
        <v>0</v>
      </c>
      <c r="H38" s="227">
        <f t="shared" si="19"/>
        <v>0</v>
      </c>
      <c r="I38" s="227">
        <f t="shared" si="19"/>
        <v>0</v>
      </c>
      <c r="J38" s="227">
        <f t="shared" si="19"/>
        <v>0</v>
      </c>
      <c r="K38" s="227">
        <f t="shared" si="19"/>
        <v>0</v>
      </c>
      <c r="L38" s="228">
        <f t="shared" si="19"/>
        <v>0</v>
      </c>
      <c r="N38" s="366"/>
      <c r="O38" s="365"/>
      <c r="P38" s="365"/>
      <c r="Q38" s="365"/>
      <c r="R38" s="365"/>
      <c r="S38" s="365"/>
      <c r="T38" s="365"/>
      <c r="U38" s="365"/>
      <c r="V38" s="365"/>
      <c r="W38" s="184"/>
    </row>
    <row r="39" spans="1:23" s="157" customFormat="1" ht="12" customHeight="1" thickBot="1" x14ac:dyDescent="0.25">
      <c r="A39" s="2"/>
      <c r="B39" s="175"/>
      <c r="C39" s="176" t="s">
        <v>47</v>
      </c>
      <c r="D39" s="177"/>
      <c r="E39" s="574"/>
      <c r="F39" s="248">
        <f>IF(F35-F36&lt;0,0,F34-F36)</f>
        <v>0</v>
      </c>
      <c r="G39" s="248">
        <f t="shared" ref="G39:L39" si="20">IF(G35+G34-G36&lt;0,0,G35+G34-G36)</f>
        <v>0</v>
      </c>
      <c r="H39" s="248">
        <f t="shared" si="20"/>
        <v>0</v>
      </c>
      <c r="I39" s="248">
        <f t="shared" si="20"/>
        <v>0</v>
      </c>
      <c r="J39" s="248">
        <f t="shared" si="20"/>
        <v>0</v>
      </c>
      <c r="K39" s="248">
        <f t="shared" si="20"/>
        <v>0</v>
      </c>
      <c r="L39" s="249">
        <f t="shared" si="20"/>
        <v>0</v>
      </c>
      <c r="N39" s="366"/>
      <c r="O39" s="365"/>
      <c r="P39" s="365"/>
      <c r="Q39" s="365"/>
      <c r="R39" s="365"/>
      <c r="S39" s="365"/>
      <c r="T39" s="365"/>
      <c r="U39" s="365"/>
      <c r="V39" s="365"/>
      <c r="W39" s="184"/>
    </row>
    <row r="40" spans="1:23" ht="12" customHeight="1" x14ac:dyDescent="0.2">
      <c r="B40" s="95" t="s">
        <v>17</v>
      </c>
      <c r="C40" s="856" t="s">
        <v>169</v>
      </c>
      <c r="D40" s="857"/>
      <c r="E40" s="571" t="s">
        <v>51</v>
      </c>
      <c r="F40" s="239"/>
      <c r="G40" s="239">
        <v>0</v>
      </c>
      <c r="H40" s="239">
        <v>0</v>
      </c>
      <c r="I40" s="239">
        <v>0</v>
      </c>
      <c r="J40" s="239">
        <v>0</v>
      </c>
      <c r="K40" s="239">
        <v>0</v>
      </c>
      <c r="L40" s="240">
        <v>0</v>
      </c>
      <c r="N40" s="366"/>
      <c r="O40" s="365"/>
      <c r="P40" s="365"/>
      <c r="Q40" s="365"/>
      <c r="R40" s="365"/>
      <c r="S40" s="365"/>
      <c r="T40" s="365"/>
      <c r="U40" s="365"/>
      <c r="V40" s="365"/>
      <c r="W40" s="184"/>
    </row>
    <row r="41" spans="1:23" s="157" customFormat="1" ht="12" customHeight="1" x14ac:dyDescent="0.2">
      <c r="A41" s="182"/>
      <c r="B41" s="169"/>
      <c r="C41" s="170" t="s">
        <v>94</v>
      </c>
      <c r="D41" s="171"/>
      <c r="E41" s="572"/>
      <c r="F41" s="246">
        <f>F40</f>
        <v>0</v>
      </c>
      <c r="G41" s="246">
        <f t="shared" ref="G41:L41" si="21">IF(F45&lt;0,0,F45)</f>
        <v>0</v>
      </c>
      <c r="H41" s="246">
        <f t="shared" si="21"/>
        <v>0</v>
      </c>
      <c r="I41" s="246">
        <f t="shared" si="21"/>
        <v>0</v>
      </c>
      <c r="J41" s="246">
        <f t="shared" si="21"/>
        <v>0</v>
      </c>
      <c r="K41" s="246">
        <f t="shared" si="21"/>
        <v>0</v>
      </c>
      <c r="L41" s="247">
        <f t="shared" si="21"/>
        <v>0</v>
      </c>
      <c r="N41" s="366"/>
      <c r="O41" s="365"/>
      <c r="P41" s="365"/>
      <c r="Q41" s="365"/>
      <c r="R41" s="365"/>
      <c r="S41" s="365"/>
      <c r="T41" s="365"/>
      <c r="U41" s="365"/>
      <c r="V41" s="365"/>
      <c r="W41" s="184"/>
    </row>
    <row r="42" spans="1:23" s="157" customFormat="1" ht="12" customHeight="1" x14ac:dyDescent="0.2">
      <c r="A42"/>
      <c r="B42" s="172"/>
      <c r="C42" s="173" t="s">
        <v>45</v>
      </c>
      <c r="D42" s="174"/>
      <c r="E42" s="573"/>
      <c r="F42" s="229">
        <v>0</v>
      </c>
      <c r="G42" s="229">
        <f t="shared" ref="G42:L42" si="22">F42</f>
        <v>0</v>
      </c>
      <c r="H42" s="229">
        <f t="shared" si="22"/>
        <v>0</v>
      </c>
      <c r="I42" s="229">
        <f t="shared" si="22"/>
        <v>0</v>
      </c>
      <c r="J42" s="229">
        <f t="shared" si="22"/>
        <v>0</v>
      </c>
      <c r="K42" s="229">
        <f t="shared" si="22"/>
        <v>0</v>
      </c>
      <c r="L42" s="230">
        <f t="shared" si="22"/>
        <v>0</v>
      </c>
      <c r="N42" s="366"/>
      <c r="O42" s="365"/>
      <c r="P42" s="365"/>
      <c r="Q42" s="365"/>
      <c r="R42" s="365"/>
      <c r="S42" s="365"/>
      <c r="T42" s="365"/>
      <c r="U42" s="365"/>
      <c r="V42" s="365"/>
      <c r="W42" s="184"/>
    </row>
    <row r="43" spans="1:23" s="157" customFormat="1" ht="12" customHeight="1" x14ac:dyDescent="0.2">
      <c r="A43" s="182"/>
      <c r="B43" s="172"/>
      <c r="C43" s="173" t="s">
        <v>46</v>
      </c>
      <c r="D43" s="174"/>
      <c r="E43" s="572"/>
      <c r="F43" s="231">
        <v>0</v>
      </c>
      <c r="G43" s="231">
        <f t="shared" ref="G43:L43" si="23">F43</f>
        <v>0</v>
      </c>
      <c r="H43" s="231">
        <f t="shared" si="23"/>
        <v>0</v>
      </c>
      <c r="I43" s="231">
        <f t="shared" si="23"/>
        <v>0</v>
      </c>
      <c r="J43" s="231">
        <f t="shared" si="23"/>
        <v>0</v>
      </c>
      <c r="K43" s="231">
        <f t="shared" si="23"/>
        <v>0</v>
      </c>
      <c r="L43" s="232">
        <f t="shared" si="23"/>
        <v>0</v>
      </c>
      <c r="N43" s="366"/>
      <c r="O43" s="365"/>
      <c r="P43" s="365"/>
      <c r="Q43" s="365"/>
      <c r="R43" s="365"/>
      <c r="S43" s="365"/>
      <c r="T43" s="365"/>
      <c r="U43" s="365"/>
      <c r="V43" s="365"/>
      <c r="W43" s="184"/>
    </row>
    <row r="44" spans="1:23" s="157" customFormat="1" ht="12" customHeight="1" x14ac:dyDescent="0.2">
      <c r="A44"/>
      <c r="B44" s="172"/>
      <c r="C44" s="173" t="s">
        <v>48</v>
      </c>
      <c r="D44" s="174"/>
      <c r="E44" s="573"/>
      <c r="F44" s="237">
        <f>(F40-F42/2)*F43</f>
        <v>0</v>
      </c>
      <c r="G44" s="237">
        <f t="shared" ref="G44:L44" si="24">IF(G40+G41-G42&lt;0,0,(G41+G40-G42/2)*G43)</f>
        <v>0</v>
      </c>
      <c r="H44" s="237">
        <f t="shared" si="24"/>
        <v>0</v>
      </c>
      <c r="I44" s="237">
        <f t="shared" si="24"/>
        <v>0</v>
      </c>
      <c r="J44" s="237">
        <f t="shared" si="24"/>
        <v>0</v>
      </c>
      <c r="K44" s="237">
        <f t="shared" si="24"/>
        <v>0</v>
      </c>
      <c r="L44" s="238">
        <f t="shared" si="24"/>
        <v>0</v>
      </c>
      <c r="N44" s="366"/>
      <c r="O44" s="365"/>
      <c r="P44" s="365"/>
      <c r="Q44" s="365"/>
      <c r="R44" s="365"/>
      <c r="S44" s="365"/>
      <c r="T44" s="365"/>
      <c r="U44" s="365"/>
      <c r="V44" s="365"/>
      <c r="W44" s="184"/>
    </row>
    <row r="45" spans="1:23" s="157" customFormat="1" ht="12" customHeight="1" thickBot="1" x14ac:dyDescent="0.25">
      <c r="A45"/>
      <c r="B45" s="175"/>
      <c r="C45" s="176" t="s">
        <v>47</v>
      </c>
      <c r="D45" s="177"/>
      <c r="E45" s="574"/>
      <c r="F45" s="248">
        <f>IF(F41-F42&lt;0,0,F40-F42)</f>
        <v>0</v>
      </c>
      <c r="G45" s="248">
        <f t="shared" ref="G45:L45" si="25">IF(G41+G40-G42&lt;0,0,G41+G40-G42)</f>
        <v>0</v>
      </c>
      <c r="H45" s="248">
        <f t="shared" si="25"/>
        <v>0</v>
      </c>
      <c r="I45" s="248">
        <f t="shared" si="25"/>
        <v>0</v>
      </c>
      <c r="J45" s="248">
        <f t="shared" si="25"/>
        <v>0</v>
      </c>
      <c r="K45" s="248">
        <f t="shared" si="25"/>
        <v>0</v>
      </c>
      <c r="L45" s="249">
        <f t="shared" si="25"/>
        <v>0</v>
      </c>
      <c r="N45" s="366"/>
      <c r="O45" s="365"/>
      <c r="P45" s="365"/>
      <c r="Q45" s="365"/>
      <c r="R45" s="365"/>
      <c r="S45" s="365"/>
      <c r="T45" s="365"/>
      <c r="U45" s="365"/>
      <c r="V45" s="365"/>
      <c r="W45" s="184"/>
    </row>
    <row r="46" spans="1:23" ht="12" customHeight="1" x14ac:dyDescent="0.2">
      <c r="A46" s="157"/>
      <c r="B46" s="95" t="s">
        <v>18</v>
      </c>
      <c r="C46" s="856" t="s">
        <v>168</v>
      </c>
      <c r="D46" s="857"/>
      <c r="E46" s="571" t="s">
        <v>51</v>
      </c>
      <c r="F46" s="239">
        <v>0</v>
      </c>
      <c r="G46" s="239">
        <v>0</v>
      </c>
      <c r="H46" s="239">
        <v>0</v>
      </c>
      <c r="I46" s="239">
        <v>0</v>
      </c>
      <c r="J46" s="239">
        <v>0</v>
      </c>
      <c r="K46" s="239">
        <v>0</v>
      </c>
      <c r="L46" s="240">
        <v>0</v>
      </c>
      <c r="N46" s="366"/>
      <c r="O46" s="365"/>
      <c r="P46" s="365"/>
      <c r="Q46" s="365"/>
      <c r="R46" s="365"/>
      <c r="S46" s="365"/>
      <c r="T46" s="365"/>
      <c r="U46" s="365"/>
      <c r="V46" s="365"/>
      <c r="W46" s="184"/>
    </row>
    <row r="47" spans="1:23" s="157" customFormat="1" ht="12" customHeight="1" x14ac:dyDescent="0.2">
      <c r="B47" s="169"/>
      <c r="C47" s="170" t="s">
        <v>94</v>
      </c>
      <c r="D47" s="171"/>
      <c r="E47" s="572"/>
      <c r="F47" s="246">
        <f>F46</f>
        <v>0</v>
      </c>
      <c r="G47" s="246">
        <f t="shared" ref="G47:L47" si="26">IF(F51&lt;0,0,F51)</f>
        <v>0</v>
      </c>
      <c r="H47" s="246">
        <f t="shared" si="26"/>
        <v>0</v>
      </c>
      <c r="I47" s="246">
        <f t="shared" si="26"/>
        <v>0</v>
      </c>
      <c r="J47" s="246">
        <f t="shared" si="26"/>
        <v>0</v>
      </c>
      <c r="K47" s="246">
        <f t="shared" si="26"/>
        <v>0</v>
      </c>
      <c r="L47" s="247">
        <f t="shared" si="26"/>
        <v>0</v>
      </c>
      <c r="N47" s="366"/>
      <c r="O47" s="365"/>
      <c r="P47" s="365"/>
      <c r="Q47" s="365"/>
      <c r="R47" s="365"/>
      <c r="S47" s="365"/>
      <c r="T47" s="365"/>
      <c r="U47" s="365"/>
      <c r="V47" s="365"/>
      <c r="W47" s="184"/>
    </row>
    <row r="48" spans="1:23" s="157" customFormat="1" ht="12" customHeight="1" x14ac:dyDescent="0.2">
      <c r="A48"/>
      <c r="B48" s="172"/>
      <c r="C48" s="173" t="s">
        <v>45</v>
      </c>
      <c r="D48" s="174"/>
      <c r="E48" s="573"/>
      <c r="F48" s="229">
        <v>0</v>
      </c>
      <c r="G48" s="229">
        <f t="shared" ref="G48:L49" si="27">F48</f>
        <v>0</v>
      </c>
      <c r="H48" s="229">
        <f t="shared" si="27"/>
        <v>0</v>
      </c>
      <c r="I48" s="229">
        <f t="shared" si="27"/>
        <v>0</v>
      </c>
      <c r="J48" s="229">
        <f t="shared" si="27"/>
        <v>0</v>
      </c>
      <c r="K48" s="229">
        <f t="shared" si="27"/>
        <v>0</v>
      </c>
      <c r="L48" s="230">
        <f t="shared" si="27"/>
        <v>0</v>
      </c>
      <c r="N48" s="366"/>
      <c r="O48" s="365"/>
      <c r="P48" s="365"/>
      <c r="Q48" s="365"/>
      <c r="R48" s="365"/>
      <c r="S48" s="365"/>
      <c r="T48" s="365"/>
      <c r="U48" s="365"/>
      <c r="V48" s="365"/>
      <c r="W48" s="184"/>
    </row>
    <row r="49" spans="1:23" s="157" customFormat="1" ht="12" customHeight="1" x14ac:dyDescent="0.2">
      <c r="A49" s="182"/>
      <c r="B49" s="172"/>
      <c r="C49" s="173" t="s">
        <v>46</v>
      </c>
      <c r="D49" s="174"/>
      <c r="E49" s="572"/>
      <c r="F49" s="231">
        <v>0</v>
      </c>
      <c r="G49" s="231">
        <f t="shared" si="27"/>
        <v>0</v>
      </c>
      <c r="H49" s="231">
        <f t="shared" si="27"/>
        <v>0</v>
      </c>
      <c r="I49" s="231">
        <f t="shared" si="27"/>
        <v>0</v>
      </c>
      <c r="J49" s="231">
        <f t="shared" si="27"/>
        <v>0</v>
      </c>
      <c r="K49" s="231">
        <f t="shared" si="27"/>
        <v>0</v>
      </c>
      <c r="L49" s="232">
        <f t="shared" si="27"/>
        <v>0</v>
      </c>
      <c r="N49" s="366"/>
      <c r="O49" s="365"/>
      <c r="P49" s="365"/>
      <c r="Q49" s="365"/>
      <c r="R49" s="365"/>
      <c r="S49" s="365"/>
      <c r="T49" s="365"/>
      <c r="U49" s="365"/>
      <c r="V49" s="365"/>
      <c r="W49" s="184"/>
    </row>
    <row r="50" spans="1:23" s="157" customFormat="1" ht="12" customHeight="1" x14ac:dyDescent="0.2">
      <c r="A50" s="2"/>
      <c r="B50" s="172"/>
      <c r="C50" s="173" t="s">
        <v>48</v>
      </c>
      <c r="D50" s="174"/>
      <c r="E50" s="573"/>
      <c r="F50" s="237">
        <f>(F46-F48/2)*F49</f>
        <v>0</v>
      </c>
      <c r="G50" s="237">
        <f t="shared" ref="G50:L50" si="28">IF(G46+G47-G48&lt;0,0,(G47+G46-G48/2)*G49)</f>
        <v>0</v>
      </c>
      <c r="H50" s="237">
        <f t="shared" si="28"/>
        <v>0</v>
      </c>
      <c r="I50" s="237">
        <f t="shared" si="28"/>
        <v>0</v>
      </c>
      <c r="J50" s="237">
        <f t="shared" si="28"/>
        <v>0</v>
      </c>
      <c r="K50" s="237">
        <f t="shared" si="28"/>
        <v>0</v>
      </c>
      <c r="L50" s="238">
        <f t="shared" si="28"/>
        <v>0</v>
      </c>
      <c r="N50" s="366"/>
      <c r="O50" s="365"/>
      <c r="P50" s="365"/>
      <c r="Q50" s="365"/>
      <c r="R50" s="365"/>
      <c r="S50" s="365"/>
      <c r="T50" s="365"/>
      <c r="U50" s="365"/>
      <c r="V50" s="365"/>
      <c r="W50" s="184"/>
    </row>
    <row r="51" spans="1:23" s="157" customFormat="1" ht="12" customHeight="1" thickBot="1" x14ac:dyDescent="0.25">
      <c r="A51" s="182"/>
      <c r="B51" s="175"/>
      <c r="C51" s="176" t="s">
        <v>47</v>
      </c>
      <c r="D51" s="177"/>
      <c r="E51" s="574"/>
      <c r="F51" s="248">
        <f>IF(F47-F48&lt;0,0,F46-F48)</f>
        <v>0</v>
      </c>
      <c r="G51" s="248">
        <f t="shared" ref="G51:L51" si="29">IF(G47+G46-G48&lt;0,0,G47+G46-G48)</f>
        <v>0</v>
      </c>
      <c r="H51" s="248">
        <f t="shared" si="29"/>
        <v>0</v>
      </c>
      <c r="I51" s="248">
        <f t="shared" si="29"/>
        <v>0</v>
      </c>
      <c r="J51" s="248">
        <f t="shared" si="29"/>
        <v>0</v>
      </c>
      <c r="K51" s="248">
        <f t="shared" si="29"/>
        <v>0</v>
      </c>
      <c r="L51" s="249">
        <f t="shared" si="29"/>
        <v>0</v>
      </c>
      <c r="N51" s="366"/>
      <c r="O51" s="365"/>
      <c r="P51" s="365"/>
      <c r="Q51" s="365"/>
      <c r="R51" s="365"/>
      <c r="S51" s="365"/>
      <c r="T51" s="365"/>
      <c r="U51" s="365"/>
      <c r="V51" s="365"/>
      <c r="W51" s="184"/>
    </row>
    <row r="52" spans="1:23" ht="12" customHeight="1" x14ac:dyDescent="0.2">
      <c r="A52" s="182"/>
      <c r="B52" s="95" t="s">
        <v>19</v>
      </c>
      <c r="C52" s="856" t="s">
        <v>193</v>
      </c>
      <c r="D52" s="857"/>
      <c r="E52" s="571" t="s">
        <v>51</v>
      </c>
      <c r="F52" s="239">
        <v>0</v>
      </c>
      <c r="G52" s="239">
        <v>0</v>
      </c>
      <c r="H52" s="239">
        <v>0</v>
      </c>
      <c r="I52" s="239">
        <v>0</v>
      </c>
      <c r="J52" s="239">
        <v>0</v>
      </c>
      <c r="K52" s="239">
        <v>0</v>
      </c>
      <c r="L52" s="240">
        <v>0</v>
      </c>
      <c r="N52" s="366"/>
      <c r="O52" s="365"/>
      <c r="P52" s="365"/>
      <c r="Q52" s="365"/>
      <c r="R52" s="365"/>
      <c r="S52" s="365"/>
      <c r="T52" s="365"/>
      <c r="U52" s="365"/>
      <c r="V52" s="365"/>
      <c r="W52" s="184"/>
    </row>
    <row r="53" spans="1:23" s="157" customFormat="1" ht="12" customHeight="1" x14ac:dyDescent="0.2">
      <c r="A53"/>
      <c r="B53" s="172"/>
      <c r="C53" s="872" t="s">
        <v>171</v>
      </c>
      <c r="D53" s="873"/>
      <c r="E53" s="572"/>
      <c r="F53" s="250">
        <v>0</v>
      </c>
      <c r="G53" s="250">
        <f t="shared" ref="G53:L54" si="30">F53</f>
        <v>0</v>
      </c>
      <c r="H53" s="250">
        <f t="shared" si="30"/>
        <v>0</v>
      </c>
      <c r="I53" s="250">
        <f t="shared" si="30"/>
        <v>0</v>
      </c>
      <c r="J53" s="250">
        <f t="shared" si="30"/>
        <v>0</v>
      </c>
      <c r="K53" s="250">
        <f t="shared" si="30"/>
        <v>0</v>
      </c>
      <c r="L53" s="250">
        <f t="shared" si="30"/>
        <v>0</v>
      </c>
      <c r="N53" s="366"/>
      <c r="O53" s="365"/>
      <c r="P53" s="365"/>
      <c r="Q53" s="365"/>
      <c r="R53" s="365"/>
      <c r="S53" s="365"/>
      <c r="T53" s="365"/>
      <c r="U53" s="365"/>
      <c r="V53" s="365"/>
      <c r="W53" s="184"/>
    </row>
    <row r="54" spans="1:23" s="157" customFormat="1" ht="12" customHeight="1" x14ac:dyDescent="0.2">
      <c r="A54" s="182"/>
      <c r="B54" s="172"/>
      <c r="C54" s="173" t="s">
        <v>46</v>
      </c>
      <c r="D54" s="174"/>
      <c r="E54" s="572"/>
      <c r="F54" s="231">
        <v>0</v>
      </c>
      <c r="G54" s="231">
        <f>F54</f>
        <v>0</v>
      </c>
      <c r="H54" s="231">
        <f>G54</f>
        <v>0</v>
      </c>
      <c r="I54" s="231">
        <f>H54</f>
        <v>0</v>
      </c>
      <c r="J54" s="231">
        <f t="shared" si="30"/>
        <v>0</v>
      </c>
      <c r="K54" s="231">
        <f t="shared" si="30"/>
        <v>0</v>
      </c>
      <c r="L54" s="231">
        <f t="shared" si="30"/>
        <v>0</v>
      </c>
      <c r="N54" s="366"/>
      <c r="O54" s="365"/>
      <c r="P54" s="365"/>
      <c r="Q54" s="365"/>
      <c r="R54" s="365"/>
      <c r="S54" s="365"/>
      <c r="T54" s="365"/>
      <c r="U54" s="365"/>
      <c r="V54" s="365"/>
      <c r="W54" s="184"/>
    </row>
    <row r="55" spans="1:23" s="157" customFormat="1" ht="12" customHeight="1" x14ac:dyDescent="0.2">
      <c r="A55" s="2"/>
      <c r="B55" s="172"/>
      <c r="C55" s="173" t="s">
        <v>173</v>
      </c>
      <c r="D55" s="174"/>
      <c r="E55" s="572"/>
      <c r="F55" s="227">
        <f>aputaulu!F8</f>
        <v>0</v>
      </c>
      <c r="G55" s="227">
        <f>aputaulu!G8</f>
        <v>0</v>
      </c>
      <c r="H55" s="227">
        <f>aputaulu!H8</f>
        <v>0</v>
      </c>
      <c r="I55" s="227">
        <f>aputaulu!I8</f>
        <v>0</v>
      </c>
      <c r="J55" s="227">
        <f>aputaulu!J8</f>
        <v>0</v>
      </c>
      <c r="K55" s="227">
        <f>aputaulu!K8</f>
        <v>0</v>
      </c>
      <c r="L55" s="228">
        <f>aputaulu!L8</f>
        <v>0</v>
      </c>
      <c r="N55" s="366"/>
      <c r="O55" s="365"/>
      <c r="P55" s="365"/>
      <c r="Q55" s="365"/>
      <c r="R55" s="365"/>
      <c r="S55" s="365"/>
      <c r="T55" s="365"/>
      <c r="U55" s="365"/>
      <c r="V55" s="365"/>
      <c r="W55" s="184"/>
    </row>
    <row r="56" spans="1:23" s="157" customFormat="1" ht="12" customHeight="1" x14ac:dyDescent="0.2">
      <c r="A56" s="2"/>
      <c r="B56" s="172"/>
      <c r="C56" s="173" t="s">
        <v>172</v>
      </c>
      <c r="D56" s="174"/>
      <c r="E56" s="573"/>
      <c r="F56" s="227">
        <f>aputaulu!F12</f>
        <v>0</v>
      </c>
      <c r="G56" s="227">
        <f>aputaulu!G12</f>
        <v>0</v>
      </c>
      <c r="H56" s="227">
        <f>aputaulu!H12</f>
        <v>0</v>
      </c>
      <c r="I56" s="227">
        <f>aputaulu!I12</f>
        <v>0</v>
      </c>
      <c r="J56" s="227">
        <f>aputaulu!J12</f>
        <v>0</v>
      </c>
      <c r="K56" s="227">
        <f>aputaulu!K12</f>
        <v>0</v>
      </c>
      <c r="L56" s="228">
        <f>aputaulu!L12</f>
        <v>0</v>
      </c>
      <c r="N56" s="366"/>
      <c r="O56" s="365"/>
      <c r="P56" s="365"/>
      <c r="Q56" s="365"/>
      <c r="R56" s="365"/>
      <c r="S56" s="365"/>
      <c r="T56" s="365"/>
      <c r="U56" s="365"/>
      <c r="V56" s="365"/>
      <c r="W56" s="184"/>
    </row>
    <row r="57" spans="1:23" s="157" customFormat="1" ht="12" customHeight="1" x14ac:dyDescent="0.2">
      <c r="A57" s="182"/>
      <c r="B57" s="259"/>
      <c r="C57" s="260" t="s">
        <v>45</v>
      </c>
      <c r="D57" s="261"/>
      <c r="E57" s="575"/>
      <c r="F57" s="262">
        <f>aputaulu!F13</f>
        <v>0</v>
      </c>
      <c r="G57" s="262">
        <f>aputaulu!G13</f>
        <v>0</v>
      </c>
      <c r="H57" s="262">
        <f>aputaulu!H13</f>
        <v>0</v>
      </c>
      <c r="I57" s="262">
        <f>aputaulu!I13</f>
        <v>0</v>
      </c>
      <c r="J57" s="262">
        <f>aputaulu!J13</f>
        <v>0</v>
      </c>
      <c r="K57" s="262">
        <f>aputaulu!K13</f>
        <v>0</v>
      </c>
      <c r="L57" s="378">
        <f>aputaulu!L13</f>
        <v>0</v>
      </c>
      <c r="N57" s="366"/>
      <c r="O57" s="365"/>
      <c r="P57" s="365"/>
      <c r="Q57" s="365"/>
      <c r="R57" s="365"/>
      <c r="S57" s="365"/>
      <c r="T57" s="365"/>
      <c r="U57" s="365"/>
      <c r="V57" s="365"/>
      <c r="W57" s="184"/>
    </row>
    <row r="58" spans="1:23" s="157" customFormat="1" ht="12" customHeight="1" thickBot="1" x14ac:dyDescent="0.25">
      <c r="A58"/>
      <c r="B58" s="175"/>
      <c r="C58" s="176" t="s">
        <v>47</v>
      </c>
      <c r="D58" s="177"/>
      <c r="E58" s="574"/>
      <c r="F58" s="248">
        <f>aputaulu!F14</f>
        <v>0</v>
      </c>
      <c r="G58" s="248">
        <f>aputaulu!G14</f>
        <v>0</v>
      </c>
      <c r="H58" s="248">
        <f>aputaulu!H14</f>
        <v>0</v>
      </c>
      <c r="I58" s="248">
        <f>aputaulu!I14</f>
        <v>0</v>
      </c>
      <c r="J58" s="248">
        <f>aputaulu!J14</f>
        <v>0</v>
      </c>
      <c r="K58" s="248">
        <f>aputaulu!K14</f>
        <v>0</v>
      </c>
      <c r="L58" s="249">
        <f>aputaulu!L14</f>
        <v>0</v>
      </c>
      <c r="N58" s="366"/>
      <c r="O58" s="365"/>
      <c r="P58" s="365"/>
      <c r="Q58" s="365"/>
      <c r="R58" s="365"/>
      <c r="S58" s="365"/>
      <c r="T58" s="365"/>
      <c r="U58" s="365"/>
      <c r="V58" s="365"/>
      <c r="W58" s="184"/>
    </row>
    <row r="59" spans="1:23" ht="12" customHeight="1" x14ac:dyDescent="0.2">
      <c r="A59" s="182"/>
      <c r="B59" s="95" t="s">
        <v>20</v>
      </c>
      <c r="C59" s="856" t="s">
        <v>196</v>
      </c>
      <c r="D59" s="857"/>
      <c r="E59" s="571" t="s">
        <v>51</v>
      </c>
      <c r="F59" s="239">
        <v>0</v>
      </c>
      <c r="G59" s="239">
        <v>0</v>
      </c>
      <c r="H59" s="239">
        <v>0</v>
      </c>
      <c r="I59" s="239">
        <v>0</v>
      </c>
      <c r="J59" s="239">
        <v>0</v>
      </c>
      <c r="K59" s="239">
        <v>0</v>
      </c>
      <c r="L59" s="240">
        <v>0</v>
      </c>
      <c r="N59" s="366"/>
      <c r="O59" s="365"/>
      <c r="P59" s="365"/>
      <c r="Q59" s="365"/>
      <c r="R59" s="365"/>
      <c r="S59" s="365"/>
      <c r="T59" s="365"/>
      <c r="U59" s="365"/>
      <c r="V59" s="365"/>
      <c r="W59" s="184"/>
    </row>
    <row r="60" spans="1:23" s="157" customFormat="1" ht="12" customHeight="1" x14ac:dyDescent="0.2">
      <c r="A60" s="2"/>
      <c r="B60" s="169"/>
      <c r="C60" s="872" t="s">
        <v>171</v>
      </c>
      <c r="D60" s="873"/>
      <c r="E60" s="572"/>
      <c r="F60" s="250">
        <v>0</v>
      </c>
      <c r="G60" s="250">
        <f t="shared" ref="G60:L61" si="31">F60</f>
        <v>0</v>
      </c>
      <c r="H60" s="250">
        <f t="shared" si="31"/>
        <v>0</v>
      </c>
      <c r="I60" s="250">
        <f t="shared" si="31"/>
        <v>0</v>
      </c>
      <c r="J60" s="250">
        <f t="shared" si="31"/>
        <v>0</v>
      </c>
      <c r="K60" s="250">
        <f t="shared" si="31"/>
        <v>0</v>
      </c>
      <c r="L60" s="232">
        <f t="shared" si="31"/>
        <v>0</v>
      </c>
      <c r="N60" s="366"/>
      <c r="O60" s="365"/>
      <c r="P60" s="365"/>
      <c r="Q60" s="365"/>
      <c r="R60" s="365"/>
      <c r="S60" s="365"/>
      <c r="T60" s="365"/>
      <c r="U60" s="365"/>
      <c r="V60" s="365"/>
      <c r="W60" s="184"/>
    </row>
    <row r="61" spans="1:23" s="157" customFormat="1" ht="12" customHeight="1" x14ac:dyDescent="0.2">
      <c r="A61"/>
      <c r="B61" s="172"/>
      <c r="C61" s="173" t="s">
        <v>46</v>
      </c>
      <c r="D61" s="174"/>
      <c r="E61" s="573"/>
      <c r="F61" s="231">
        <v>0</v>
      </c>
      <c r="G61" s="231">
        <f>F61</f>
        <v>0</v>
      </c>
      <c r="H61" s="231">
        <f>G61</f>
        <v>0</v>
      </c>
      <c r="I61" s="231">
        <f t="shared" si="31"/>
        <v>0</v>
      </c>
      <c r="J61" s="231">
        <f t="shared" si="31"/>
        <v>0</v>
      </c>
      <c r="K61" s="231">
        <f t="shared" si="31"/>
        <v>0</v>
      </c>
      <c r="L61" s="232">
        <f t="shared" si="31"/>
        <v>0</v>
      </c>
      <c r="N61" s="366"/>
      <c r="O61" s="365"/>
      <c r="P61" s="365"/>
      <c r="Q61" s="365"/>
      <c r="R61" s="365"/>
      <c r="S61" s="365"/>
      <c r="T61" s="365"/>
      <c r="U61" s="365"/>
      <c r="V61" s="365"/>
      <c r="W61" s="184"/>
    </row>
    <row r="62" spans="1:23" s="157" customFormat="1" ht="12" customHeight="1" x14ac:dyDescent="0.2">
      <c r="A62" s="182"/>
      <c r="B62" s="172"/>
      <c r="C62" s="173" t="s">
        <v>173</v>
      </c>
      <c r="D62" s="174"/>
      <c r="E62" s="572"/>
      <c r="F62" s="227">
        <f>aputaulu!F19</f>
        <v>0</v>
      </c>
      <c r="G62" s="227">
        <f>aputaulu!G19</f>
        <v>0</v>
      </c>
      <c r="H62" s="227">
        <f>aputaulu!H19</f>
        <v>0</v>
      </c>
      <c r="I62" s="227">
        <f>aputaulu!I19</f>
        <v>0</v>
      </c>
      <c r="J62" s="227">
        <f>aputaulu!J19</f>
        <v>0</v>
      </c>
      <c r="K62" s="227">
        <f>aputaulu!K19</f>
        <v>0</v>
      </c>
      <c r="L62" s="228">
        <f>aputaulu!L19</f>
        <v>0</v>
      </c>
      <c r="N62" s="366"/>
      <c r="O62" s="365"/>
      <c r="P62" s="365"/>
      <c r="Q62" s="365"/>
      <c r="R62" s="365"/>
      <c r="S62" s="365"/>
      <c r="T62" s="365"/>
      <c r="U62" s="365"/>
      <c r="V62" s="365"/>
      <c r="W62" s="184"/>
    </row>
    <row r="63" spans="1:23" s="157" customFormat="1" ht="12" customHeight="1" x14ac:dyDescent="0.2">
      <c r="A63"/>
      <c r="B63" s="172"/>
      <c r="C63" s="173" t="s">
        <v>172</v>
      </c>
      <c r="D63" s="174"/>
      <c r="E63" s="573"/>
      <c r="F63" s="227">
        <f>aputaulu!F23</f>
        <v>0</v>
      </c>
      <c r="G63" s="227">
        <f>aputaulu!G23</f>
        <v>0</v>
      </c>
      <c r="H63" s="227">
        <f>aputaulu!H23</f>
        <v>0</v>
      </c>
      <c r="I63" s="227">
        <f>aputaulu!I23</f>
        <v>0</v>
      </c>
      <c r="J63" s="227">
        <f>aputaulu!J23</f>
        <v>0</v>
      </c>
      <c r="K63" s="227">
        <f>aputaulu!K23</f>
        <v>0</v>
      </c>
      <c r="L63" s="228">
        <f>aputaulu!L23</f>
        <v>0</v>
      </c>
      <c r="N63" s="366"/>
      <c r="O63" s="365"/>
      <c r="P63" s="365"/>
      <c r="Q63" s="365"/>
      <c r="R63" s="365"/>
      <c r="S63" s="365"/>
      <c r="T63" s="365"/>
      <c r="U63" s="365"/>
      <c r="V63" s="365"/>
      <c r="W63" s="184"/>
    </row>
    <row r="64" spans="1:23" s="157" customFormat="1" ht="12" customHeight="1" x14ac:dyDescent="0.2">
      <c r="A64" s="182"/>
      <c r="B64" s="259"/>
      <c r="C64" s="260" t="s">
        <v>45</v>
      </c>
      <c r="D64" s="261"/>
      <c r="E64" s="575"/>
      <c r="F64" s="262">
        <f>aputaulu!F24</f>
        <v>0</v>
      </c>
      <c r="G64" s="262">
        <f>aputaulu!G24</f>
        <v>0</v>
      </c>
      <c r="H64" s="262">
        <f>aputaulu!H24</f>
        <v>0</v>
      </c>
      <c r="I64" s="262">
        <f>aputaulu!I24</f>
        <v>0</v>
      </c>
      <c r="J64" s="262">
        <f>aputaulu!J24</f>
        <v>0</v>
      </c>
      <c r="K64" s="262">
        <f>aputaulu!K24</f>
        <v>0</v>
      </c>
      <c r="L64" s="378">
        <f>aputaulu!L24</f>
        <v>0</v>
      </c>
      <c r="N64" s="366"/>
      <c r="O64" s="365"/>
      <c r="P64" s="365"/>
      <c r="Q64" s="365"/>
      <c r="R64" s="365"/>
      <c r="S64" s="365"/>
      <c r="T64" s="365"/>
      <c r="U64" s="365"/>
      <c r="V64" s="365"/>
      <c r="W64" s="184"/>
    </row>
    <row r="65" spans="1:23" s="157" customFormat="1" ht="12" customHeight="1" thickBot="1" x14ac:dyDescent="0.25">
      <c r="A65"/>
      <c r="B65" s="175"/>
      <c r="C65" s="176" t="s">
        <v>47</v>
      </c>
      <c r="D65" s="177"/>
      <c r="E65" s="574"/>
      <c r="F65" s="248">
        <f>aputaulu!F25</f>
        <v>0</v>
      </c>
      <c r="G65" s="248">
        <f>aputaulu!G25</f>
        <v>0</v>
      </c>
      <c r="H65" s="248">
        <f>aputaulu!H25</f>
        <v>0</v>
      </c>
      <c r="I65" s="248">
        <f>aputaulu!I25</f>
        <v>0</v>
      </c>
      <c r="J65" s="248">
        <f>aputaulu!J25</f>
        <v>0</v>
      </c>
      <c r="K65" s="248">
        <f>aputaulu!K25</f>
        <v>0</v>
      </c>
      <c r="L65" s="249">
        <f>aputaulu!L25</f>
        <v>0</v>
      </c>
      <c r="N65" s="366"/>
      <c r="O65" s="365"/>
      <c r="P65" s="365"/>
      <c r="Q65" s="365"/>
      <c r="R65" s="365"/>
      <c r="S65" s="365"/>
      <c r="T65" s="365"/>
      <c r="U65" s="365"/>
      <c r="V65" s="365"/>
      <c r="W65" s="184"/>
    </row>
    <row r="66" spans="1:23" ht="12" customHeight="1" x14ac:dyDescent="0.2">
      <c r="B66" s="95" t="s">
        <v>21</v>
      </c>
      <c r="C66" s="856" t="s">
        <v>195</v>
      </c>
      <c r="D66" s="857"/>
      <c r="E66" s="571" t="s">
        <v>51</v>
      </c>
      <c r="F66" s="239">
        <v>0</v>
      </c>
      <c r="G66" s="239">
        <v>0</v>
      </c>
      <c r="H66" s="239">
        <v>0</v>
      </c>
      <c r="I66" s="239">
        <v>0</v>
      </c>
      <c r="J66" s="239">
        <v>0</v>
      </c>
      <c r="K66" s="239">
        <v>0</v>
      </c>
      <c r="L66" s="240">
        <v>0</v>
      </c>
      <c r="N66" s="366"/>
      <c r="O66" s="365"/>
      <c r="P66" s="365"/>
      <c r="Q66" s="365"/>
      <c r="R66" s="365"/>
      <c r="S66" s="365"/>
      <c r="T66" s="365"/>
      <c r="U66" s="365"/>
      <c r="V66" s="365"/>
      <c r="W66" s="184"/>
    </row>
    <row r="67" spans="1:23" s="157" customFormat="1" ht="12" customHeight="1" x14ac:dyDescent="0.2">
      <c r="B67" s="169"/>
      <c r="C67" s="872" t="s">
        <v>171</v>
      </c>
      <c r="D67" s="873"/>
      <c r="E67" s="572"/>
      <c r="F67" s="250">
        <v>0</v>
      </c>
      <c r="G67" s="250">
        <f t="shared" ref="G67:L68" si="32">F67</f>
        <v>0</v>
      </c>
      <c r="H67" s="250">
        <f t="shared" si="32"/>
        <v>0</v>
      </c>
      <c r="I67" s="250">
        <f t="shared" si="32"/>
        <v>0</v>
      </c>
      <c r="J67" s="250">
        <f t="shared" si="32"/>
        <v>0</v>
      </c>
      <c r="K67" s="250">
        <f t="shared" si="32"/>
        <v>0</v>
      </c>
      <c r="L67" s="251">
        <f t="shared" si="32"/>
        <v>0</v>
      </c>
      <c r="N67" s="366"/>
      <c r="O67" s="365"/>
      <c r="P67" s="365"/>
      <c r="Q67" s="365"/>
      <c r="R67" s="365"/>
      <c r="S67" s="365"/>
      <c r="T67" s="365"/>
      <c r="U67" s="365"/>
      <c r="V67" s="365"/>
      <c r="W67" s="184"/>
    </row>
    <row r="68" spans="1:23" s="157" customFormat="1" ht="12" customHeight="1" x14ac:dyDescent="0.2">
      <c r="B68" s="172"/>
      <c r="C68" s="173" t="s">
        <v>46</v>
      </c>
      <c r="D68" s="174"/>
      <c r="E68" s="573"/>
      <c r="F68" s="231">
        <v>0</v>
      </c>
      <c r="G68" s="231">
        <f>F68</f>
        <v>0</v>
      </c>
      <c r="H68" s="231">
        <f>G68</f>
        <v>0</v>
      </c>
      <c r="I68" s="231">
        <f t="shared" si="32"/>
        <v>0</v>
      </c>
      <c r="J68" s="231">
        <f t="shared" si="32"/>
        <v>0</v>
      </c>
      <c r="K68" s="231">
        <f t="shared" si="32"/>
        <v>0</v>
      </c>
      <c r="L68" s="232">
        <f t="shared" si="32"/>
        <v>0</v>
      </c>
      <c r="N68" s="366"/>
      <c r="O68" s="365"/>
      <c r="P68" s="365"/>
      <c r="Q68" s="365"/>
      <c r="R68" s="365"/>
      <c r="S68" s="365"/>
      <c r="T68" s="365"/>
      <c r="U68" s="365"/>
      <c r="V68" s="365"/>
      <c r="W68" s="184"/>
    </row>
    <row r="69" spans="1:23" s="157" customFormat="1" ht="12" customHeight="1" x14ac:dyDescent="0.2">
      <c r="B69" s="172"/>
      <c r="C69" s="173" t="s">
        <v>173</v>
      </c>
      <c r="D69" s="174"/>
      <c r="E69" s="572"/>
      <c r="F69" s="227">
        <f>aputaulu!F30</f>
        <v>0</v>
      </c>
      <c r="G69" s="227">
        <f>aputaulu!G30</f>
        <v>0</v>
      </c>
      <c r="H69" s="227">
        <f>aputaulu!H30</f>
        <v>0</v>
      </c>
      <c r="I69" s="227">
        <f>aputaulu!I30</f>
        <v>0</v>
      </c>
      <c r="J69" s="227">
        <f>aputaulu!J30</f>
        <v>0</v>
      </c>
      <c r="K69" s="227">
        <f>aputaulu!K30</f>
        <v>0</v>
      </c>
      <c r="L69" s="228">
        <f>aputaulu!L30</f>
        <v>0</v>
      </c>
      <c r="N69" s="366"/>
      <c r="O69" s="365"/>
      <c r="P69" s="365"/>
      <c r="Q69" s="365"/>
      <c r="R69" s="365"/>
      <c r="S69" s="365"/>
      <c r="T69" s="365"/>
      <c r="U69" s="365"/>
      <c r="V69" s="365"/>
      <c r="W69" s="184"/>
    </row>
    <row r="70" spans="1:23" s="157" customFormat="1" ht="12" customHeight="1" x14ac:dyDescent="0.2">
      <c r="B70" s="172"/>
      <c r="C70" s="173" t="s">
        <v>172</v>
      </c>
      <c r="D70" s="174"/>
      <c r="E70" s="573"/>
      <c r="F70" s="227">
        <f>aputaulu!F34</f>
        <v>0</v>
      </c>
      <c r="G70" s="227">
        <f>aputaulu!G34</f>
        <v>0</v>
      </c>
      <c r="H70" s="227">
        <f>aputaulu!H34</f>
        <v>0</v>
      </c>
      <c r="I70" s="227">
        <f>aputaulu!I34</f>
        <v>0</v>
      </c>
      <c r="J70" s="227">
        <f>aputaulu!J34</f>
        <v>0</v>
      </c>
      <c r="K70" s="227">
        <f>aputaulu!K34</f>
        <v>0</v>
      </c>
      <c r="L70" s="228">
        <f>aputaulu!L34</f>
        <v>0</v>
      </c>
      <c r="N70" s="366"/>
      <c r="O70" s="365"/>
      <c r="P70" s="365"/>
      <c r="Q70" s="365"/>
      <c r="R70" s="365"/>
      <c r="S70" s="365"/>
      <c r="T70" s="365"/>
      <c r="U70" s="365"/>
      <c r="V70" s="365"/>
      <c r="W70" s="184"/>
    </row>
    <row r="71" spans="1:23" s="157" customFormat="1" ht="12" customHeight="1" x14ac:dyDescent="0.2">
      <c r="B71" s="259"/>
      <c r="C71" s="260" t="s">
        <v>45</v>
      </c>
      <c r="D71" s="261"/>
      <c r="E71" s="575"/>
      <c r="F71" s="262">
        <f>aputaulu!F35</f>
        <v>0</v>
      </c>
      <c r="G71" s="262">
        <f>aputaulu!G35</f>
        <v>0</v>
      </c>
      <c r="H71" s="262">
        <f>aputaulu!H35</f>
        <v>0</v>
      </c>
      <c r="I71" s="262">
        <f>aputaulu!I35</f>
        <v>0</v>
      </c>
      <c r="J71" s="262">
        <f>aputaulu!J35</f>
        <v>0</v>
      </c>
      <c r="K71" s="262">
        <f>aputaulu!K35</f>
        <v>0</v>
      </c>
      <c r="L71" s="378">
        <f>aputaulu!L35</f>
        <v>0</v>
      </c>
      <c r="N71" s="366"/>
      <c r="O71" s="365"/>
      <c r="P71" s="365"/>
      <c r="Q71" s="365"/>
      <c r="R71" s="365"/>
      <c r="S71" s="365"/>
      <c r="T71" s="365"/>
      <c r="U71" s="365"/>
      <c r="V71" s="365"/>
      <c r="W71" s="184"/>
    </row>
    <row r="72" spans="1:23" s="157" customFormat="1" ht="12" customHeight="1" thickBot="1" x14ac:dyDescent="0.25">
      <c r="B72" s="175"/>
      <c r="C72" s="176" t="s">
        <v>47</v>
      </c>
      <c r="D72" s="177"/>
      <c r="E72" s="574"/>
      <c r="F72" s="248">
        <f>aputaulu!F36</f>
        <v>0</v>
      </c>
      <c r="G72" s="248">
        <f>aputaulu!G36</f>
        <v>0</v>
      </c>
      <c r="H72" s="248">
        <f>aputaulu!H36</f>
        <v>0</v>
      </c>
      <c r="I72" s="248">
        <f>aputaulu!I36</f>
        <v>0</v>
      </c>
      <c r="J72" s="248">
        <f>aputaulu!J36</f>
        <v>0</v>
      </c>
      <c r="K72" s="248">
        <f>aputaulu!K36</f>
        <v>0</v>
      </c>
      <c r="L72" s="249">
        <f>aputaulu!L36</f>
        <v>0</v>
      </c>
      <c r="N72" s="369"/>
      <c r="O72" s="370"/>
      <c r="P72" s="370"/>
      <c r="Q72" s="370"/>
      <c r="R72" s="370"/>
      <c r="S72" s="370"/>
      <c r="T72" s="370"/>
      <c r="U72" s="370"/>
      <c r="V72" s="370"/>
      <c r="W72" s="187"/>
    </row>
    <row r="73" spans="1:23" ht="12" customHeight="1" x14ac:dyDescent="0.2">
      <c r="B73" s="95" t="s">
        <v>22</v>
      </c>
      <c r="C73" s="856" t="s">
        <v>194</v>
      </c>
      <c r="D73" s="857"/>
      <c r="E73" s="571" t="s">
        <v>51</v>
      </c>
      <c r="F73" s="239">
        <v>0</v>
      </c>
      <c r="G73" s="239">
        <v>0</v>
      </c>
      <c r="H73" s="239">
        <v>0</v>
      </c>
      <c r="I73" s="239">
        <v>0</v>
      </c>
      <c r="J73" s="239">
        <v>0</v>
      </c>
      <c r="K73" s="239">
        <v>0</v>
      </c>
      <c r="L73" s="240">
        <v>0</v>
      </c>
      <c r="N73" s="366"/>
      <c r="O73" s="365"/>
      <c r="P73" s="365"/>
      <c r="Q73" s="365"/>
      <c r="R73" s="365"/>
      <c r="S73" s="365"/>
      <c r="T73" s="365"/>
      <c r="U73" s="365"/>
      <c r="V73" s="365"/>
      <c r="W73" s="184"/>
    </row>
    <row r="74" spans="1:23" s="157" customFormat="1" ht="12" customHeight="1" x14ac:dyDescent="0.2">
      <c r="B74" s="169"/>
      <c r="C74" s="872" t="s">
        <v>171</v>
      </c>
      <c r="D74" s="873"/>
      <c r="E74" s="572"/>
      <c r="F74" s="250">
        <v>0</v>
      </c>
      <c r="G74" s="250">
        <f t="shared" ref="G74:L74" si="33">F74</f>
        <v>0</v>
      </c>
      <c r="H74" s="250">
        <f t="shared" si="33"/>
        <v>0</v>
      </c>
      <c r="I74" s="250">
        <f t="shared" si="33"/>
        <v>0</v>
      </c>
      <c r="J74" s="250">
        <f t="shared" si="33"/>
        <v>0</v>
      </c>
      <c r="K74" s="250">
        <f t="shared" si="33"/>
        <v>0</v>
      </c>
      <c r="L74" s="251">
        <f t="shared" si="33"/>
        <v>0</v>
      </c>
      <c r="N74" s="366"/>
      <c r="O74" s="365"/>
      <c r="P74" s="365"/>
      <c r="Q74" s="365"/>
      <c r="R74" s="365"/>
      <c r="S74" s="365"/>
      <c r="T74" s="365"/>
      <c r="U74" s="365"/>
      <c r="V74" s="365"/>
      <c r="W74" s="184"/>
    </row>
    <row r="75" spans="1:23" s="157" customFormat="1" ht="12" customHeight="1" x14ac:dyDescent="0.2">
      <c r="B75" s="172"/>
      <c r="C75" s="173" t="s">
        <v>46</v>
      </c>
      <c r="D75" s="174"/>
      <c r="E75" s="573"/>
      <c r="F75" s="231">
        <v>0</v>
      </c>
      <c r="G75" s="231">
        <f t="shared" ref="G75:L75" si="34">F75</f>
        <v>0</v>
      </c>
      <c r="H75" s="231">
        <f t="shared" si="34"/>
        <v>0</v>
      </c>
      <c r="I75" s="231">
        <f t="shared" si="34"/>
        <v>0</v>
      </c>
      <c r="J75" s="231">
        <f t="shared" si="34"/>
        <v>0</v>
      </c>
      <c r="K75" s="231">
        <f t="shared" si="34"/>
        <v>0</v>
      </c>
      <c r="L75" s="232">
        <f t="shared" si="34"/>
        <v>0</v>
      </c>
      <c r="N75" s="366"/>
      <c r="O75" s="365"/>
      <c r="P75" s="365"/>
      <c r="Q75" s="365"/>
      <c r="R75" s="365"/>
      <c r="S75" s="365"/>
      <c r="T75" s="365"/>
      <c r="U75" s="365"/>
      <c r="V75" s="365"/>
      <c r="W75" s="184"/>
    </row>
    <row r="76" spans="1:23" s="157" customFormat="1" ht="12" customHeight="1" x14ac:dyDescent="0.2">
      <c r="B76" s="172"/>
      <c r="C76" s="173" t="s">
        <v>173</v>
      </c>
      <c r="D76" s="174"/>
      <c r="E76" s="572"/>
      <c r="F76" s="227">
        <f>aputaulu!F41</f>
        <v>0</v>
      </c>
      <c r="G76" s="227">
        <f>aputaulu!G41</f>
        <v>0</v>
      </c>
      <c r="H76" s="227">
        <f>aputaulu!H41</f>
        <v>0</v>
      </c>
      <c r="I76" s="227">
        <f>aputaulu!I41</f>
        <v>0</v>
      </c>
      <c r="J76" s="227">
        <f>aputaulu!J41</f>
        <v>0</v>
      </c>
      <c r="K76" s="227">
        <f>aputaulu!K41</f>
        <v>0</v>
      </c>
      <c r="L76" s="228">
        <f>aputaulu!L41</f>
        <v>0</v>
      </c>
      <c r="N76" s="366"/>
      <c r="O76" s="365"/>
      <c r="P76" s="365"/>
      <c r="Q76" s="365"/>
      <c r="R76" s="365"/>
      <c r="S76" s="365"/>
      <c r="T76" s="365"/>
      <c r="U76" s="365"/>
      <c r="V76" s="365"/>
      <c r="W76" s="184"/>
    </row>
    <row r="77" spans="1:23" s="157" customFormat="1" ht="12" customHeight="1" x14ac:dyDescent="0.2">
      <c r="B77" s="172"/>
      <c r="C77" s="173" t="s">
        <v>172</v>
      </c>
      <c r="D77" s="174"/>
      <c r="E77" s="573"/>
      <c r="F77" s="227">
        <f>aputaulu!F45</f>
        <v>0</v>
      </c>
      <c r="G77" s="227">
        <f>aputaulu!G45</f>
        <v>0</v>
      </c>
      <c r="H77" s="227">
        <f>aputaulu!H45</f>
        <v>0</v>
      </c>
      <c r="I77" s="227">
        <f>aputaulu!I45</f>
        <v>0</v>
      </c>
      <c r="J77" s="227">
        <f>aputaulu!J45</f>
        <v>0</v>
      </c>
      <c r="K77" s="227">
        <f>aputaulu!K45</f>
        <v>0</v>
      </c>
      <c r="L77" s="228">
        <f>aputaulu!L45</f>
        <v>0</v>
      </c>
      <c r="N77" s="366"/>
      <c r="O77" s="365"/>
      <c r="P77" s="365"/>
      <c r="Q77" s="365"/>
      <c r="R77" s="365"/>
      <c r="S77" s="365"/>
      <c r="T77" s="365"/>
      <c r="U77" s="365"/>
      <c r="V77" s="365"/>
      <c r="W77" s="184"/>
    </row>
    <row r="78" spans="1:23" s="157" customFormat="1" ht="12" customHeight="1" x14ac:dyDescent="0.2">
      <c r="B78" s="259"/>
      <c r="C78" s="260" t="s">
        <v>45</v>
      </c>
      <c r="D78" s="261"/>
      <c r="E78" s="575"/>
      <c r="F78" s="262">
        <f>aputaulu!F46</f>
        <v>0</v>
      </c>
      <c r="G78" s="262">
        <f>aputaulu!G46</f>
        <v>0</v>
      </c>
      <c r="H78" s="262">
        <f>aputaulu!H46</f>
        <v>0</v>
      </c>
      <c r="I78" s="262">
        <f>aputaulu!I46</f>
        <v>0</v>
      </c>
      <c r="J78" s="262">
        <f>aputaulu!J46</f>
        <v>0</v>
      </c>
      <c r="K78" s="262">
        <f>aputaulu!K46</f>
        <v>0</v>
      </c>
      <c r="L78" s="378">
        <f>aputaulu!L46</f>
        <v>0</v>
      </c>
      <c r="N78" s="366"/>
      <c r="O78" s="365"/>
      <c r="P78" s="365"/>
      <c r="Q78" s="365"/>
      <c r="R78" s="365"/>
      <c r="S78" s="365"/>
      <c r="T78" s="365"/>
      <c r="U78" s="365"/>
      <c r="V78" s="365"/>
      <c r="W78" s="184"/>
    </row>
    <row r="79" spans="1:23" s="157" customFormat="1" ht="12" customHeight="1" thickBot="1" x14ac:dyDescent="0.25">
      <c r="B79" s="175"/>
      <c r="C79" s="176" t="s">
        <v>47</v>
      </c>
      <c r="D79" s="177"/>
      <c r="E79" s="574"/>
      <c r="F79" s="248">
        <f>aputaulu!F47</f>
        <v>0</v>
      </c>
      <c r="G79" s="248">
        <f>aputaulu!G47</f>
        <v>0</v>
      </c>
      <c r="H79" s="248">
        <f>aputaulu!H47</f>
        <v>0</v>
      </c>
      <c r="I79" s="248">
        <f>aputaulu!I47</f>
        <v>0</v>
      </c>
      <c r="J79" s="248">
        <f>aputaulu!J47</f>
        <v>0</v>
      </c>
      <c r="K79" s="248">
        <f>aputaulu!K47</f>
        <v>0</v>
      </c>
      <c r="L79" s="249">
        <f>aputaulu!L47</f>
        <v>0</v>
      </c>
      <c r="N79" s="366"/>
      <c r="O79" s="365"/>
      <c r="P79" s="365"/>
      <c r="Q79" s="365"/>
      <c r="R79" s="365"/>
      <c r="S79" s="365"/>
      <c r="T79" s="365"/>
      <c r="U79" s="365"/>
      <c r="V79" s="365"/>
      <c r="W79" s="184"/>
    </row>
    <row r="80" spans="1:23" ht="12" customHeight="1" thickBot="1" x14ac:dyDescent="0.25">
      <c r="B80" s="75" t="s">
        <v>92</v>
      </c>
      <c r="C80" s="142"/>
      <c r="D80" s="143"/>
      <c r="E80" s="144"/>
      <c r="F80" s="252">
        <f t="shared" ref="F80:L80" si="35">IF(F33+F39+F45+F51+F58+F65+F72+F79&lt;0,0,F33+F39+F45+F51+F58+F65+F72+F79)</f>
        <v>0</v>
      </c>
      <c r="G80" s="252">
        <f>IF(G33+G39+G45+G51+G58+G65+G72+G79&lt;0,0,G33+G39+G45+G51+G58+G65+G72+G79)</f>
        <v>0</v>
      </c>
      <c r="H80" s="252">
        <f t="shared" si="35"/>
        <v>0</v>
      </c>
      <c r="I80" s="252">
        <f t="shared" si="35"/>
        <v>0</v>
      </c>
      <c r="J80" s="252">
        <f t="shared" si="35"/>
        <v>0</v>
      </c>
      <c r="K80" s="252">
        <f t="shared" si="35"/>
        <v>0</v>
      </c>
      <c r="L80" s="253">
        <f t="shared" si="35"/>
        <v>0</v>
      </c>
      <c r="N80" s="366"/>
      <c r="O80" s="365"/>
      <c r="P80" s="365"/>
      <c r="Q80" s="365"/>
      <c r="R80" s="365"/>
      <c r="S80" s="365"/>
      <c r="T80" s="365"/>
      <c r="U80" s="365"/>
      <c r="V80" s="365"/>
      <c r="W80" s="184"/>
    </row>
    <row r="81" spans="1:23" ht="12" customHeight="1" thickBot="1" x14ac:dyDescent="0.25">
      <c r="B81" s="360" t="s">
        <v>23</v>
      </c>
      <c r="C81" s="84" t="s">
        <v>91</v>
      </c>
      <c r="D81" s="83"/>
      <c r="E81" s="576"/>
      <c r="F81" s="254">
        <f t="shared" ref="F81:L81" si="36">F11*F10/1.23+F17*F16/1.23+F20*F21</f>
        <v>0</v>
      </c>
      <c r="G81" s="254">
        <f t="shared" si="36"/>
        <v>0</v>
      </c>
      <c r="H81" s="254">
        <f t="shared" si="36"/>
        <v>0</v>
      </c>
      <c r="I81" s="254">
        <f t="shared" si="36"/>
        <v>0</v>
      </c>
      <c r="J81" s="254">
        <f t="shared" si="36"/>
        <v>0</v>
      </c>
      <c r="K81" s="254">
        <f t="shared" si="36"/>
        <v>0</v>
      </c>
      <c r="L81" s="255">
        <f t="shared" si="36"/>
        <v>0</v>
      </c>
      <c r="N81" s="366"/>
      <c r="O81" s="365"/>
      <c r="P81" s="365"/>
      <c r="Q81" s="365"/>
      <c r="R81" s="365"/>
      <c r="S81" s="365"/>
      <c r="T81" s="365"/>
      <c r="U81" s="365"/>
      <c r="V81" s="365"/>
      <c r="W81" s="184"/>
    </row>
    <row r="82" spans="1:23" ht="12" customHeight="1" thickBot="1" x14ac:dyDescent="0.25">
      <c r="B82" s="360" t="s">
        <v>24</v>
      </c>
      <c r="C82" s="85" t="s">
        <v>122</v>
      </c>
      <c r="D82" s="86"/>
      <c r="E82" s="576"/>
      <c r="F82" s="254">
        <f>(F10+F16+F22)-(1/(1+F23))*(F10+F16+F22)</f>
        <v>0</v>
      </c>
      <c r="G82" s="254">
        <f t="shared" ref="G82:L82" si="37">(G10+G16+G22)-(1/(1+G23))*(G10+G16+G22)</f>
        <v>0</v>
      </c>
      <c r="H82" s="254">
        <f t="shared" si="37"/>
        <v>0</v>
      </c>
      <c r="I82" s="254">
        <f t="shared" si="37"/>
        <v>0</v>
      </c>
      <c r="J82" s="254">
        <f t="shared" si="37"/>
        <v>0</v>
      </c>
      <c r="K82" s="254">
        <f t="shared" si="37"/>
        <v>0</v>
      </c>
      <c r="L82" s="255">
        <f t="shared" si="37"/>
        <v>0</v>
      </c>
      <c r="N82" s="366"/>
      <c r="O82" s="365"/>
      <c r="P82" s="365"/>
      <c r="Q82" s="365"/>
      <c r="R82" s="365"/>
      <c r="S82" s="365"/>
      <c r="T82" s="365"/>
      <c r="U82" s="365"/>
      <c r="V82" s="365"/>
      <c r="W82" s="184"/>
    </row>
    <row r="83" spans="1:23" ht="12" customHeight="1" thickBot="1" x14ac:dyDescent="0.25">
      <c r="B83" s="360" t="s">
        <v>154</v>
      </c>
      <c r="C83" s="882" t="s">
        <v>121</v>
      </c>
      <c r="D83" s="883"/>
      <c r="E83" s="576"/>
      <c r="F83" s="254">
        <f t="shared" ref="F83:L83" si="38">F84-F28-F34-F40-F46-F52-F59-F66-F73-F81-F82</f>
        <v>0</v>
      </c>
      <c r="G83" s="254">
        <f t="shared" si="38"/>
        <v>0</v>
      </c>
      <c r="H83" s="254">
        <f t="shared" si="38"/>
        <v>0</v>
      </c>
      <c r="I83" s="254">
        <f t="shared" si="38"/>
        <v>0</v>
      </c>
      <c r="J83" s="254">
        <f t="shared" si="38"/>
        <v>0</v>
      </c>
      <c r="K83" s="254">
        <f t="shared" si="38"/>
        <v>0</v>
      </c>
      <c r="L83" s="255">
        <f t="shared" si="38"/>
        <v>0</v>
      </c>
      <c r="N83" s="366"/>
      <c r="O83" s="365"/>
      <c r="P83" s="365"/>
      <c r="Q83" s="365"/>
      <c r="R83" s="365"/>
      <c r="S83" s="365"/>
      <c r="T83" s="365"/>
      <c r="U83" s="365"/>
      <c r="V83" s="365"/>
      <c r="W83" s="184"/>
    </row>
    <row r="84" spans="1:23" s="182" customFormat="1" ht="12" customHeight="1" thickBot="1" x14ac:dyDescent="0.25">
      <c r="B84" s="870" t="s">
        <v>118</v>
      </c>
      <c r="C84" s="871"/>
      <c r="D84" s="863"/>
      <c r="E84" s="577">
        <v>0</v>
      </c>
      <c r="F84" s="243">
        <f t="shared" ref="F84:L84" si="39">F25</f>
        <v>0</v>
      </c>
      <c r="G84" s="243">
        <f t="shared" si="39"/>
        <v>0</v>
      </c>
      <c r="H84" s="243">
        <f t="shared" si="39"/>
        <v>0</v>
      </c>
      <c r="I84" s="243">
        <f t="shared" si="39"/>
        <v>0</v>
      </c>
      <c r="J84" s="243">
        <f t="shared" si="39"/>
        <v>0</v>
      </c>
      <c r="K84" s="243">
        <f t="shared" si="39"/>
        <v>0</v>
      </c>
      <c r="L84" s="244">
        <f t="shared" si="39"/>
        <v>0</v>
      </c>
      <c r="N84" s="366"/>
      <c r="O84" s="365"/>
      <c r="P84" s="365"/>
      <c r="Q84" s="365"/>
      <c r="R84" s="365"/>
      <c r="S84" s="365"/>
      <c r="T84" s="365"/>
      <c r="U84" s="365"/>
      <c r="V84" s="365"/>
      <c r="W84" s="185"/>
    </row>
    <row r="85" spans="1:23" ht="6" customHeight="1" thickBot="1" x14ac:dyDescent="0.25">
      <c r="B85" s="140"/>
      <c r="C85" s="140"/>
      <c r="D85" s="140"/>
      <c r="E85" s="179"/>
      <c r="F85" s="245"/>
      <c r="G85" s="245"/>
      <c r="H85" s="245"/>
      <c r="I85" s="245"/>
      <c r="J85" s="245"/>
      <c r="K85" s="245"/>
      <c r="L85" s="245"/>
      <c r="N85" s="367"/>
      <c r="O85" s="368"/>
      <c r="P85" s="368"/>
      <c r="Q85" s="368"/>
      <c r="R85" s="368"/>
      <c r="S85" s="368"/>
      <c r="T85" s="368"/>
      <c r="U85" s="368"/>
      <c r="V85" s="368"/>
      <c r="W85" s="186"/>
    </row>
    <row r="86" spans="1:23" ht="12" customHeight="1" thickBot="1" x14ac:dyDescent="0.25">
      <c r="B86" s="516" t="s">
        <v>268</v>
      </c>
      <c r="C86" s="488"/>
      <c r="D86" s="488"/>
      <c r="E86" s="517"/>
      <c r="F86" s="518"/>
      <c r="G86" s="518"/>
      <c r="H86" s="518"/>
      <c r="I86" s="518"/>
      <c r="J86" s="518"/>
      <c r="K86" s="518"/>
      <c r="L86" s="519"/>
      <c r="N86" s="455" t="s">
        <v>50</v>
      </c>
      <c r="O86" s="456"/>
      <c r="P86" s="456"/>
      <c r="Q86" s="457"/>
      <c r="R86" s="256"/>
      <c r="S86" s="256"/>
      <c r="T86" s="256"/>
      <c r="U86" s="256"/>
      <c r="V86" s="256"/>
      <c r="W86" s="256"/>
    </row>
    <row r="87" spans="1:23" ht="12" customHeight="1" x14ac:dyDescent="0.2">
      <c r="A87" s="2"/>
      <c r="B87" s="95" t="s">
        <v>15</v>
      </c>
      <c r="C87" s="102" t="s">
        <v>248</v>
      </c>
      <c r="D87" s="96" t="s">
        <v>93</v>
      </c>
      <c r="E87" s="101">
        <v>0</v>
      </c>
      <c r="F87" s="235">
        <f t="shared" ref="F87:L87" si="40">IF(F88-F89&lt;0,0,F88-F89)</f>
        <v>0</v>
      </c>
      <c r="G87" s="235">
        <f t="shared" si="40"/>
        <v>0</v>
      </c>
      <c r="H87" s="235">
        <f t="shared" si="40"/>
        <v>0</v>
      </c>
      <c r="I87" s="235">
        <f t="shared" si="40"/>
        <v>0</v>
      </c>
      <c r="J87" s="235">
        <f t="shared" si="40"/>
        <v>0</v>
      </c>
      <c r="K87" s="235">
        <f t="shared" si="40"/>
        <v>0</v>
      </c>
      <c r="L87" s="236">
        <f t="shared" si="40"/>
        <v>0</v>
      </c>
      <c r="N87" s="366"/>
      <c r="O87" s="365"/>
      <c r="P87" s="365"/>
      <c r="Q87" s="365"/>
      <c r="R87" s="365"/>
      <c r="S87" s="365"/>
      <c r="T87" s="365"/>
      <c r="U87" s="365"/>
      <c r="V87" s="365"/>
      <c r="W87" s="184"/>
    </row>
    <row r="88" spans="1:23" s="157" customFormat="1" ht="12" customHeight="1" x14ac:dyDescent="0.2">
      <c r="A88" s="182"/>
      <c r="B88" s="172"/>
      <c r="C88" s="173" t="s">
        <v>44</v>
      </c>
      <c r="D88" s="174"/>
      <c r="E88" s="578"/>
      <c r="F88" s="227">
        <f>E87</f>
        <v>0</v>
      </c>
      <c r="G88" s="227">
        <f t="shared" ref="G88:L88" si="41">IF(F87=0,0,F87)</f>
        <v>0</v>
      </c>
      <c r="H88" s="227">
        <f t="shared" si="41"/>
        <v>0</v>
      </c>
      <c r="I88" s="227">
        <f t="shared" si="41"/>
        <v>0</v>
      </c>
      <c r="J88" s="227">
        <f t="shared" si="41"/>
        <v>0</v>
      </c>
      <c r="K88" s="227">
        <f t="shared" si="41"/>
        <v>0</v>
      </c>
      <c r="L88" s="228">
        <f t="shared" si="41"/>
        <v>0</v>
      </c>
      <c r="N88" s="366"/>
      <c r="O88" s="365"/>
      <c r="P88" s="365"/>
      <c r="Q88" s="365"/>
      <c r="R88" s="365"/>
      <c r="S88" s="365"/>
      <c r="T88" s="365"/>
      <c r="U88" s="365"/>
      <c r="V88" s="365"/>
      <c r="W88" s="184"/>
    </row>
    <row r="89" spans="1:23" s="157" customFormat="1" ht="12" customHeight="1" x14ac:dyDescent="0.2">
      <c r="A89" s="182"/>
      <c r="B89" s="172"/>
      <c r="C89" s="173" t="s">
        <v>45</v>
      </c>
      <c r="D89" s="174"/>
      <c r="E89" s="561">
        <v>0</v>
      </c>
      <c r="F89" s="229">
        <v>0</v>
      </c>
      <c r="G89" s="229">
        <f t="shared" ref="G89:L89" si="42">F89</f>
        <v>0</v>
      </c>
      <c r="H89" s="229">
        <f t="shared" si="42"/>
        <v>0</v>
      </c>
      <c r="I89" s="229">
        <f t="shared" si="42"/>
        <v>0</v>
      </c>
      <c r="J89" s="229">
        <f t="shared" si="42"/>
        <v>0</v>
      </c>
      <c r="K89" s="229">
        <f t="shared" si="42"/>
        <v>0</v>
      </c>
      <c r="L89" s="230">
        <f t="shared" si="42"/>
        <v>0</v>
      </c>
      <c r="N89" s="366"/>
      <c r="O89" s="365"/>
      <c r="P89" s="365"/>
      <c r="Q89" s="365"/>
      <c r="R89" s="365"/>
      <c r="S89" s="365"/>
      <c r="T89" s="365"/>
      <c r="U89" s="365"/>
      <c r="V89" s="365"/>
      <c r="W89" s="184"/>
    </row>
    <row r="90" spans="1:23" s="157" customFormat="1" ht="12" customHeight="1" x14ac:dyDescent="0.2">
      <c r="A90"/>
      <c r="B90" s="172"/>
      <c r="C90" s="173" t="s">
        <v>46</v>
      </c>
      <c r="D90" s="174"/>
      <c r="E90" s="579"/>
      <c r="F90" s="231">
        <v>0</v>
      </c>
      <c r="G90" s="231">
        <f t="shared" ref="G90:L90" si="43">F90</f>
        <v>0</v>
      </c>
      <c r="H90" s="231">
        <f t="shared" si="43"/>
        <v>0</v>
      </c>
      <c r="I90" s="231">
        <f t="shared" si="43"/>
        <v>0</v>
      </c>
      <c r="J90" s="231">
        <f t="shared" si="43"/>
        <v>0</v>
      </c>
      <c r="K90" s="231">
        <f t="shared" si="43"/>
        <v>0</v>
      </c>
      <c r="L90" s="232">
        <f t="shared" si="43"/>
        <v>0</v>
      </c>
      <c r="N90" s="366"/>
      <c r="O90" s="365"/>
      <c r="P90" s="365"/>
      <c r="Q90" s="365"/>
      <c r="R90" s="365"/>
      <c r="S90" s="365"/>
      <c r="T90" s="365"/>
      <c r="U90" s="365"/>
      <c r="V90" s="365"/>
      <c r="W90" s="184"/>
    </row>
    <row r="91" spans="1:23" s="157" customFormat="1" ht="12" customHeight="1" thickBot="1" x14ac:dyDescent="0.25">
      <c r="A91" s="182"/>
      <c r="B91" s="175"/>
      <c r="C91" s="176" t="s">
        <v>48</v>
      </c>
      <c r="D91" s="177"/>
      <c r="E91" s="566"/>
      <c r="F91" s="233">
        <f>IF(F88=0,0,(F88-F89/2)*F90)</f>
        <v>0</v>
      </c>
      <c r="G91" s="233">
        <f t="shared" ref="G91:L91" si="44">IF(G88=0,0,(G88-G89/2)*G90)</f>
        <v>0</v>
      </c>
      <c r="H91" s="233">
        <f t="shared" si="44"/>
        <v>0</v>
      </c>
      <c r="I91" s="233">
        <f t="shared" si="44"/>
        <v>0</v>
      </c>
      <c r="J91" s="233">
        <f t="shared" si="44"/>
        <v>0</v>
      </c>
      <c r="K91" s="233">
        <f t="shared" si="44"/>
        <v>0</v>
      </c>
      <c r="L91" s="234">
        <f t="shared" si="44"/>
        <v>0</v>
      </c>
      <c r="N91" s="366"/>
      <c r="O91" s="365"/>
      <c r="P91" s="365"/>
      <c r="Q91" s="365"/>
      <c r="R91" s="365"/>
      <c r="S91" s="365"/>
      <c r="T91" s="365"/>
      <c r="U91" s="365"/>
      <c r="V91" s="365"/>
      <c r="W91" s="184"/>
    </row>
    <row r="92" spans="1:23" ht="12" customHeight="1" x14ac:dyDescent="0.2">
      <c r="A92" s="2"/>
      <c r="B92" s="95" t="s">
        <v>16</v>
      </c>
      <c r="C92" s="102" t="s">
        <v>249</v>
      </c>
      <c r="D92" s="96" t="s">
        <v>93</v>
      </c>
      <c r="E92" s="101">
        <v>0</v>
      </c>
      <c r="F92" s="235">
        <f>IF(F93-F94&lt;0,0,F93-F94)</f>
        <v>0</v>
      </c>
      <c r="G92" s="235">
        <f t="shared" ref="G92:L92" si="45">IF(G93-G94&lt;0,0,G93-G94)</f>
        <v>0</v>
      </c>
      <c r="H92" s="235">
        <f t="shared" si="45"/>
        <v>0</v>
      </c>
      <c r="I92" s="235">
        <f t="shared" si="45"/>
        <v>0</v>
      </c>
      <c r="J92" s="235">
        <f t="shared" si="45"/>
        <v>0</v>
      </c>
      <c r="K92" s="235">
        <f t="shared" si="45"/>
        <v>0</v>
      </c>
      <c r="L92" s="236">
        <f t="shared" si="45"/>
        <v>0</v>
      </c>
      <c r="N92" s="366"/>
      <c r="O92" s="365"/>
      <c r="P92" s="365"/>
      <c r="Q92" s="365"/>
      <c r="R92" s="365"/>
      <c r="S92" s="365"/>
      <c r="T92" s="365"/>
      <c r="U92" s="365"/>
      <c r="V92" s="365"/>
      <c r="W92" s="184"/>
    </row>
    <row r="93" spans="1:23" s="157" customFormat="1" ht="12" customHeight="1" x14ac:dyDescent="0.2">
      <c r="A93" s="2"/>
      <c r="B93" s="172"/>
      <c r="C93" s="173" t="s">
        <v>44</v>
      </c>
      <c r="D93" s="174"/>
      <c r="E93" s="564"/>
      <c r="F93" s="227">
        <f>E92</f>
        <v>0</v>
      </c>
      <c r="G93" s="227">
        <f t="shared" ref="G93:L93" si="46">IF(F92=0,0,F92)</f>
        <v>0</v>
      </c>
      <c r="H93" s="227">
        <f t="shared" si="46"/>
        <v>0</v>
      </c>
      <c r="I93" s="227">
        <f t="shared" si="46"/>
        <v>0</v>
      </c>
      <c r="J93" s="227">
        <f t="shared" si="46"/>
        <v>0</v>
      </c>
      <c r="K93" s="227">
        <f t="shared" si="46"/>
        <v>0</v>
      </c>
      <c r="L93" s="228">
        <f t="shared" si="46"/>
        <v>0</v>
      </c>
      <c r="N93" s="366"/>
      <c r="O93" s="365"/>
      <c r="P93" s="365"/>
      <c r="Q93" s="365"/>
      <c r="R93" s="365"/>
      <c r="S93" s="365"/>
      <c r="T93" s="365"/>
      <c r="U93" s="365"/>
      <c r="V93" s="365"/>
      <c r="W93" s="184"/>
    </row>
    <row r="94" spans="1:23" s="157" customFormat="1" ht="12" customHeight="1" x14ac:dyDescent="0.2">
      <c r="A94" s="182"/>
      <c r="B94" s="172"/>
      <c r="C94" s="173" t="s">
        <v>45</v>
      </c>
      <c r="D94" s="174"/>
      <c r="E94" s="561">
        <v>0</v>
      </c>
      <c r="F94" s="229">
        <v>0</v>
      </c>
      <c r="G94" s="229">
        <f t="shared" ref="G94:L95" si="47">F94</f>
        <v>0</v>
      </c>
      <c r="H94" s="229">
        <f t="shared" si="47"/>
        <v>0</v>
      </c>
      <c r="I94" s="229">
        <f t="shared" si="47"/>
        <v>0</v>
      </c>
      <c r="J94" s="229">
        <f t="shared" si="47"/>
        <v>0</v>
      </c>
      <c r="K94" s="229">
        <f t="shared" si="47"/>
        <v>0</v>
      </c>
      <c r="L94" s="230">
        <f t="shared" si="47"/>
        <v>0</v>
      </c>
      <c r="N94" s="366"/>
      <c r="O94" s="365"/>
      <c r="P94" s="365"/>
      <c r="Q94" s="365"/>
      <c r="R94" s="365"/>
      <c r="S94" s="365"/>
      <c r="T94" s="365"/>
      <c r="U94" s="365"/>
      <c r="V94" s="365"/>
      <c r="W94" s="184"/>
    </row>
    <row r="95" spans="1:23" s="157" customFormat="1" ht="12" customHeight="1" x14ac:dyDescent="0.2">
      <c r="A95"/>
      <c r="B95" s="172"/>
      <c r="C95" s="173" t="s">
        <v>46</v>
      </c>
      <c r="D95" s="174"/>
      <c r="E95" s="579"/>
      <c r="F95" s="231">
        <v>0</v>
      </c>
      <c r="G95" s="231">
        <f t="shared" si="47"/>
        <v>0</v>
      </c>
      <c r="H95" s="231">
        <f t="shared" si="47"/>
        <v>0</v>
      </c>
      <c r="I95" s="231">
        <f t="shared" si="47"/>
        <v>0</v>
      </c>
      <c r="J95" s="231">
        <f t="shared" si="47"/>
        <v>0</v>
      </c>
      <c r="K95" s="231">
        <f t="shared" si="47"/>
        <v>0</v>
      </c>
      <c r="L95" s="232">
        <f t="shared" si="47"/>
        <v>0</v>
      </c>
      <c r="N95" s="366"/>
      <c r="O95" s="365"/>
      <c r="P95" s="365"/>
      <c r="Q95" s="365"/>
      <c r="R95" s="365"/>
      <c r="S95" s="365"/>
      <c r="T95" s="365"/>
      <c r="U95" s="365"/>
      <c r="V95" s="365"/>
      <c r="W95" s="184"/>
    </row>
    <row r="96" spans="1:23" s="157" customFormat="1" ht="12" customHeight="1" thickBot="1" x14ac:dyDescent="0.25">
      <c r="A96" s="182"/>
      <c r="B96" s="175"/>
      <c r="C96" s="176" t="s">
        <v>48</v>
      </c>
      <c r="D96" s="177"/>
      <c r="E96" s="566"/>
      <c r="F96" s="233">
        <f t="shared" ref="F96:L96" si="48">IF(F93=0,0,(F93-F94/2)*F95)</f>
        <v>0</v>
      </c>
      <c r="G96" s="233">
        <f t="shared" si="48"/>
        <v>0</v>
      </c>
      <c r="H96" s="233">
        <f t="shared" si="48"/>
        <v>0</v>
      </c>
      <c r="I96" s="233">
        <f t="shared" si="48"/>
        <v>0</v>
      </c>
      <c r="J96" s="233">
        <f t="shared" si="48"/>
        <v>0</v>
      </c>
      <c r="K96" s="233">
        <f t="shared" si="48"/>
        <v>0</v>
      </c>
      <c r="L96" s="234">
        <f t="shared" si="48"/>
        <v>0</v>
      </c>
      <c r="N96" s="366"/>
      <c r="O96" s="365"/>
      <c r="P96" s="365"/>
      <c r="Q96" s="365"/>
      <c r="R96" s="365"/>
      <c r="S96" s="365"/>
      <c r="T96" s="365"/>
      <c r="U96" s="365"/>
      <c r="V96" s="365"/>
      <c r="W96" s="184"/>
    </row>
    <row r="97" spans="1:23" ht="12" customHeight="1" x14ac:dyDescent="0.2">
      <c r="A97" s="2"/>
      <c r="B97" s="95" t="s">
        <v>17</v>
      </c>
      <c r="C97" s="102" t="s">
        <v>303</v>
      </c>
      <c r="D97" s="96" t="s">
        <v>93</v>
      </c>
      <c r="E97" s="101">
        <v>0</v>
      </c>
      <c r="F97" s="235">
        <f>IF(F98-F99&lt;0,0,F98-F99)</f>
        <v>0</v>
      </c>
      <c r="G97" s="235">
        <f t="shared" ref="G97:L97" si="49">IF(G98-G99&lt;0,0,G98-G99)</f>
        <v>0</v>
      </c>
      <c r="H97" s="235">
        <f t="shared" si="49"/>
        <v>0</v>
      </c>
      <c r="I97" s="235">
        <f t="shared" si="49"/>
        <v>0</v>
      </c>
      <c r="J97" s="235">
        <f t="shared" si="49"/>
        <v>0</v>
      </c>
      <c r="K97" s="235">
        <f t="shared" si="49"/>
        <v>0</v>
      </c>
      <c r="L97" s="236">
        <f t="shared" si="49"/>
        <v>0</v>
      </c>
      <c r="N97" s="366"/>
      <c r="O97" s="365"/>
      <c r="P97" s="365"/>
      <c r="Q97" s="365"/>
      <c r="R97" s="365"/>
      <c r="S97" s="365"/>
      <c r="T97" s="365"/>
      <c r="U97" s="365"/>
      <c r="V97" s="365"/>
      <c r="W97" s="184"/>
    </row>
    <row r="98" spans="1:23" s="157" customFormat="1" ht="12" customHeight="1" x14ac:dyDescent="0.2">
      <c r="A98"/>
      <c r="B98" s="172"/>
      <c r="C98" s="173" t="s">
        <v>44</v>
      </c>
      <c r="D98" s="174"/>
      <c r="E98" s="564"/>
      <c r="F98" s="227">
        <f>E97</f>
        <v>0</v>
      </c>
      <c r="G98" s="227">
        <f t="shared" ref="G98:L98" si="50">IF(F97=0,0,F97)</f>
        <v>0</v>
      </c>
      <c r="H98" s="227">
        <f t="shared" si="50"/>
        <v>0</v>
      </c>
      <c r="I98" s="227">
        <f t="shared" si="50"/>
        <v>0</v>
      </c>
      <c r="J98" s="227">
        <f t="shared" si="50"/>
        <v>0</v>
      </c>
      <c r="K98" s="227">
        <f t="shared" si="50"/>
        <v>0</v>
      </c>
      <c r="L98" s="228">
        <f t="shared" si="50"/>
        <v>0</v>
      </c>
      <c r="N98" s="366"/>
      <c r="O98" s="365"/>
      <c r="P98" s="365"/>
      <c r="Q98" s="365"/>
      <c r="R98" s="365"/>
      <c r="S98" s="365"/>
      <c r="T98" s="365"/>
      <c r="U98" s="365"/>
      <c r="V98" s="365"/>
      <c r="W98" s="184"/>
    </row>
    <row r="99" spans="1:23" s="157" customFormat="1" ht="12" customHeight="1" x14ac:dyDescent="0.2">
      <c r="A99" s="182"/>
      <c r="B99" s="172"/>
      <c r="C99" s="173" t="s">
        <v>45</v>
      </c>
      <c r="D99" s="174"/>
      <c r="E99" s="561">
        <v>0</v>
      </c>
      <c r="F99" s="229">
        <v>0</v>
      </c>
      <c r="G99" s="229">
        <f t="shared" ref="G99:L99" si="51">F99</f>
        <v>0</v>
      </c>
      <c r="H99" s="229">
        <f t="shared" si="51"/>
        <v>0</v>
      </c>
      <c r="I99" s="229">
        <f t="shared" si="51"/>
        <v>0</v>
      </c>
      <c r="J99" s="229">
        <f t="shared" si="51"/>
        <v>0</v>
      </c>
      <c r="K99" s="229">
        <f t="shared" si="51"/>
        <v>0</v>
      </c>
      <c r="L99" s="230">
        <f t="shared" si="51"/>
        <v>0</v>
      </c>
      <c r="N99" s="366"/>
      <c r="O99" s="365"/>
      <c r="P99" s="365"/>
      <c r="Q99" s="365"/>
      <c r="R99" s="365"/>
      <c r="S99" s="365"/>
      <c r="T99" s="365"/>
      <c r="U99" s="365"/>
      <c r="V99" s="365"/>
      <c r="W99" s="184"/>
    </row>
    <row r="100" spans="1:23" s="157" customFormat="1" ht="12" customHeight="1" x14ac:dyDescent="0.2">
      <c r="A100"/>
      <c r="B100" s="172"/>
      <c r="C100" s="173" t="s">
        <v>46</v>
      </c>
      <c r="D100" s="174"/>
      <c r="E100" s="579"/>
      <c r="F100" s="231">
        <v>0</v>
      </c>
      <c r="G100" s="231">
        <f t="shared" ref="G100:L100" si="52">F100</f>
        <v>0</v>
      </c>
      <c r="H100" s="231">
        <f t="shared" si="52"/>
        <v>0</v>
      </c>
      <c r="I100" s="231">
        <f t="shared" si="52"/>
        <v>0</v>
      </c>
      <c r="J100" s="231">
        <f t="shared" si="52"/>
        <v>0</v>
      </c>
      <c r="K100" s="231">
        <f t="shared" si="52"/>
        <v>0</v>
      </c>
      <c r="L100" s="232">
        <f t="shared" si="52"/>
        <v>0</v>
      </c>
      <c r="N100" s="366"/>
      <c r="O100" s="365"/>
      <c r="P100" s="365"/>
      <c r="Q100" s="365"/>
      <c r="R100" s="365"/>
      <c r="S100" s="365"/>
      <c r="T100" s="365"/>
      <c r="U100" s="365"/>
      <c r="V100" s="365"/>
      <c r="W100" s="184"/>
    </row>
    <row r="101" spans="1:23" s="157" customFormat="1" ht="12" customHeight="1" thickBot="1" x14ac:dyDescent="0.25">
      <c r="A101" s="182"/>
      <c r="B101" s="175"/>
      <c r="C101" s="176" t="s">
        <v>48</v>
      </c>
      <c r="D101" s="177"/>
      <c r="E101" s="566"/>
      <c r="F101" s="233">
        <f t="shared" ref="F101:L101" si="53">IF(F98=0,0,(F98-F99/2)*F100)</f>
        <v>0</v>
      </c>
      <c r="G101" s="233">
        <f t="shared" si="53"/>
        <v>0</v>
      </c>
      <c r="H101" s="233">
        <f t="shared" si="53"/>
        <v>0</v>
      </c>
      <c r="I101" s="233">
        <f t="shared" si="53"/>
        <v>0</v>
      </c>
      <c r="J101" s="233">
        <f t="shared" si="53"/>
        <v>0</v>
      </c>
      <c r="K101" s="233">
        <f t="shared" si="53"/>
        <v>0</v>
      </c>
      <c r="L101" s="234">
        <f t="shared" si="53"/>
        <v>0</v>
      </c>
      <c r="N101" s="366"/>
      <c r="O101" s="365"/>
      <c r="P101" s="365"/>
      <c r="Q101" s="365"/>
      <c r="R101" s="365"/>
      <c r="S101" s="365"/>
      <c r="T101" s="365"/>
      <c r="U101" s="365"/>
      <c r="V101" s="365"/>
      <c r="W101" s="184"/>
    </row>
    <row r="102" spans="1:23" ht="12" customHeight="1" x14ac:dyDescent="0.2">
      <c r="B102" s="95" t="s">
        <v>18</v>
      </c>
      <c r="C102" s="102" t="s">
        <v>180</v>
      </c>
      <c r="D102" s="96" t="s">
        <v>93</v>
      </c>
      <c r="E102" s="101">
        <v>0</v>
      </c>
      <c r="F102" s="235">
        <f>IF(F103-F104&lt;0,0,F103-F104)</f>
        <v>0</v>
      </c>
      <c r="G102" s="235">
        <f t="shared" ref="G102:L102" si="54">IF(G103-G104&lt;0,0,G103-G104)</f>
        <v>0</v>
      </c>
      <c r="H102" s="235">
        <f t="shared" si="54"/>
        <v>0</v>
      </c>
      <c r="I102" s="235">
        <f t="shared" si="54"/>
        <v>0</v>
      </c>
      <c r="J102" s="235">
        <f t="shared" si="54"/>
        <v>0</v>
      </c>
      <c r="K102" s="235">
        <f t="shared" si="54"/>
        <v>0</v>
      </c>
      <c r="L102" s="236">
        <f t="shared" si="54"/>
        <v>0</v>
      </c>
      <c r="N102" s="366"/>
      <c r="O102" s="365"/>
      <c r="P102" s="365"/>
      <c r="Q102" s="365"/>
      <c r="R102" s="365"/>
      <c r="S102" s="365"/>
      <c r="T102" s="365"/>
      <c r="U102" s="365"/>
      <c r="V102" s="365"/>
      <c r="W102" s="184"/>
    </row>
    <row r="103" spans="1:23" s="157" customFormat="1" ht="12" customHeight="1" x14ac:dyDescent="0.2">
      <c r="A103"/>
      <c r="B103" s="172"/>
      <c r="C103" s="173" t="s">
        <v>44</v>
      </c>
      <c r="D103" s="174"/>
      <c r="E103" s="564"/>
      <c r="F103" s="227">
        <f>E102</f>
        <v>0</v>
      </c>
      <c r="G103" s="227">
        <f t="shared" ref="G103:L103" si="55">IF(F102=0,0,F102)</f>
        <v>0</v>
      </c>
      <c r="H103" s="227">
        <f t="shared" si="55"/>
        <v>0</v>
      </c>
      <c r="I103" s="227">
        <f t="shared" si="55"/>
        <v>0</v>
      </c>
      <c r="J103" s="227">
        <f t="shared" si="55"/>
        <v>0</v>
      </c>
      <c r="K103" s="227">
        <f t="shared" si="55"/>
        <v>0</v>
      </c>
      <c r="L103" s="228">
        <f t="shared" si="55"/>
        <v>0</v>
      </c>
      <c r="N103" s="366"/>
      <c r="O103" s="365"/>
      <c r="P103" s="365"/>
      <c r="Q103" s="365"/>
      <c r="R103" s="365"/>
      <c r="S103" s="365"/>
      <c r="T103" s="365"/>
      <c r="U103" s="365"/>
      <c r="V103" s="365"/>
      <c r="W103" s="184"/>
    </row>
    <row r="104" spans="1:23" s="157" customFormat="1" ht="12" customHeight="1" x14ac:dyDescent="0.2">
      <c r="B104" s="172"/>
      <c r="C104" s="173" t="s">
        <v>45</v>
      </c>
      <c r="D104" s="174"/>
      <c r="E104" s="561">
        <v>0</v>
      </c>
      <c r="F104" s="229">
        <v>0</v>
      </c>
      <c r="G104" s="229">
        <f t="shared" ref="G104:L105" si="56">F104</f>
        <v>0</v>
      </c>
      <c r="H104" s="229">
        <f t="shared" si="56"/>
        <v>0</v>
      </c>
      <c r="I104" s="229">
        <f t="shared" si="56"/>
        <v>0</v>
      </c>
      <c r="J104" s="229">
        <f t="shared" si="56"/>
        <v>0</v>
      </c>
      <c r="K104" s="229">
        <f t="shared" si="56"/>
        <v>0</v>
      </c>
      <c r="L104" s="230">
        <f t="shared" si="56"/>
        <v>0</v>
      </c>
      <c r="N104" s="366"/>
      <c r="O104" s="365"/>
      <c r="P104" s="365"/>
      <c r="Q104" s="365"/>
      <c r="R104" s="365"/>
      <c r="S104" s="365"/>
      <c r="T104" s="365"/>
      <c r="U104" s="365"/>
      <c r="V104" s="365"/>
      <c r="W104" s="184"/>
    </row>
    <row r="105" spans="1:23" s="157" customFormat="1" ht="12" customHeight="1" x14ac:dyDescent="0.2">
      <c r="B105" s="172"/>
      <c r="C105" s="173" t="s">
        <v>46</v>
      </c>
      <c r="D105" s="174"/>
      <c r="E105" s="579"/>
      <c r="F105" s="231">
        <v>0</v>
      </c>
      <c r="G105" s="231">
        <f t="shared" si="56"/>
        <v>0</v>
      </c>
      <c r="H105" s="231">
        <f t="shared" si="56"/>
        <v>0</v>
      </c>
      <c r="I105" s="231">
        <f t="shared" si="56"/>
        <v>0</v>
      </c>
      <c r="J105" s="231">
        <f t="shared" si="56"/>
        <v>0</v>
      </c>
      <c r="K105" s="231">
        <f t="shared" si="56"/>
        <v>0</v>
      </c>
      <c r="L105" s="232">
        <f t="shared" si="56"/>
        <v>0</v>
      </c>
      <c r="N105" s="366"/>
      <c r="O105" s="365"/>
      <c r="P105" s="365"/>
      <c r="Q105" s="365"/>
      <c r="R105" s="365"/>
      <c r="S105" s="365"/>
      <c r="T105" s="365"/>
      <c r="U105" s="365"/>
      <c r="V105" s="365"/>
      <c r="W105" s="184"/>
    </row>
    <row r="106" spans="1:23" s="157" customFormat="1" ht="12" customHeight="1" thickBot="1" x14ac:dyDescent="0.25">
      <c r="B106" s="175"/>
      <c r="C106" s="176" t="s">
        <v>48</v>
      </c>
      <c r="D106" s="177"/>
      <c r="E106" s="566"/>
      <c r="F106" s="233">
        <f t="shared" ref="F106:L106" si="57">IF(F103=0,0,(F103-F104/2)*F105)</f>
        <v>0</v>
      </c>
      <c r="G106" s="233">
        <f t="shared" si="57"/>
        <v>0</v>
      </c>
      <c r="H106" s="233">
        <f t="shared" si="57"/>
        <v>0</v>
      </c>
      <c r="I106" s="233">
        <f t="shared" si="57"/>
        <v>0</v>
      </c>
      <c r="J106" s="233">
        <f t="shared" si="57"/>
        <v>0</v>
      </c>
      <c r="K106" s="233">
        <f t="shared" si="57"/>
        <v>0</v>
      </c>
      <c r="L106" s="234">
        <f t="shared" si="57"/>
        <v>0</v>
      </c>
      <c r="N106" s="366"/>
      <c r="O106" s="365"/>
      <c r="P106" s="365"/>
      <c r="Q106" s="365"/>
      <c r="R106" s="365"/>
      <c r="S106" s="365"/>
      <c r="T106" s="365"/>
      <c r="U106" s="365"/>
      <c r="V106" s="365"/>
      <c r="W106" s="184"/>
    </row>
    <row r="107" spans="1:23" ht="12" customHeight="1" x14ac:dyDescent="0.2">
      <c r="A107" s="182"/>
      <c r="B107" s="95" t="s">
        <v>19</v>
      </c>
      <c r="C107" s="102" t="s">
        <v>247</v>
      </c>
      <c r="D107" s="96" t="s">
        <v>93</v>
      </c>
      <c r="E107" s="101">
        <v>0</v>
      </c>
      <c r="F107" s="235">
        <f>IF(F108-F109&lt;0,0,F108-F109)</f>
        <v>0</v>
      </c>
      <c r="G107" s="235">
        <f t="shared" ref="G107:L107" si="58">IF(G108-G109&lt;0,0,G108-G109)</f>
        <v>0</v>
      </c>
      <c r="H107" s="235">
        <f t="shared" si="58"/>
        <v>0</v>
      </c>
      <c r="I107" s="235">
        <f t="shared" si="58"/>
        <v>0</v>
      </c>
      <c r="J107" s="235">
        <f t="shared" si="58"/>
        <v>0</v>
      </c>
      <c r="K107" s="235">
        <f t="shared" si="58"/>
        <v>0</v>
      </c>
      <c r="L107" s="236">
        <f t="shared" si="58"/>
        <v>0</v>
      </c>
      <c r="N107" s="366"/>
      <c r="O107" s="365"/>
      <c r="P107" s="365"/>
      <c r="Q107" s="365"/>
      <c r="R107" s="365"/>
      <c r="S107" s="365"/>
      <c r="T107" s="365"/>
      <c r="U107" s="365"/>
      <c r="V107" s="365"/>
      <c r="W107" s="184"/>
    </row>
    <row r="108" spans="1:23" s="157" customFormat="1" ht="12" customHeight="1" x14ac:dyDescent="0.2">
      <c r="A108"/>
      <c r="B108" s="172"/>
      <c r="C108" s="173" t="s">
        <v>44</v>
      </c>
      <c r="D108" s="174"/>
      <c r="E108" s="564"/>
      <c r="F108" s="227">
        <f>E107</f>
        <v>0</v>
      </c>
      <c r="G108" s="227">
        <f t="shared" ref="G108:L108" si="59">IF(F107=0,0,F107)</f>
        <v>0</v>
      </c>
      <c r="H108" s="227">
        <f t="shared" si="59"/>
        <v>0</v>
      </c>
      <c r="I108" s="227">
        <f t="shared" si="59"/>
        <v>0</v>
      </c>
      <c r="J108" s="227">
        <f t="shared" si="59"/>
        <v>0</v>
      </c>
      <c r="K108" s="227">
        <f t="shared" si="59"/>
        <v>0</v>
      </c>
      <c r="L108" s="228">
        <f t="shared" si="59"/>
        <v>0</v>
      </c>
      <c r="N108" s="366"/>
      <c r="O108" s="365"/>
      <c r="P108" s="365"/>
      <c r="Q108" s="365"/>
      <c r="R108" s="365"/>
      <c r="S108" s="365"/>
      <c r="T108" s="365"/>
      <c r="U108" s="365"/>
      <c r="V108" s="365"/>
      <c r="W108" s="184"/>
    </row>
    <row r="109" spans="1:23" s="157" customFormat="1" ht="12" customHeight="1" x14ac:dyDescent="0.2">
      <c r="A109" s="182"/>
      <c r="B109" s="172"/>
      <c r="C109" s="173" t="s">
        <v>45</v>
      </c>
      <c r="D109" s="174"/>
      <c r="E109" s="561">
        <v>0</v>
      </c>
      <c r="F109" s="229">
        <v>0</v>
      </c>
      <c r="G109" s="229">
        <f t="shared" ref="G109:L110" si="60">F109</f>
        <v>0</v>
      </c>
      <c r="H109" s="229">
        <f t="shared" si="60"/>
        <v>0</v>
      </c>
      <c r="I109" s="229">
        <f t="shared" si="60"/>
        <v>0</v>
      </c>
      <c r="J109" s="229">
        <f t="shared" si="60"/>
        <v>0</v>
      </c>
      <c r="K109" s="229">
        <f t="shared" si="60"/>
        <v>0</v>
      </c>
      <c r="L109" s="230">
        <f t="shared" si="60"/>
        <v>0</v>
      </c>
      <c r="N109" s="366">
        <v>0</v>
      </c>
      <c r="O109" s="365"/>
      <c r="P109" s="365"/>
      <c r="Q109" s="365"/>
      <c r="R109" s="365"/>
      <c r="S109" s="365"/>
      <c r="T109" s="365"/>
      <c r="U109" s="365"/>
      <c r="V109" s="365"/>
      <c r="W109" s="184"/>
    </row>
    <row r="110" spans="1:23" s="157" customFormat="1" ht="12" customHeight="1" x14ac:dyDescent="0.2">
      <c r="A110" s="2"/>
      <c r="B110" s="172"/>
      <c r="C110" s="173" t="s">
        <v>46</v>
      </c>
      <c r="D110" s="174"/>
      <c r="E110" s="579"/>
      <c r="F110" s="231">
        <v>0</v>
      </c>
      <c r="G110" s="231">
        <f t="shared" si="60"/>
        <v>0</v>
      </c>
      <c r="H110" s="231">
        <f t="shared" si="60"/>
        <v>0</v>
      </c>
      <c r="I110" s="231">
        <f t="shared" si="60"/>
        <v>0</v>
      </c>
      <c r="J110" s="231">
        <f t="shared" si="60"/>
        <v>0</v>
      </c>
      <c r="K110" s="231">
        <f t="shared" si="60"/>
        <v>0</v>
      </c>
      <c r="L110" s="232">
        <f t="shared" si="60"/>
        <v>0</v>
      </c>
      <c r="N110" s="366"/>
      <c r="O110" s="365"/>
      <c r="P110" s="365"/>
      <c r="Q110" s="365"/>
      <c r="R110" s="365"/>
      <c r="S110" s="365"/>
      <c r="T110" s="365"/>
      <c r="U110" s="365"/>
      <c r="V110" s="365"/>
      <c r="W110" s="184"/>
    </row>
    <row r="111" spans="1:23" s="157" customFormat="1" ht="12" customHeight="1" thickBot="1" x14ac:dyDescent="0.25">
      <c r="A111" s="2"/>
      <c r="B111" s="175"/>
      <c r="C111" s="176" t="s">
        <v>48</v>
      </c>
      <c r="D111" s="177"/>
      <c r="E111" s="566"/>
      <c r="F111" s="233">
        <f t="shared" ref="F111:L111" si="61">IF(F108=0,0,(F108-F109/2)*F110)</f>
        <v>0</v>
      </c>
      <c r="G111" s="233">
        <f t="shared" si="61"/>
        <v>0</v>
      </c>
      <c r="H111" s="233">
        <f t="shared" si="61"/>
        <v>0</v>
      </c>
      <c r="I111" s="233">
        <f t="shared" si="61"/>
        <v>0</v>
      </c>
      <c r="J111" s="233">
        <f t="shared" si="61"/>
        <v>0</v>
      </c>
      <c r="K111" s="233">
        <f t="shared" si="61"/>
        <v>0</v>
      </c>
      <c r="L111" s="234">
        <f t="shared" si="61"/>
        <v>0</v>
      </c>
      <c r="N111" s="366"/>
      <c r="O111" s="365"/>
      <c r="P111" s="365"/>
      <c r="Q111" s="365"/>
      <c r="R111" s="365"/>
      <c r="S111" s="365"/>
      <c r="T111" s="365"/>
      <c r="U111" s="365"/>
      <c r="V111" s="365"/>
      <c r="W111" s="184"/>
    </row>
    <row r="112" spans="1:23" ht="12" customHeight="1" x14ac:dyDescent="0.2">
      <c r="A112" s="182"/>
      <c r="B112" s="95" t="s">
        <v>20</v>
      </c>
      <c r="C112" s="102" t="s">
        <v>250</v>
      </c>
      <c r="D112" s="96" t="s">
        <v>93</v>
      </c>
      <c r="E112" s="101">
        <v>0</v>
      </c>
      <c r="F112" s="235">
        <f>IF(F113-F114&lt;0,0,F113-F114)</f>
        <v>0</v>
      </c>
      <c r="G112" s="235">
        <f t="shared" ref="G112:L112" si="62">IF(G113-G114&lt;0,0,G113-G114)</f>
        <v>0</v>
      </c>
      <c r="H112" s="235">
        <f t="shared" si="62"/>
        <v>0</v>
      </c>
      <c r="I112" s="235">
        <f t="shared" si="62"/>
        <v>0</v>
      </c>
      <c r="J112" s="235">
        <f t="shared" si="62"/>
        <v>0</v>
      </c>
      <c r="K112" s="235">
        <f t="shared" si="62"/>
        <v>0</v>
      </c>
      <c r="L112" s="236">
        <f t="shared" si="62"/>
        <v>0</v>
      </c>
      <c r="N112" s="366"/>
      <c r="O112" s="365"/>
      <c r="P112" s="365"/>
      <c r="Q112" s="365"/>
      <c r="R112" s="365"/>
      <c r="S112" s="365"/>
      <c r="T112" s="365"/>
      <c r="U112" s="365"/>
      <c r="V112" s="365"/>
      <c r="W112" s="184"/>
    </row>
    <row r="113" spans="1:23" s="157" customFormat="1" ht="12" customHeight="1" x14ac:dyDescent="0.2">
      <c r="A113"/>
      <c r="B113" s="172"/>
      <c r="C113" s="173" t="s">
        <v>44</v>
      </c>
      <c r="D113" s="174"/>
      <c r="E113" s="564"/>
      <c r="F113" s="227">
        <f>E112</f>
        <v>0</v>
      </c>
      <c r="G113" s="227">
        <f t="shared" ref="G113:L113" si="63">IF(F112=0,0,F112)</f>
        <v>0</v>
      </c>
      <c r="H113" s="227">
        <f t="shared" si="63"/>
        <v>0</v>
      </c>
      <c r="I113" s="227">
        <f t="shared" si="63"/>
        <v>0</v>
      </c>
      <c r="J113" s="227">
        <f t="shared" si="63"/>
        <v>0</v>
      </c>
      <c r="K113" s="227">
        <f t="shared" si="63"/>
        <v>0</v>
      </c>
      <c r="L113" s="228">
        <f t="shared" si="63"/>
        <v>0</v>
      </c>
      <c r="N113" s="366"/>
      <c r="O113" s="365"/>
      <c r="P113" s="365"/>
      <c r="Q113" s="365"/>
      <c r="R113" s="365"/>
      <c r="S113" s="365"/>
      <c r="T113" s="365"/>
      <c r="U113" s="365"/>
      <c r="V113" s="365"/>
      <c r="W113" s="184"/>
    </row>
    <row r="114" spans="1:23" s="157" customFormat="1" ht="12" customHeight="1" x14ac:dyDescent="0.2">
      <c r="A114" s="182"/>
      <c r="B114" s="172"/>
      <c r="C114" s="173" t="s">
        <v>45</v>
      </c>
      <c r="D114" s="174"/>
      <c r="E114" s="561">
        <v>0</v>
      </c>
      <c r="F114" s="229">
        <v>0</v>
      </c>
      <c r="G114" s="229">
        <f t="shared" ref="G114:L115" si="64">F114</f>
        <v>0</v>
      </c>
      <c r="H114" s="229">
        <f t="shared" si="64"/>
        <v>0</v>
      </c>
      <c r="I114" s="229">
        <f t="shared" si="64"/>
        <v>0</v>
      </c>
      <c r="J114" s="229">
        <f t="shared" si="64"/>
        <v>0</v>
      </c>
      <c r="K114" s="229">
        <f t="shared" si="64"/>
        <v>0</v>
      </c>
      <c r="L114" s="230">
        <f t="shared" si="64"/>
        <v>0</v>
      </c>
      <c r="N114" s="366">
        <v>0</v>
      </c>
      <c r="O114" s="365"/>
      <c r="P114" s="365"/>
      <c r="Q114" s="365"/>
      <c r="R114" s="365"/>
      <c r="S114" s="365"/>
      <c r="T114" s="365"/>
      <c r="U114" s="365"/>
      <c r="V114" s="365"/>
      <c r="W114" s="184"/>
    </row>
    <row r="115" spans="1:23" s="157" customFormat="1" ht="12" customHeight="1" x14ac:dyDescent="0.2">
      <c r="A115" s="2"/>
      <c r="B115" s="172"/>
      <c r="C115" s="173" t="s">
        <v>46</v>
      </c>
      <c r="D115" s="174"/>
      <c r="E115" s="579"/>
      <c r="F115" s="231">
        <v>0</v>
      </c>
      <c r="G115" s="231">
        <f t="shared" si="64"/>
        <v>0</v>
      </c>
      <c r="H115" s="231">
        <f t="shared" si="64"/>
        <v>0</v>
      </c>
      <c r="I115" s="231">
        <f t="shared" si="64"/>
        <v>0</v>
      </c>
      <c r="J115" s="231">
        <f t="shared" si="64"/>
        <v>0</v>
      </c>
      <c r="K115" s="231">
        <f t="shared" si="64"/>
        <v>0</v>
      </c>
      <c r="L115" s="232">
        <f t="shared" si="64"/>
        <v>0</v>
      </c>
      <c r="N115" s="366"/>
      <c r="O115" s="365"/>
      <c r="P115" s="365"/>
      <c r="Q115" s="365"/>
      <c r="R115" s="365"/>
      <c r="S115" s="365"/>
      <c r="T115" s="365"/>
      <c r="U115" s="365"/>
      <c r="V115" s="365"/>
      <c r="W115" s="184"/>
    </row>
    <row r="116" spans="1:23" s="157" customFormat="1" ht="12" customHeight="1" thickBot="1" x14ac:dyDescent="0.25">
      <c r="A116"/>
      <c r="B116" s="175"/>
      <c r="C116" s="176" t="s">
        <v>48</v>
      </c>
      <c r="D116" s="177"/>
      <c r="E116" s="566"/>
      <c r="F116" s="233">
        <f t="shared" ref="F116:L116" si="65">IF(F113=0,0,(F113-F114/2)*F115)</f>
        <v>0</v>
      </c>
      <c r="G116" s="233">
        <f t="shared" si="65"/>
        <v>0</v>
      </c>
      <c r="H116" s="233">
        <f t="shared" si="65"/>
        <v>0</v>
      </c>
      <c r="I116" s="233">
        <f t="shared" si="65"/>
        <v>0</v>
      </c>
      <c r="J116" s="233">
        <f t="shared" si="65"/>
        <v>0</v>
      </c>
      <c r="K116" s="233">
        <f t="shared" si="65"/>
        <v>0</v>
      </c>
      <c r="L116" s="234">
        <f t="shared" si="65"/>
        <v>0</v>
      </c>
      <c r="N116" s="366"/>
      <c r="O116" s="365"/>
      <c r="P116" s="365"/>
      <c r="Q116" s="365"/>
      <c r="R116" s="365"/>
      <c r="S116" s="365"/>
      <c r="T116" s="365"/>
      <c r="U116" s="365"/>
      <c r="V116" s="365"/>
      <c r="W116" s="184"/>
    </row>
    <row r="117" spans="1:23" ht="12" customHeight="1" x14ac:dyDescent="0.2">
      <c r="A117" s="182"/>
      <c r="B117" s="95" t="s">
        <v>21</v>
      </c>
      <c r="C117" s="102" t="s">
        <v>181</v>
      </c>
      <c r="D117" s="96" t="s">
        <v>93</v>
      </c>
      <c r="E117" s="101">
        <v>0</v>
      </c>
      <c r="F117" s="235">
        <f>E117-F119</f>
        <v>0</v>
      </c>
      <c r="G117" s="235">
        <f t="shared" ref="G117:L117" si="66">F117-G119</f>
        <v>0</v>
      </c>
      <c r="H117" s="235">
        <f t="shared" si="66"/>
        <v>0</v>
      </c>
      <c r="I117" s="235">
        <f t="shared" si="66"/>
        <v>0</v>
      </c>
      <c r="J117" s="235">
        <f t="shared" si="66"/>
        <v>0</v>
      </c>
      <c r="K117" s="235">
        <f t="shared" si="66"/>
        <v>0</v>
      </c>
      <c r="L117" s="236">
        <f t="shared" si="66"/>
        <v>0</v>
      </c>
      <c r="N117" s="366"/>
      <c r="O117" s="365"/>
      <c r="P117" s="365"/>
      <c r="Q117" s="365"/>
      <c r="R117" s="365"/>
      <c r="S117" s="365"/>
      <c r="T117" s="365"/>
      <c r="U117" s="365"/>
      <c r="V117" s="365"/>
      <c r="W117" s="184"/>
    </row>
    <row r="118" spans="1:23" s="157" customFormat="1" ht="12" customHeight="1" x14ac:dyDescent="0.2">
      <c r="A118"/>
      <c r="B118" s="172"/>
      <c r="C118" s="872" t="s">
        <v>293</v>
      </c>
      <c r="D118" s="873"/>
      <c r="E118" s="564"/>
      <c r="F118" s="229">
        <v>0</v>
      </c>
      <c r="G118" s="227">
        <f t="shared" ref="G118:L118" si="67">IF(F118-1&lt;0,0,F118-1)</f>
        <v>0</v>
      </c>
      <c r="H118" s="227">
        <f t="shared" si="67"/>
        <v>0</v>
      </c>
      <c r="I118" s="227">
        <f t="shared" si="67"/>
        <v>0</v>
      </c>
      <c r="J118" s="227">
        <f t="shared" si="67"/>
        <v>0</v>
      </c>
      <c r="K118" s="227">
        <f t="shared" si="67"/>
        <v>0</v>
      </c>
      <c r="L118" s="228">
        <f t="shared" si="67"/>
        <v>0</v>
      </c>
      <c r="N118" s="366"/>
      <c r="O118" s="365"/>
      <c r="P118" s="365"/>
      <c r="Q118" s="365"/>
      <c r="R118" s="365"/>
      <c r="S118" s="365"/>
      <c r="T118" s="365"/>
      <c r="U118" s="365"/>
      <c r="V118" s="365"/>
      <c r="W118" s="184"/>
    </row>
    <row r="119" spans="1:23" s="157" customFormat="1" ht="12" customHeight="1" x14ac:dyDescent="0.2">
      <c r="A119" s="182"/>
      <c r="B119" s="172"/>
      <c r="C119" s="173" t="s">
        <v>45</v>
      </c>
      <c r="D119" s="174"/>
      <c r="E119" s="561">
        <v>0</v>
      </c>
      <c r="F119" s="227">
        <f>aputaulu!F53</f>
        <v>0</v>
      </c>
      <c r="G119" s="227">
        <f>aputaulu!G53</f>
        <v>0</v>
      </c>
      <c r="H119" s="227">
        <f>aputaulu!H53</f>
        <v>0</v>
      </c>
      <c r="I119" s="227">
        <f>aputaulu!I53</f>
        <v>0</v>
      </c>
      <c r="J119" s="227">
        <f>aputaulu!J53</f>
        <v>0</v>
      </c>
      <c r="K119" s="227">
        <f>aputaulu!K53</f>
        <v>0</v>
      </c>
      <c r="L119" s="228">
        <f>aputaulu!L53</f>
        <v>0</v>
      </c>
      <c r="N119" s="366"/>
      <c r="O119" s="365"/>
      <c r="P119" s="365"/>
      <c r="Q119" s="365"/>
      <c r="R119" s="365"/>
      <c r="S119" s="365"/>
      <c r="T119" s="365"/>
      <c r="U119" s="365"/>
      <c r="V119" s="365"/>
      <c r="W119" s="184"/>
    </row>
    <row r="120" spans="1:23" s="157" customFormat="1" ht="12" customHeight="1" x14ac:dyDescent="0.2">
      <c r="A120"/>
      <c r="B120" s="172"/>
      <c r="C120" s="173" t="s">
        <v>46</v>
      </c>
      <c r="D120" s="174"/>
      <c r="E120" s="579"/>
      <c r="F120" s="231">
        <v>0</v>
      </c>
      <c r="G120" s="257">
        <f t="shared" ref="G120:L120" si="68">IF(G118=0,0,F120)</f>
        <v>0</v>
      </c>
      <c r="H120" s="257">
        <f t="shared" si="68"/>
        <v>0</v>
      </c>
      <c r="I120" s="257">
        <f t="shared" si="68"/>
        <v>0</v>
      </c>
      <c r="J120" s="257">
        <f t="shared" si="68"/>
        <v>0</v>
      </c>
      <c r="K120" s="257">
        <f t="shared" si="68"/>
        <v>0</v>
      </c>
      <c r="L120" s="258">
        <f t="shared" si="68"/>
        <v>0</v>
      </c>
      <c r="N120" s="366"/>
      <c r="O120" s="365"/>
      <c r="P120" s="365"/>
      <c r="Q120" s="365"/>
      <c r="R120" s="365"/>
      <c r="S120" s="365"/>
      <c r="T120" s="365"/>
      <c r="U120" s="365"/>
      <c r="V120" s="365"/>
      <c r="W120" s="184"/>
    </row>
    <row r="121" spans="1:23" s="157" customFormat="1" ht="12" customHeight="1" thickBot="1" x14ac:dyDescent="0.25">
      <c r="A121"/>
      <c r="B121" s="175"/>
      <c r="C121" s="176" t="s">
        <v>48</v>
      </c>
      <c r="D121" s="177"/>
      <c r="E121" s="566"/>
      <c r="F121" s="233">
        <f>aputaulu!F55</f>
        <v>0</v>
      </c>
      <c r="G121" s="233">
        <f>aputaulu!G55</f>
        <v>0</v>
      </c>
      <c r="H121" s="233">
        <f>aputaulu!H55</f>
        <v>0</v>
      </c>
      <c r="I121" s="233">
        <f>aputaulu!I55</f>
        <v>0</v>
      </c>
      <c r="J121" s="233">
        <f>aputaulu!J55</f>
        <v>0</v>
      </c>
      <c r="K121" s="233">
        <f>aputaulu!K55</f>
        <v>0</v>
      </c>
      <c r="L121" s="234">
        <f>aputaulu!L55</f>
        <v>0</v>
      </c>
      <c r="N121" s="366"/>
      <c r="O121" s="365"/>
      <c r="P121" s="365"/>
      <c r="Q121" s="365"/>
      <c r="R121" s="365"/>
      <c r="S121" s="365"/>
      <c r="T121" s="365"/>
      <c r="U121" s="365"/>
      <c r="V121" s="365"/>
      <c r="W121" s="184"/>
    </row>
    <row r="122" spans="1:23" ht="12" customHeight="1" x14ac:dyDescent="0.2">
      <c r="A122" s="157"/>
      <c r="B122" s="95" t="s">
        <v>22</v>
      </c>
      <c r="C122" s="102" t="s">
        <v>182</v>
      </c>
      <c r="D122" s="96" t="s">
        <v>93</v>
      </c>
      <c r="E122" s="101">
        <v>0</v>
      </c>
      <c r="F122" s="235">
        <f>E122-F124</f>
        <v>0</v>
      </c>
      <c r="G122" s="235">
        <f t="shared" ref="G122:L122" si="69">F122-G124</f>
        <v>0</v>
      </c>
      <c r="H122" s="235">
        <f t="shared" si="69"/>
        <v>0</v>
      </c>
      <c r="I122" s="235">
        <f t="shared" si="69"/>
        <v>0</v>
      </c>
      <c r="J122" s="235">
        <f t="shared" si="69"/>
        <v>0</v>
      </c>
      <c r="K122" s="235">
        <f t="shared" si="69"/>
        <v>0</v>
      </c>
      <c r="L122" s="236">
        <f t="shared" si="69"/>
        <v>0</v>
      </c>
      <c r="N122" s="366"/>
      <c r="O122" s="365"/>
      <c r="P122" s="365"/>
      <c r="Q122" s="365"/>
      <c r="R122" s="365"/>
      <c r="S122" s="365"/>
      <c r="T122" s="365"/>
      <c r="U122" s="365"/>
      <c r="V122" s="365"/>
      <c r="W122" s="184"/>
    </row>
    <row r="123" spans="1:23" s="157" customFormat="1" ht="12" customHeight="1" x14ac:dyDescent="0.2">
      <c r="B123" s="172"/>
      <c r="C123" s="872" t="s">
        <v>293</v>
      </c>
      <c r="D123" s="873"/>
      <c r="E123" s="564"/>
      <c r="F123" s="229">
        <v>0</v>
      </c>
      <c r="G123" s="227">
        <f t="shared" ref="G123:L123" si="70">IF(F123-1&lt;0,0,F123-1)</f>
        <v>0</v>
      </c>
      <c r="H123" s="227">
        <f t="shared" si="70"/>
        <v>0</v>
      </c>
      <c r="I123" s="227">
        <f t="shared" si="70"/>
        <v>0</v>
      </c>
      <c r="J123" s="227">
        <f t="shared" si="70"/>
        <v>0</v>
      </c>
      <c r="K123" s="227">
        <f t="shared" si="70"/>
        <v>0</v>
      </c>
      <c r="L123" s="228">
        <f t="shared" si="70"/>
        <v>0</v>
      </c>
      <c r="N123" s="366"/>
      <c r="O123" s="365"/>
      <c r="P123" s="365"/>
      <c r="Q123" s="365"/>
      <c r="R123" s="365"/>
      <c r="S123" s="365"/>
      <c r="T123" s="365"/>
      <c r="U123" s="365"/>
      <c r="V123" s="365"/>
      <c r="W123" s="184"/>
    </row>
    <row r="124" spans="1:23" s="157" customFormat="1" ht="12" customHeight="1" x14ac:dyDescent="0.2">
      <c r="B124" s="172"/>
      <c r="C124" s="173" t="s">
        <v>45</v>
      </c>
      <c r="D124" s="174"/>
      <c r="E124" s="561">
        <v>0</v>
      </c>
      <c r="F124" s="227">
        <f>aputaulu!F60</f>
        <v>0</v>
      </c>
      <c r="G124" s="227">
        <f>aputaulu!G60</f>
        <v>0</v>
      </c>
      <c r="H124" s="227">
        <f>aputaulu!H60</f>
        <v>0</v>
      </c>
      <c r="I124" s="227">
        <f>aputaulu!I60</f>
        <v>0</v>
      </c>
      <c r="J124" s="227">
        <f>aputaulu!J60</f>
        <v>0</v>
      </c>
      <c r="K124" s="227">
        <f>aputaulu!K60</f>
        <v>0</v>
      </c>
      <c r="L124" s="228">
        <f>aputaulu!L60</f>
        <v>0</v>
      </c>
      <c r="N124" s="366"/>
      <c r="O124" s="365"/>
      <c r="P124" s="365"/>
      <c r="Q124" s="365"/>
      <c r="R124" s="365"/>
      <c r="S124" s="365"/>
      <c r="T124" s="365"/>
      <c r="U124" s="365"/>
      <c r="V124" s="365"/>
      <c r="W124" s="184"/>
    </row>
    <row r="125" spans="1:23" s="157" customFormat="1" ht="12" customHeight="1" x14ac:dyDescent="0.2">
      <c r="B125" s="172"/>
      <c r="C125" s="173" t="s">
        <v>46</v>
      </c>
      <c r="D125" s="174"/>
      <c r="E125" s="579"/>
      <c r="F125" s="231">
        <v>0</v>
      </c>
      <c r="G125" s="257">
        <f t="shared" ref="G125:L125" si="71">IF(G123=0,0,F125)</f>
        <v>0</v>
      </c>
      <c r="H125" s="257">
        <f t="shared" si="71"/>
        <v>0</v>
      </c>
      <c r="I125" s="257">
        <f t="shared" si="71"/>
        <v>0</v>
      </c>
      <c r="J125" s="257">
        <f t="shared" si="71"/>
        <v>0</v>
      </c>
      <c r="K125" s="257">
        <f t="shared" si="71"/>
        <v>0</v>
      </c>
      <c r="L125" s="258">
        <f t="shared" si="71"/>
        <v>0</v>
      </c>
      <c r="N125" s="366"/>
      <c r="O125" s="365"/>
      <c r="P125" s="365"/>
      <c r="Q125" s="365"/>
      <c r="R125" s="365"/>
      <c r="S125" s="365"/>
      <c r="T125" s="365"/>
      <c r="U125" s="365"/>
      <c r="V125" s="365"/>
      <c r="W125" s="184"/>
    </row>
    <row r="126" spans="1:23" s="157" customFormat="1" ht="12" customHeight="1" thickBot="1" x14ac:dyDescent="0.25">
      <c r="B126" s="175"/>
      <c r="C126" s="176" t="s">
        <v>48</v>
      </c>
      <c r="D126" s="177"/>
      <c r="E126" s="566"/>
      <c r="F126" s="233">
        <f>aputaulu!F62</f>
        <v>0</v>
      </c>
      <c r="G126" s="233">
        <f>aputaulu!G62</f>
        <v>0</v>
      </c>
      <c r="H126" s="233">
        <f>aputaulu!H62</f>
        <v>0</v>
      </c>
      <c r="I126" s="233">
        <f>aputaulu!I62</f>
        <v>0</v>
      </c>
      <c r="J126" s="233">
        <f>aputaulu!J62</f>
        <v>0</v>
      </c>
      <c r="K126" s="233">
        <f>aputaulu!K62</f>
        <v>0</v>
      </c>
      <c r="L126" s="234">
        <f>aputaulu!L62</f>
        <v>0</v>
      </c>
      <c r="N126" s="366"/>
      <c r="O126" s="365"/>
      <c r="P126" s="365"/>
      <c r="Q126" s="365"/>
      <c r="R126" s="365"/>
      <c r="S126" s="365"/>
      <c r="T126" s="365"/>
      <c r="U126" s="365"/>
      <c r="V126" s="365"/>
      <c r="W126" s="184"/>
    </row>
    <row r="127" spans="1:23" ht="12" customHeight="1" x14ac:dyDescent="0.2">
      <c r="B127" s="95" t="s">
        <v>23</v>
      </c>
      <c r="C127" s="102" t="s">
        <v>183</v>
      </c>
      <c r="D127" s="96" t="s">
        <v>93</v>
      </c>
      <c r="E127" s="101">
        <v>0</v>
      </c>
      <c r="F127" s="235">
        <f>E127-F129</f>
        <v>0</v>
      </c>
      <c r="G127" s="235">
        <f t="shared" ref="G127:L127" si="72">F127-G129</f>
        <v>0</v>
      </c>
      <c r="H127" s="235">
        <f t="shared" si="72"/>
        <v>0</v>
      </c>
      <c r="I127" s="235">
        <f t="shared" si="72"/>
        <v>0</v>
      </c>
      <c r="J127" s="235">
        <f t="shared" si="72"/>
        <v>0</v>
      </c>
      <c r="K127" s="235">
        <f t="shared" si="72"/>
        <v>0</v>
      </c>
      <c r="L127" s="236">
        <f t="shared" si="72"/>
        <v>0</v>
      </c>
      <c r="N127" s="366"/>
      <c r="O127" s="365"/>
      <c r="P127" s="365"/>
      <c r="Q127" s="365"/>
      <c r="R127" s="365"/>
      <c r="S127" s="365"/>
      <c r="T127" s="365"/>
      <c r="U127" s="365"/>
      <c r="V127" s="365"/>
      <c r="W127" s="184"/>
    </row>
    <row r="128" spans="1:23" s="157" customFormat="1" ht="12" customHeight="1" x14ac:dyDescent="0.2">
      <c r="B128" s="172"/>
      <c r="C128" s="872" t="s">
        <v>293</v>
      </c>
      <c r="D128" s="873"/>
      <c r="E128" s="564"/>
      <c r="F128" s="229">
        <v>0</v>
      </c>
      <c r="G128" s="227">
        <f t="shared" ref="G128:L128" si="73">IF(F128-1&lt;0,0,F128-1)</f>
        <v>0</v>
      </c>
      <c r="H128" s="227">
        <f t="shared" si="73"/>
        <v>0</v>
      </c>
      <c r="I128" s="227">
        <f t="shared" si="73"/>
        <v>0</v>
      </c>
      <c r="J128" s="227">
        <f t="shared" si="73"/>
        <v>0</v>
      </c>
      <c r="K128" s="227">
        <f t="shared" si="73"/>
        <v>0</v>
      </c>
      <c r="L128" s="228">
        <f t="shared" si="73"/>
        <v>0</v>
      </c>
      <c r="N128" s="366"/>
      <c r="O128" s="365"/>
      <c r="P128" s="365"/>
      <c r="Q128" s="365"/>
      <c r="R128" s="365"/>
      <c r="S128" s="365"/>
      <c r="T128" s="365"/>
      <c r="U128" s="365"/>
      <c r="V128" s="365"/>
      <c r="W128" s="184"/>
    </row>
    <row r="129" spans="2:23" s="157" customFormat="1" ht="12" customHeight="1" x14ac:dyDescent="0.2">
      <c r="B129" s="172"/>
      <c r="C129" s="173" t="s">
        <v>45</v>
      </c>
      <c r="D129" s="174"/>
      <c r="E129" s="561">
        <v>0</v>
      </c>
      <c r="F129" s="227">
        <f>aputaulu!F67</f>
        <v>0</v>
      </c>
      <c r="G129" s="227">
        <f>aputaulu!G67</f>
        <v>0</v>
      </c>
      <c r="H129" s="227">
        <f>aputaulu!H67</f>
        <v>0</v>
      </c>
      <c r="I129" s="227">
        <f>aputaulu!I67</f>
        <v>0</v>
      </c>
      <c r="J129" s="227">
        <f>aputaulu!J67</f>
        <v>0</v>
      </c>
      <c r="K129" s="227">
        <f>aputaulu!K67</f>
        <v>0</v>
      </c>
      <c r="L129" s="228">
        <f>aputaulu!L67</f>
        <v>0</v>
      </c>
      <c r="N129" s="366"/>
      <c r="O129" s="365"/>
      <c r="P129" s="365"/>
      <c r="Q129" s="365"/>
      <c r="R129" s="365"/>
      <c r="S129" s="365"/>
      <c r="T129" s="365"/>
      <c r="U129" s="365"/>
      <c r="V129" s="365"/>
      <c r="W129" s="184"/>
    </row>
    <row r="130" spans="2:23" s="157" customFormat="1" ht="12" customHeight="1" x14ac:dyDescent="0.2">
      <c r="B130" s="172"/>
      <c r="C130" s="173" t="s">
        <v>46</v>
      </c>
      <c r="D130" s="174"/>
      <c r="E130" s="579"/>
      <c r="F130" s="231">
        <v>0</v>
      </c>
      <c r="G130" s="257">
        <f t="shared" ref="G130:L130" si="74">IF(G128=0,0,F130)</f>
        <v>0</v>
      </c>
      <c r="H130" s="257">
        <f t="shared" si="74"/>
        <v>0</v>
      </c>
      <c r="I130" s="257">
        <f t="shared" si="74"/>
        <v>0</v>
      </c>
      <c r="J130" s="257">
        <f t="shared" si="74"/>
        <v>0</v>
      </c>
      <c r="K130" s="257">
        <f t="shared" si="74"/>
        <v>0</v>
      </c>
      <c r="L130" s="258">
        <f t="shared" si="74"/>
        <v>0</v>
      </c>
      <c r="N130" s="366"/>
      <c r="O130" s="365"/>
      <c r="P130" s="365"/>
      <c r="Q130" s="365"/>
      <c r="R130" s="365"/>
      <c r="S130" s="365"/>
      <c r="T130" s="365"/>
      <c r="U130" s="365"/>
      <c r="V130" s="365"/>
      <c r="W130" s="184"/>
    </row>
    <row r="131" spans="2:23" s="157" customFormat="1" ht="12" customHeight="1" thickBot="1" x14ac:dyDescent="0.25">
      <c r="B131" s="175"/>
      <c r="C131" s="176" t="s">
        <v>48</v>
      </c>
      <c r="D131" s="177"/>
      <c r="E131" s="566"/>
      <c r="F131" s="233">
        <f>aputaulu!F69</f>
        <v>0</v>
      </c>
      <c r="G131" s="233">
        <f>aputaulu!G69</f>
        <v>0</v>
      </c>
      <c r="H131" s="233">
        <f>aputaulu!H69</f>
        <v>0</v>
      </c>
      <c r="I131" s="233">
        <f>aputaulu!I69</f>
        <v>0</v>
      </c>
      <c r="J131" s="233">
        <f>aputaulu!J69</f>
        <v>0</v>
      </c>
      <c r="K131" s="233">
        <f>aputaulu!K69</f>
        <v>0</v>
      </c>
      <c r="L131" s="234">
        <f>aputaulu!L69</f>
        <v>0</v>
      </c>
      <c r="N131" s="366"/>
      <c r="O131" s="365"/>
      <c r="P131" s="365"/>
      <c r="Q131" s="365"/>
      <c r="R131" s="365"/>
      <c r="S131" s="365"/>
      <c r="T131" s="365"/>
      <c r="U131" s="365"/>
      <c r="V131" s="365"/>
      <c r="W131" s="184"/>
    </row>
    <row r="132" spans="2:23" ht="12" customHeight="1" x14ac:dyDescent="0.2">
      <c r="B132" s="95" t="s">
        <v>24</v>
      </c>
      <c r="C132" s="102" t="s">
        <v>184</v>
      </c>
      <c r="D132" s="96" t="s">
        <v>93</v>
      </c>
      <c r="E132" s="101">
        <v>0</v>
      </c>
      <c r="F132" s="235">
        <f>E132-F134</f>
        <v>0</v>
      </c>
      <c r="G132" s="235">
        <f t="shared" ref="G132:L132" si="75">F132-G134</f>
        <v>0</v>
      </c>
      <c r="H132" s="235">
        <f t="shared" si="75"/>
        <v>0</v>
      </c>
      <c r="I132" s="235">
        <f t="shared" si="75"/>
        <v>0</v>
      </c>
      <c r="J132" s="235">
        <f t="shared" si="75"/>
        <v>0</v>
      </c>
      <c r="K132" s="235">
        <f t="shared" si="75"/>
        <v>0</v>
      </c>
      <c r="L132" s="236">
        <f t="shared" si="75"/>
        <v>0</v>
      </c>
      <c r="N132" s="366"/>
      <c r="O132" s="365"/>
      <c r="P132" s="365"/>
      <c r="Q132" s="365"/>
      <c r="R132" s="365"/>
      <c r="S132" s="365"/>
      <c r="T132" s="365"/>
      <c r="U132" s="365"/>
      <c r="V132" s="365"/>
      <c r="W132" s="184"/>
    </row>
    <row r="133" spans="2:23" s="157" customFormat="1" ht="12" customHeight="1" x14ac:dyDescent="0.2">
      <c r="B133" s="172"/>
      <c r="C133" s="872" t="s">
        <v>293</v>
      </c>
      <c r="D133" s="873"/>
      <c r="E133" s="564"/>
      <c r="F133" s="229">
        <v>0</v>
      </c>
      <c r="G133" s="227">
        <f t="shared" ref="G133:L133" si="76">IF(F133-1&lt;0,0,F133-1)</f>
        <v>0</v>
      </c>
      <c r="H133" s="227">
        <f t="shared" si="76"/>
        <v>0</v>
      </c>
      <c r="I133" s="227">
        <f t="shared" si="76"/>
        <v>0</v>
      </c>
      <c r="J133" s="227">
        <f t="shared" si="76"/>
        <v>0</v>
      </c>
      <c r="K133" s="227">
        <f t="shared" si="76"/>
        <v>0</v>
      </c>
      <c r="L133" s="228">
        <f t="shared" si="76"/>
        <v>0</v>
      </c>
      <c r="N133" s="366"/>
      <c r="O133" s="365"/>
      <c r="P133" s="365"/>
      <c r="Q133" s="365"/>
      <c r="R133" s="365"/>
      <c r="S133" s="365"/>
      <c r="T133" s="365"/>
      <c r="U133" s="365"/>
      <c r="V133" s="365"/>
      <c r="W133" s="184"/>
    </row>
    <row r="134" spans="2:23" s="157" customFormat="1" ht="12" customHeight="1" x14ac:dyDescent="0.2">
      <c r="B134" s="172"/>
      <c r="C134" s="173" t="s">
        <v>45</v>
      </c>
      <c r="D134" s="174"/>
      <c r="E134" s="561">
        <v>0</v>
      </c>
      <c r="F134" s="227">
        <f>aputaulu!F74</f>
        <v>0</v>
      </c>
      <c r="G134" s="227">
        <f>aputaulu!G74</f>
        <v>0</v>
      </c>
      <c r="H134" s="227">
        <f>aputaulu!H74</f>
        <v>0</v>
      </c>
      <c r="I134" s="227">
        <f>aputaulu!I74</f>
        <v>0</v>
      </c>
      <c r="J134" s="227">
        <f>aputaulu!J74</f>
        <v>0</v>
      </c>
      <c r="K134" s="227">
        <f>aputaulu!K74</f>
        <v>0</v>
      </c>
      <c r="L134" s="228">
        <f>aputaulu!L74</f>
        <v>0</v>
      </c>
      <c r="N134" s="366"/>
      <c r="O134" s="365"/>
      <c r="P134" s="365"/>
      <c r="Q134" s="365"/>
      <c r="R134" s="365"/>
      <c r="S134" s="365"/>
      <c r="T134" s="365"/>
      <c r="U134" s="365"/>
      <c r="V134" s="365"/>
      <c r="W134" s="184"/>
    </row>
    <row r="135" spans="2:23" s="157" customFormat="1" ht="12" customHeight="1" x14ac:dyDescent="0.2">
      <c r="B135" s="172"/>
      <c r="C135" s="173" t="s">
        <v>46</v>
      </c>
      <c r="D135" s="174"/>
      <c r="E135" s="579"/>
      <c r="F135" s="231">
        <v>0</v>
      </c>
      <c r="G135" s="257">
        <f t="shared" ref="G135:L135" si="77">IF(G133=0,0,F135)</f>
        <v>0</v>
      </c>
      <c r="H135" s="257">
        <f t="shared" si="77"/>
        <v>0</v>
      </c>
      <c r="I135" s="257">
        <f t="shared" si="77"/>
        <v>0</v>
      </c>
      <c r="J135" s="257">
        <f t="shared" si="77"/>
        <v>0</v>
      </c>
      <c r="K135" s="257">
        <f t="shared" si="77"/>
        <v>0</v>
      </c>
      <c r="L135" s="258">
        <f t="shared" si="77"/>
        <v>0</v>
      </c>
      <c r="N135" s="366"/>
      <c r="O135" s="365"/>
      <c r="P135" s="365"/>
      <c r="Q135" s="365"/>
      <c r="R135" s="365"/>
      <c r="S135" s="365"/>
      <c r="T135" s="365"/>
      <c r="U135" s="365"/>
      <c r="V135" s="365"/>
      <c r="W135" s="184"/>
    </row>
    <row r="136" spans="2:23" s="157" customFormat="1" ht="12" customHeight="1" thickBot="1" x14ac:dyDescent="0.25">
      <c r="B136" s="175"/>
      <c r="C136" s="176" t="s">
        <v>48</v>
      </c>
      <c r="D136" s="177"/>
      <c r="E136" s="566"/>
      <c r="F136" s="233">
        <f>aputaulu!F76</f>
        <v>0</v>
      </c>
      <c r="G136" s="233">
        <f>aputaulu!G76</f>
        <v>0</v>
      </c>
      <c r="H136" s="233">
        <f>aputaulu!H76</f>
        <v>0</v>
      </c>
      <c r="I136" s="233">
        <f>aputaulu!I76</f>
        <v>0</v>
      </c>
      <c r="J136" s="233">
        <f>aputaulu!J76</f>
        <v>0</v>
      </c>
      <c r="K136" s="233">
        <f>aputaulu!K76</f>
        <v>0</v>
      </c>
      <c r="L136" s="234">
        <f>aputaulu!L76</f>
        <v>0</v>
      </c>
      <c r="N136" s="366"/>
      <c r="O136" s="365"/>
      <c r="P136" s="365"/>
      <c r="Q136" s="365"/>
      <c r="R136" s="365"/>
      <c r="S136" s="365"/>
      <c r="T136" s="365"/>
      <c r="U136" s="365"/>
      <c r="V136" s="365"/>
      <c r="W136" s="184"/>
    </row>
    <row r="137" spans="2:23" ht="12" customHeight="1" x14ac:dyDescent="0.2">
      <c r="B137" s="95" t="s">
        <v>154</v>
      </c>
      <c r="C137" s="102" t="s">
        <v>185</v>
      </c>
      <c r="D137" s="96" t="s">
        <v>93</v>
      </c>
      <c r="E137" s="101">
        <v>0</v>
      </c>
      <c r="F137" s="235">
        <f>E137-F139</f>
        <v>0</v>
      </c>
      <c r="G137" s="235">
        <f t="shared" ref="G137:L137" si="78">F137-G139</f>
        <v>0</v>
      </c>
      <c r="H137" s="235">
        <f t="shared" si="78"/>
        <v>0</v>
      </c>
      <c r="I137" s="235">
        <f t="shared" si="78"/>
        <v>0</v>
      </c>
      <c r="J137" s="235">
        <f t="shared" si="78"/>
        <v>0</v>
      </c>
      <c r="K137" s="235">
        <f t="shared" si="78"/>
        <v>0</v>
      </c>
      <c r="L137" s="236">
        <f t="shared" si="78"/>
        <v>0</v>
      </c>
      <c r="N137" s="366"/>
      <c r="O137" s="365"/>
      <c r="P137" s="365"/>
      <c r="Q137" s="365"/>
      <c r="R137" s="365"/>
      <c r="S137" s="365"/>
      <c r="T137" s="365"/>
      <c r="U137" s="365"/>
      <c r="V137" s="365"/>
      <c r="W137" s="184"/>
    </row>
    <row r="138" spans="2:23" s="157" customFormat="1" ht="12" customHeight="1" x14ac:dyDescent="0.2">
      <c r="B138" s="172"/>
      <c r="C138" s="872" t="s">
        <v>293</v>
      </c>
      <c r="D138" s="873"/>
      <c r="E138" s="564"/>
      <c r="F138" s="229">
        <v>0</v>
      </c>
      <c r="G138" s="227">
        <f t="shared" ref="G138:L138" si="79">IF(F138-1&lt;0,0,F138-1)</f>
        <v>0</v>
      </c>
      <c r="H138" s="227">
        <f t="shared" si="79"/>
        <v>0</v>
      </c>
      <c r="I138" s="227">
        <f t="shared" si="79"/>
        <v>0</v>
      </c>
      <c r="J138" s="227">
        <f t="shared" si="79"/>
        <v>0</v>
      </c>
      <c r="K138" s="227">
        <f t="shared" si="79"/>
        <v>0</v>
      </c>
      <c r="L138" s="228">
        <f t="shared" si="79"/>
        <v>0</v>
      </c>
      <c r="N138" s="366"/>
      <c r="O138" s="365"/>
      <c r="P138" s="365"/>
      <c r="Q138" s="365"/>
      <c r="R138" s="365"/>
      <c r="S138" s="365"/>
      <c r="T138" s="365"/>
      <c r="U138" s="365"/>
      <c r="V138" s="365"/>
      <c r="W138" s="184"/>
    </row>
    <row r="139" spans="2:23" s="157" customFormat="1" ht="12" customHeight="1" x14ac:dyDescent="0.2">
      <c r="B139" s="172"/>
      <c r="C139" s="173" t="s">
        <v>45</v>
      </c>
      <c r="D139" s="174"/>
      <c r="E139" s="561">
        <v>0</v>
      </c>
      <c r="F139" s="227">
        <f>aputaulu!F81</f>
        <v>0</v>
      </c>
      <c r="G139" s="227">
        <f>aputaulu!G81</f>
        <v>0</v>
      </c>
      <c r="H139" s="227">
        <f>aputaulu!H81</f>
        <v>0</v>
      </c>
      <c r="I139" s="227">
        <f>aputaulu!I81</f>
        <v>0</v>
      </c>
      <c r="J139" s="227">
        <f>aputaulu!J81</f>
        <v>0</v>
      </c>
      <c r="K139" s="227">
        <f>aputaulu!K81</f>
        <v>0</v>
      </c>
      <c r="L139" s="228">
        <f>aputaulu!L81</f>
        <v>0</v>
      </c>
      <c r="N139" s="366"/>
      <c r="O139" s="365"/>
      <c r="P139" s="365"/>
      <c r="Q139" s="365"/>
      <c r="R139" s="365"/>
      <c r="S139" s="365"/>
      <c r="T139" s="365"/>
      <c r="U139" s="365"/>
      <c r="V139" s="365"/>
      <c r="W139" s="184"/>
    </row>
    <row r="140" spans="2:23" s="157" customFormat="1" ht="12" customHeight="1" x14ac:dyDescent="0.2">
      <c r="B140" s="172"/>
      <c r="C140" s="173" t="s">
        <v>46</v>
      </c>
      <c r="D140" s="174"/>
      <c r="E140" s="579"/>
      <c r="F140" s="231">
        <v>0</v>
      </c>
      <c r="G140" s="257">
        <f t="shared" ref="G140:L140" si="80">IF(G138=0,0,F140)</f>
        <v>0</v>
      </c>
      <c r="H140" s="257">
        <f t="shared" si="80"/>
        <v>0</v>
      </c>
      <c r="I140" s="257">
        <f t="shared" si="80"/>
        <v>0</v>
      </c>
      <c r="J140" s="257">
        <f t="shared" si="80"/>
        <v>0</v>
      </c>
      <c r="K140" s="257">
        <f t="shared" si="80"/>
        <v>0</v>
      </c>
      <c r="L140" s="258">
        <f t="shared" si="80"/>
        <v>0</v>
      </c>
      <c r="N140" s="366"/>
      <c r="O140" s="365"/>
      <c r="P140" s="365"/>
      <c r="Q140" s="365"/>
      <c r="R140" s="365"/>
      <c r="S140" s="365"/>
      <c r="T140" s="365"/>
      <c r="U140" s="365"/>
      <c r="V140" s="365"/>
      <c r="W140" s="184"/>
    </row>
    <row r="141" spans="2:23" s="157" customFormat="1" ht="12" customHeight="1" thickBot="1" x14ac:dyDescent="0.25">
      <c r="B141" s="175"/>
      <c r="C141" s="176" t="s">
        <v>48</v>
      </c>
      <c r="D141" s="177"/>
      <c r="E141" s="566"/>
      <c r="F141" s="233">
        <f>aputaulu!F83</f>
        <v>0</v>
      </c>
      <c r="G141" s="233">
        <f>aputaulu!G83</f>
        <v>0</v>
      </c>
      <c r="H141" s="233">
        <f>aputaulu!H83</f>
        <v>0</v>
      </c>
      <c r="I141" s="233">
        <f>aputaulu!I83</f>
        <v>0</v>
      </c>
      <c r="J141" s="233">
        <f>aputaulu!J83</f>
        <v>0</v>
      </c>
      <c r="K141" s="233">
        <f>aputaulu!K83</f>
        <v>0</v>
      </c>
      <c r="L141" s="234">
        <f>aputaulu!L83</f>
        <v>0</v>
      </c>
      <c r="N141" s="369"/>
      <c r="O141" s="370"/>
      <c r="P141" s="370"/>
      <c r="Q141" s="370"/>
      <c r="R141" s="370"/>
      <c r="S141" s="370"/>
      <c r="T141" s="370"/>
      <c r="U141" s="370"/>
      <c r="V141" s="370"/>
      <c r="W141" s="187"/>
    </row>
    <row r="142" spans="2:23" ht="12" customHeight="1" thickBot="1" x14ac:dyDescent="0.25">
      <c r="B142" s="858" t="s">
        <v>55</v>
      </c>
      <c r="C142" s="859"/>
      <c r="D142" s="860"/>
      <c r="E142" s="453">
        <f t="shared" ref="E142:L142" si="81">E87+E92+E97+E102+E117+E122+E127+E132+E137+E107+E112</f>
        <v>0</v>
      </c>
      <c r="F142" s="453">
        <f t="shared" si="81"/>
        <v>0</v>
      </c>
      <c r="G142" s="453">
        <f t="shared" si="81"/>
        <v>0</v>
      </c>
      <c r="H142" s="453">
        <f t="shared" si="81"/>
        <v>0</v>
      </c>
      <c r="I142" s="453">
        <f t="shared" si="81"/>
        <v>0</v>
      </c>
      <c r="J142" s="453">
        <f t="shared" si="81"/>
        <v>0</v>
      </c>
      <c r="K142" s="453">
        <f t="shared" si="81"/>
        <v>0</v>
      </c>
      <c r="L142" s="454">
        <f t="shared" si="81"/>
        <v>0</v>
      </c>
      <c r="N142" s="62"/>
      <c r="O142" s="62"/>
      <c r="P142" s="62"/>
      <c r="Q142" s="62"/>
      <c r="R142" s="62"/>
      <c r="S142" s="62"/>
      <c r="T142" s="62"/>
      <c r="U142" s="62"/>
      <c r="V142" s="62"/>
      <c r="W142" s="62"/>
    </row>
    <row r="143" spans="2:23" ht="6" customHeight="1" thickBot="1" x14ac:dyDescent="0.25">
      <c r="B143" s="178"/>
      <c r="C143" s="180"/>
      <c r="D143" s="180"/>
      <c r="E143" s="141"/>
      <c r="F143" s="245"/>
      <c r="G143" s="245"/>
      <c r="H143" s="245"/>
      <c r="I143" s="245"/>
      <c r="J143" s="245"/>
      <c r="K143" s="245"/>
      <c r="L143" s="245"/>
      <c r="N143" s="82"/>
      <c r="O143" s="82"/>
      <c r="P143" s="82"/>
      <c r="Q143" s="82"/>
      <c r="R143" s="82"/>
      <c r="S143" s="82"/>
      <c r="T143" s="82"/>
      <c r="U143" s="82"/>
      <c r="V143" s="82"/>
      <c r="W143" s="82"/>
    </row>
    <row r="144" spans="2:23" ht="12" customHeight="1" x14ac:dyDescent="0.2">
      <c r="B144" s="139"/>
      <c r="C144" s="72" t="s">
        <v>162</v>
      </c>
      <c r="D144" s="70"/>
      <c r="E144" s="581"/>
      <c r="F144" s="423">
        <f>F142+F80</f>
        <v>0</v>
      </c>
      <c r="G144" s="423">
        <f t="shared" ref="G144:L144" si="82">G142+G80</f>
        <v>0</v>
      </c>
      <c r="H144" s="423">
        <f t="shared" si="82"/>
        <v>0</v>
      </c>
      <c r="I144" s="423">
        <f t="shared" si="82"/>
        <v>0</v>
      </c>
      <c r="J144" s="423">
        <f t="shared" si="82"/>
        <v>0</v>
      </c>
      <c r="K144" s="423">
        <f t="shared" si="82"/>
        <v>0</v>
      </c>
      <c r="L144" s="424">
        <f t="shared" si="82"/>
        <v>0</v>
      </c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2:23" ht="12" customHeight="1" x14ac:dyDescent="0.2">
      <c r="B145" s="263"/>
      <c r="C145" s="264" t="s">
        <v>198</v>
      </c>
      <c r="D145" s="265"/>
      <c r="E145" s="582"/>
      <c r="F145" s="425">
        <f>F30+F36+F42+F48+F57+F64+F71+F78+F89+F94+F104+F119+F124+F129+F134+F139</f>
        <v>0</v>
      </c>
      <c r="G145" s="425">
        <f t="shared" ref="G145:L145" si="83">G30+G36+G42+G48+G57+G64+G71+G78+G89+G94+G104+G119+G124+G129+G134+G139</f>
        <v>0</v>
      </c>
      <c r="H145" s="425">
        <f t="shared" si="83"/>
        <v>0</v>
      </c>
      <c r="I145" s="425">
        <f t="shared" si="83"/>
        <v>0</v>
      </c>
      <c r="J145" s="425">
        <f t="shared" si="83"/>
        <v>0</v>
      </c>
      <c r="K145" s="425">
        <f t="shared" si="83"/>
        <v>0</v>
      </c>
      <c r="L145" s="426">
        <f t="shared" si="83"/>
        <v>0</v>
      </c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2:23" ht="12" customHeight="1" thickBot="1" x14ac:dyDescent="0.25">
      <c r="C146" s="73" t="s">
        <v>163</v>
      </c>
      <c r="D146" s="71"/>
      <c r="E146" s="580"/>
      <c r="F146" s="427">
        <f>F91+F96+F101+F32+F38+F44+F106+F121+F126+F131+F136+F141+F50+F56+F63+F70+F77</f>
        <v>0</v>
      </c>
      <c r="G146" s="427">
        <f t="shared" ref="G146:L146" si="84">G91+G96+G101+G32+G38+G44+G106+G121+G126+G131+G136+G141+G50+G56+G63+G70+G77</f>
        <v>0</v>
      </c>
      <c r="H146" s="427">
        <f t="shared" si="84"/>
        <v>0</v>
      </c>
      <c r="I146" s="427">
        <f t="shared" si="84"/>
        <v>0</v>
      </c>
      <c r="J146" s="427">
        <f t="shared" si="84"/>
        <v>0</v>
      </c>
      <c r="K146" s="427">
        <f t="shared" si="84"/>
        <v>0</v>
      </c>
      <c r="L146" s="428">
        <f t="shared" si="84"/>
        <v>0</v>
      </c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2:23" x14ac:dyDescent="0.2">
      <c r="C147" s="31"/>
      <c r="D147" s="31"/>
      <c r="E147" s="32"/>
      <c r="F147" s="31"/>
      <c r="G147" s="31"/>
      <c r="H147" s="31"/>
      <c r="I147" s="31"/>
      <c r="J147" s="31"/>
      <c r="K147" s="31"/>
      <c r="L147" s="31"/>
    </row>
    <row r="148" spans="2:23" x14ac:dyDescent="0.2">
      <c r="C148" s="375" t="str">
        <f>Ohjeet!E18</f>
        <v>Palvelun tarjoaa:</v>
      </c>
      <c r="D148" s="376" t="str">
        <f>Ohjeet!F19</f>
        <v>Seinäjoen kaupungin maaseutupalvelut</v>
      </c>
      <c r="L148" s="375" t="s">
        <v>242</v>
      </c>
    </row>
    <row r="150" spans="2:23" x14ac:dyDescent="0.2">
      <c r="C150" s="380" t="s">
        <v>240</v>
      </c>
    </row>
    <row r="151" spans="2:23" x14ac:dyDescent="0.2">
      <c r="C151" s="157" t="s">
        <v>241</v>
      </c>
    </row>
    <row r="152" spans="2:23" x14ac:dyDescent="0.2">
      <c r="C152" s="157" t="s">
        <v>244</v>
      </c>
    </row>
    <row r="208" spans="3:12" x14ac:dyDescent="0.2"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2:12" x14ac:dyDescent="0.2"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2:12" x14ac:dyDescent="0.2"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2:12" x14ac:dyDescent="0.2"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2:12" x14ac:dyDescent="0.2"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2:12" x14ac:dyDescent="0.2">
      <c r="B213" s="68"/>
      <c r="C213" s="34"/>
      <c r="D213" s="34"/>
      <c r="E213" s="35"/>
      <c r="F213" s="33"/>
      <c r="G213" s="33"/>
      <c r="H213" s="33"/>
      <c r="I213" s="33"/>
      <c r="J213" s="33"/>
      <c r="K213" s="33"/>
      <c r="L213" s="33"/>
    </row>
    <row r="214" spans="2:12" x14ac:dyDescent="0.2">
      <c r="B214" s="68"/>
      <c r="C214" s="34"/>
      <c r="D214" s="34"/>
      <c r="E214" s="36"/>
      <c r="F214" s="36"/>
      <c r="G214" s="36"/>
      <c r="H214" s="36"/>
      <c r="I214" s="36"/>
      <c r="J214" s="36"/>
      <c r="K214" s="36"/>
      <c r="L214" s="36"/>
    </row>
    <row r="215" spans="2:12" x14ac:dyDescent="0.2">
      <c r="B215" s="68"/>
      <c r="C215" s="34"/>
      <c r="D215" s="34"/>
      <c r="E215" s="35"/>
      <c r="F215" s="35"/>
      <c r="G215" s="35"/>
      <c r="H215" s="35"/>
      <c r="I215" s="35"/>
      <c r="J215" s="35"/>
      <c r="K215" s="35"/>
      <c r="L215" s="35"/>
    </row>
    <row r="216" spans="2:12" x14ac:dyDescent="0.2">
      <c r="B216" s="68"/>
      <c r="C216" s="34"/>
      <c r="D216" s="34"/>
      <c r="E216" s="35"/>
      <c r="F216" s="35"/>
      <c r="G216" s="35"/>
      <c r="H216" s="35"/>
      <c r="I216" s="35"/>
      <c r="J216" s="35"/>
      <c r="K216" s="35"/>
      <c r="L216" s="35"/>
    </row>
    <row r="217" spans="2:12" x14ac:dyDescent="0.2">
      <c r="B217" s="68"/>
      <c r="C217" s="34"/>
      <c r="D217" s="34"/>
      <c r="E217" s="35"/>
      <c r="F217" s="33"/>
      <c r="G217" s="33"/>
      <c r="H217" s="33"/>
      <c r="I217" s="33"/>
      <c r="J217" s="33"/>
      <c r="K217" s="33"/>
      <c r="L217" s="33"/>
    </row>
    <row r="218" spans="2:12" x14ac:dyDescent="0.2">
      <c r="B218" s="68"/>
      <c r="C218" s="34"/>
      <c r="D218" s="34"/>
      <c r="E218" s="36"/>
      <c r="F218" s="36"/>
      <c r="G218" s="36"/>
      <c r="H218" s="36"/>
      <c r="I218" s="36"/>
      <c r="J218" s="36"/>
      <c r="K218" s="36"/>
      <c r="L218" s="36"/>
    </row>
    <row r="219" spans="2:12" x14ac:dyDescent="0.2">
      <c r="B219" s="68"/>
      <c r="C219" s="34"/>
      <c r="D219" s="34"/>
      <c r="E219" s="35"/>
      <c r="F219" s="35"/>
      <c r="G219" s="35"/>
      <c r="H219" s="35"/>
      <c r="I219" s="35"/>
      <c r="J219" s="35"/>
      <c r="K219" s="35"/>
      <c r="L219" s="35"/>
    </row>
    <row r="220" spans="2:12" x14ac:dyDescent="0.2">
      <c r="B220" s="68"/>
      <c r="C220" s="34"/>
      <c r="D220" s="34"/>
      <c r="E220" s="35"/>
      <c r="F220" s="35"/>
      <c r="G220" s="35"/>
      <c r="H220" s="35"/>
      <c r="I220" s="35"/>
      <c r="J220" s="35"/>
      <c r="K220" s="35"/>
      <c r="L220" s="35"/>
    </row>
    <row r="221" spans="2:12" x14ac:dyDescent="0.2">
      <c r="B221" s="69"/>
      <c r="C221" s="22"/>
      <c r="D221" s="22"/>
      <c r="E221" s="22"/>
      <c r="F221" s="22"/>
      <c r="G221" s="22"/>
      <c r="H221" s="22"/>
      <c r="I221" s="22"/>
      <c r="J221" s="22"/>
      <c r="K221" s="22"/>
      <c r="L221" s="22"/>
    </row>
    <row r="441" spans="22:22" x14ac:dyDescent="0.2">
      <c r="V441" s="158"/>
    </row>
  </sheetData>
  <sheetProtection password="9675" sheet="1" objects="1" scenarios="1"/>
  <mergeCells count="29">
    <mergeCell ref="R4:W5"/>
    <mergeCell ref="C22:D22"/>
    <mergeCell ref="C23:D23"/>
    <mergeCell ref="C118:D118"/>
    <mergeCell ref="C123:D123"/>
    <mergeCell ref="C128:D128"/>
    <mergeCell ref="C14:D14"/>
    <mergeCell ref="C83:D83"/>
    <mergeCell ref="C46:D46"/>
    <mergeCell ref="C133:D133"/>
    <mergeCell ref="C73:D73"/>
    <mergeCell ref="C67:D67"/>
    <mergeCell ref="C138:D138"/>
    <mergeCell ref="C74:D74"/>
    <mergeCell ref="H3:I3"/>
    <mergeCell ref="C28:D28"/>
    <mergeCell ref="C53:D53"/>
    <mergeCell ref="C60:D60"/>
    <mergeCell ref="C52:D52"/>
    <mergeCell ref="E3:G3"/>
    <mergeCell ref="C59:D59"/>
    <mergeCell ref="C66:D66"/>
    <mergeCell ref="B142:D142"/>
    <mergeCell ref="C40:D40"/>
    <mergeCell ref="C34:D34"/>
    <mergeCell ref="B25:D25"/>
    <mergeCell ref="B5:D6"/>
    <mergeCell ref="B3:D3"/>
    <mergeCell ref="B84:D84"/>
  </mergeCells>
  <printOptions horizontalCentered="1" verticalCentered="1"/>
  <pageMargins left="0.39370078740157483" right="0.39370078740157483" top="0.31496062992125984" bottom="0.19685039370078741" header="0.31496062992125984" footer="0.15748031496062992"/>
  <pageSetup paperSize="9" scale="90" orientation="portrait" r:id="rId1"/>
  <rowBreaks count="1" manualBreakCount="1">
    <brk id="72" min="1" max="22" man="1"/>
  </rowBreaks>
  <ignoredErrors>
    <ignoredError sqref="G12:L12 G90:L90 G95:K95 G100:L100 G89:J89 G94:K94 G99:J99" unlocked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3">
    <tabColor theme="5"/>
  </sheetPr>
  <dimension ref="A1:AO149"/>
  <sheetViews>
    <sheetView showGridLines="0" showZeros="0" defaultGridColor="0" colorId="55" zoomScaleNormal="100" zoomScaleSheetLayoutView="100" workbookViewId="0">
      <selection activeCell="D9" sqref="D9"/>
    </sheetView>
  </sheetViews>
  <sheetFormatPr defaultRowHeight="12.75" x14ac:dyDescent="0.2"/>
  <cols>
    <col min="1" max="1" width="8.85546875" customWidth="1"/>
    <col min="2" max="2" width="2.7109375" customWidth="1"/>
    <col min="3" max="3" width="29.42578125" customWidth="1"/>
    <col min="4" max="4" width="9.140625" customWidth="1"/>
    <col min="5" max="5" width="5.5703125" customWidth="1"/>
    <col min="6" max="6" width="9.140625" customWidth="1"/>
    <col min="7" max="7" width="5.5703125" customWidth="1"/>
    <col min="8" max="8" width="9.140625" customWidth="1"/>
    <col min="9" max="9" width="5.5703125" customWidth="1"/>
    <col min="10" max="10" width="9.140625" customWidth="1"/>
    <col min="11" max="11" width="5.5703125" customWidth="1"/>
    <col min="12" max="12" width="9.140625" customWidth="1"/>
    <col min="13" max="13" width="5.5703125" customWidth="1"/>
    <col min="14" max="14" width="9.140625" customWidth="1"/>
    <col min="15" max="15" width="5.5703125" customWidth="1"/>
    <col min="16" max="16" width="9.140625" customWidth="1"/>
    <col min="17" max="17" width="5.5703125" customWidth="1"/>
    <col min="18" max="18" width="9.140625" customWidth="1"/>
    <col min="19" max="19" width="5.5703125" customWidth="1"/>
    <col min="20" max="20" width="2.5703125" customWidth="1"/>
    <col min="21" max="22" width="9.140625" customWidth="1"/>
    <col min="23" max="29" width="7.85546875" customWidth="1"/>
    <col min="34" max="34" width="32" customWidth="1"/>
    <col min="35" max="35" width="13.140625" customWidth="1"/>
  </cols>
  <sheetData>
    <row r="1" spans="1:41" x14ac:dyDescent="0.2">
      <c r="C1" s="1"/>
    </row>
    <row r="2" spans="1:41" ht="12" customHeight="1" x14ac:dyDescent="0.2">
      <c r="U2" s="372"/>
    </row>
    <row r="3" spans="1:41" ht="12" customHeight="1" x14ac:dyDescent="0.2">
      <c r="B3" s="8" t="s">
        <v>0</v>
      </c>
      <c r="C3" s="6" t="s"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73"/>
      <c r="V3" s="60"/>
      <c r="W3" s="60"/>
      <c r="X3" s="60"/>
      <c r="Y3" s="60"/>
      <c r="Z3" s="60"/>
      <c r="AA3" s="22"/>
      <c r="AB3" s="22"/>
      <c r="AC3" s="22"/>
      <c r="AD3" s="22"/>
      <c r="AE3" s="22"/>
      <c r="AF3" s="22"/>
      <c r="AG3" s="22"/>
      <c r="AH3" s="22"/>
      <c r="AI3" s="3"/>
      <c r="AJ3" s="3"/>
      <c r="AK3" s="3"/>
      <c r="AL3" s="3"/>
      <c r="AM3" s="3"/>
      <c r="AN3" s="3"/>
      <c r="AO3" s="3"/>
    </row>
    <row r="4" spans="1:41" ht="10.5" customHeight="1" thickBot="1" x14ac:dyDescent="0.25">
      <c r="B4" s="67" t="s">
        <v>53</v>
      </c>
      <c r="C4" s="66"/>
      <c r="D4" s="67" t="s">
        <v>54</v>
      </c>
      <c r="E4" s="67"/>
      <c r="F4" s="17"/>
      <c r="G4" s="67"/>
      <c r="H4" s="1"/>
      <c r="I4" s="67"/>
      <c r="J4" s="67" t="s">
        <v>52</v>
      </c>
      <c r="K4" s="67"/>
      <c r="L4" s="29" t="s">
        <v>0</v>
      </c>
      <c r="M4" s="67"/>
      <c r="N4" s="29" t="s">
        <v>0</v>
      </c>
      <c r="O4" s="67"/>
      <c r="P4" s="29" t="s">
        <v>0</v>
      </c>
      <c r="Q4" s="67"/>
      <c r="R4" s="29" t="s">
        <v>0</v>
      </c>
      <c r="S4" s="67"/>
      <c r="T4" s="17"/>
      <c r="U4" s="373"/>
      <c r="AA4" s="22"/>
      <c r="AB4" s="22"/>
      <c r="AC4" s="22"/>
      <c r="AD4" s="22"/>
      <c r="AE4" s="22"/>
      <c r="AF4" s="22"/>
      <c r="AG4" s="22"/>
      <c r="AH4" s="22"/>
      <c r="AI4" s="3"/>
      <c r="AJ4" s="3"/>
      <c r="AK4" s="3"/>
      <c r="AL4" s="3"/>
      <c r="AM4" s="3"/>
      <c r="AN4" s="3"/>
      <c r="AO4" s="3"/>
    </row>
    <row r="5" spans="1:41" ht="13.5" thickBot="1" x14ac:dyDescent="0.25">
      <c r="B5" s="789">
        <f>'T2 Investoinnit, rahoitus'!B3:C3</f>
        <v>0</v>
      </c>
      <c r="C5" s="790"/>
      <c r="D5" s="792">
        <f>'T2 Investoinnit, rahoitus'!E3</f>
        <v>0</v>
      </c>
      <c r="E5" s="793"/>
      <c r="F5" s="793"/>
      <c r="G5" s="793"/>
      <c r="H5" s="793"/>
      <c r="I5" s="794"/>
      <c r="J5" s="795">
        <f>'T2 Investoinnit, rahoitus'!H3</f>
        <v>0</v>
      </c>
      <c r="K5" s="895"/>
      <c r="L5" s="874"/>
      <c r="M5" s="198"/>
      <c r="N5" s="20"/>
      <c r="O5" s="198"/>
      <c r="P5" s="20"/>
      <c r="Q5" s="198"/>
      <c r="R5" s="20"/>
      <c r="S5" s="198"/>
      <c r="T5" s="21"/>
      <c r="U5" s="889"/>
      <c r="V5" s="889"/>
      <c r="W5" s="889"/>
      <c r="X5" s="889"/>
      <c r="Y5" s="889"/>
      <c r="Z5" s="889"/>
      <c r="AA5" s="22"/>
      <c r="AB5" s="22"/>
      <c r="AC5" s="22"/>
      <c r="AD5" s="22"/>
      <c r="AE5" s="22"/>
      <c r="AF5" s="22"/>
      <c r="AG5" s="22"/>
      <c r="AH5" s="22"/>
      <c r="AI5" s="11"/>
      <c r="AJ5" s="11"/>
      <c r="AK5" s="3"/>
      <c r="AL5" s="3"/>
      <c r="AM5" s="3"/>
      <c r="AN5" s="3"/>
      <c r="AO5" s="3"/>
    </row>
    <row r="6" spans="1:41" ht="4.5" customHeight="1" thickBot="1" x14ac:dyDescent="0.25">
      <c r="B6" s="6"/>
      <c r="C6" s="6"/>
      <c r="D6" s="199"/>
      <c r="E6" s="199"/>
      <c r="F6" s="16"/>
      <c r="G6" s="6"/>
      <c r="H6" s="6"/>
      <c r="I6" s="6"/>
      <c r="K6" s="6"/>
      <c r="M6" s="6"/>
      <c r="O6" s="6"/>
      <c r="Q6" s="6"/>
      <c r="S6" s="6"/>
      <c r="U6" s="890"/>
      <c r="V6" s="890"/>
      <c r="W6" s="890"/>
      <c r="X6" s="890"/>
      <c r="Y6" s="890"/>
      <c r="Z6" s="890"/>
      <c r="AA6" s="26"/>
      <c r="AB6" s="26"/>
      <c r="AC6" s="26"/>
      <c r="AD6" s="26"/>
      <c r="AE6" s="26"/>
      <c r="AF6" s="26"/>
      <c r="AG6" s="26"/>
      <c r="AH6" s="26"/>
      <c r="AI6" s="11"/>
      <c r="AJ6" s="11"/>
      <c r="AK6" s="3"/>
      <c r="AL6" s="3"/>
      <c r="AM6" s="3"/>
      <c r="AN6" s="3"/>
      <c r="AO6" s="3"/>
    </row>
    <row r="7" spans="1:41" ht="12.75" customHeight="1" x14ac:dyDescent="0.2">
      <c r="B7" s="891" t="s">
        <v>161</v>
      </c>
      <c r="C7" s="892"/>
      <c r="D7" s="896" t="s">
        <v>124</v>
      </c>
      <c r="E7" s="887"/>
      <c r="F7" s="886" t="s">
        <v>8</v>
      </c>
      <c r="G7" s="887"/>
      <c r="H7" s="886" t="s">
        <v>28</v>
      </c>
      <c r="I7" s="887"/>
      <c r="J7" s="886" t="s">
        <v>25</v>
      </c>
      <c r="K7" s="887"/>
      <c r="L7" s="886" t="s">
        <v>32</v>
      </c>
      <c r="M7" s="887"/>
      <c r="N7" s="886" t="s">
        <v>33</v>
      </c>
      <c r="O7" s="887"/>
      <c r="P7" s="886" t="s">
        <v>34</v>
      </c>
      <c r="Q7" s="887"/>
      <c r="R7" s="886" t="s">
        <v>40</v>
      </c>
      <c r="S7" s="887"/>
      <c r="T7" s="24"/>
      <c r="U7" s="553"/>
      <c r="V7" s="554"/>
      <c r="W7" s="555" t="s">
        <v>255</v>
      </c>
      <c r="X7" s="555"/>
      <c r="Y7" s="555"/>
      <c r="Z7" s="555"/>
      <c r="AA7" s="555"/>
      <c r="AB7" s="555"/>
      <c r="AC7" s="555"/>
      <c r="AD7" s="556"/>
      <c r="AE7" s="556"/>
      <c r="AF7" s="556"/>
      <c r="AG7" s="556"/>
      <c r="AH7" s="557"/>
      <c r="AI7" s="11"/>
      <c r="AJ7" s="11"/>
      <c r="AK7" s="3"/>
      <c r="AL7" s="3"/>
      <c r="AM7" s="3"/>
      <c r="AN7" s="3"/>
      <c r="AO7" s="3"/>
    </row>
    <row r="8" spans="1:41" ht="18" customHeight="1" thickBot="1" x14ac:dyDescent="0.25">
      <c r="B8" s="893"/>
      <c r="C8" s="894"/>
      <c r="D8" s="635">
        <f>'T2 Investoinnit, rahoitus'!E6</f>
        <v>2015</v>
      </c>
      <c r="E8" s="636" t="s">
        <v>39</v>
      </c>
      <c r="F8" s="637">
        <f>'T2 Investoinnit, rahoitus'!F6</f>
        <v>2016</v>
      </c>
      <c r="G8" s="636" t="s">
        <v>39</v>
      </c>
      <c r="H8" s="637">
        <f>'T2 Investoinnit, rahoitus'!G6</f>
        <v>2017</v>
      </c>
      <c r="I8" s="636" t="s">
        <v>39</v>
      </c>
      <c r="J8" s="637">
        <f>'T2 Investoinnit, rahoitus'!H6</f>
        <v>2018</v>
      </c>
      <c r="K8" s="636" t="s">
        <v>39</v>
      </c>
      <c r="L8" s="637">
        <f>'T2 Investoinnit, rahoitus'!I6</f>
        <v>2019</v>
      </c>
      <c r="M8" s="636" t="s">
        <v>39</v>
      </c>
      <c r="N8" s="637">
        <f>'T2 Investoinnit, rahoitus'!J6</f>
        <v>2020</v>
      </c>
      <c r="O8" s="636" t="s">
        <v>39</v>
      </c>
      <c r="P8" s="637">
        <f>'T2 Investoinnit, rahoitus'!K6</f>
        <v>2021</v>
      </c>
      <c r="Q8" s="636" t="s">
        <v>39</v>
      </c>
      <c r="R8" s="637">
        <f>'T2 Investoinnit, rahoitus'!L6</f>
        <v>2022</v>
      </c>
      <c r="S8" s="636" t="s">
        <v>39</v>
      </c>
      <c r="T8" s="25"/>
      <c r="U8" s="361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3"/>
      <c r="AI8" s="11"/>
      <c r="AJ8" s="11"/>
      <c r="AK8" s="3"/>
      <c r="AL8" s="3"/>
      <c r="AM8" s="3"/>
      <c r="AN8" s="3"/>
      <c r="AO8" s="3"/>
    </row>
    <row r="9" spans="1:41" ht="12" customHeight="1" x14ac:dyDescent="0.2">
      <c r="B9" s="520">
        <v>1</v>
      </c>
      <c r="C9" s="521" t="s">
        <v>63</v>
      </c>
      <c r="D9" s="638">
        <v>0</v>
      </c>
      <c r="E9" s="639">
        <f ca="1">IF(D$87=0,0,100*D9/D$87)</f>
        <v>0</v>
      </c>
      <c r="F9" s="608">
        <f t="shared" ref="F9:R9" si="0">F10*F11</f>
        <v>0</v>
      </c>
      <c r="G9" s="639">
        <f ca="1">IF(F$87=0,0,100*F9/F$87)</f>
        <v>0</v>
      </c>
      <c r="H9" s="608">
        <f t="shared" si="0"/>
        <v>0</v>
      </c>
      <c r="I9" s="639">
        <f ca="1">IF(H$87=0,0,100*H9/H$87)</f>
        <v>0</v>
      </c>
      <c r="J9" s="608">
        <f t="shared" si="0"/>
        <v>0</v>
      </c>
      <c r="K9" s="639">
        <f ca="1">IF(J$87=0,0,100*J9/J$87)</f>
        <v>0</v>
      </c>
      <c r="L9" s="608">
        <f t="shared" si="0"/>
        <v>0</v>
      </c>
      <c r="M9" s="639">
        <f ca="1">IF(L$87=0,0,100*L9/L$87)</f>
        <v>0</v>
      </c>
      <c r="N9" s="608">
        <f t="shared" si="0"/>
        <v>0</v>
      </c>
      <c r="O9" s="639">
        <f ca="1">IF(N$87=0,0,100*N9/N$87)</f>
        <v>0</v>
      </c>
      <c r="P9" s="608">
        <f t="shared" si="0"/>
        <v>0</v>
      </c>
      <c r="Q9" s="639">
        <f ca="1">IF(P$87=0,0,100*P9/P$87)</f>
        <v>0</v>
      </c>
      <c r="R9" s="608">
        <f t="shared" si="0"/>
        <v>0</v>
      </c>
      <c r="S9" s="639">
        <f ca="1">IF(R$87=0,0,100*R9/R$87)</f>
        <v>0</v>
      </c>
      <c r="T9" s="392"/>
      <c r="U9" s="884" t="s">
        <v>304</v>
      </c>
      <c r="V9" s="885"/>
      <c r="W9" s="885"/>
      <c r="X9" s="885"/>
      <c r="Y9" s="885"/>
      <c r="Z9" s="885"/>
      <c r="AA9" s="885"/>
      <c r="AB9" s="362"/>
      <c r="AC9" s="362"/>
      <c r="AD9" s="362"/>
      <c r="AE9" s="362"/>
      <c r="AF9" s="362"/>
      <c r="AG9" s="362"/>
      <c r="AH9" s="363"/>
      <c r="AI9" s="27"/>
      <c r="AJ9" s="27"/>
      <c r="AK9" s="3"/>
      <c r="AL9" s="3"/>
      <c r="AM9" s="3"/>
      <c r="AN9" s="3"/>
      <c r="AO9" s="3"/>
    </row>
    <row r="10" spans="1:41" ht="11.25" customHeight="1" x14ac:dyDescent="0.2">
      <c r="A10" s="2"/>
      <c r="B10" s="589"/>
      <c r="C10" s="679" t="s">
        <v>61</v>
      </c>
      <c r="D10" s="680">
        <v>0</v>
      </c>
      <c r="E10" s="681"/>
      <c r="F10" s="682">
        <f>D10</f>
        <v>0</v>
      </c>
      <c r="G10" s="683"/>
      <c r="H10" s="682">
        <f>F10</f>
        <v>0</v>
      </c>
      <c r="I10" s="683"/>
      <c r="J10" s="682">
        <f>H10</f>
        <v>0</v>
      </c>
      <c r="K10" s="683"/>
      <c r="L10" s="682">
        <f>J10</f>
        <v>0</v>
      </c>
      <c r="M10" s="683"/>
      <c r="N10" s="682">
        <f>L10</f>
        <v>0</v>
      </c>
      <c r="O10" s="683"/>
      <c r="P10" s="682">
        <f>N10</f>
        <v>0</v>
      </c>
      <c r="Q10" s="683"/>
      <c r="R10" s="682">
        <f>P10</f>
        <v>0</v>
      </c>
      <c r="S10" s="681"/>
      <c r="T10" s="389"/>
      <c r="U10" s="484">
        <f>$F$8</f>
        <v>2016</v>
      </c>
      <c r="V10" s="482">
        <f>$H$8</f>
        <v>2017</v>
      </c>
      <c r="W10" s="482">
        <f>$J$8</f>
        <v>2018</v>
      </c>
      <c r="X10" s="482">
        <f>$L$8</f>
        <v>2019</v>
      </c>
      <c r="Y10" s="482">
        <f>$N$8</f>
        <v>2020</v>
      </c>
      <c r="Z10" s="482">
        <f>$P$8</f>
        <v>2021</v>
      </c>
      <c r="AA10" s="482">
        <f>$R$8</f>
        <v>2022</v>
      </c>
      <c r="AB10" s="362"/>
      <c r="AC10" s="362"/>
      <c r="AD10" s="362"/>
      <c r="AE10" s="362"/>
      <c r="AF10" s="362"/>
      <c r="AG10" s="362"/>
      <c r="AH10" s="363"/>
      <c r="AI10" s="27"/>
      <c r="AJ10" s="27"/>
      <c r="AK10" s="3"/>
      <c r="AL10" s="3"/>
      <c r="AM10" s="3"/>
      <c r="AN10" s="3"/>
      <c r="AO10" s="3"/>
    </row>
    <row r="11" spans="1:41" ht="11.25" customHeight="1" thickBot="1" x14ac:dyDescent="0.25">
      <c r="A11" s="182"/>
      <c r="B11" s="684"/>
      <c r="C11" s="685" t="s">
        <v>62</v>
      </c>
      <c r="D11" s="686">
        <f>IF(D10=0,0,D9/D10)</f>
        <v>0</v>
      </c>
      <c r="E11" s="687"/>
      <c r="F11" s="682">
        <f>D11+D11*U11</f>
        <v>0</v>
      </c>
      <c r="G11" s="683"/>
      <c r="H11" s="682">
        <f>F11+F11*V11</f>
        <v>0</v>
      </c>
      <c r="I11" s="683"/>
      <c r="J11" s="682">
        <f>H11+H11*W11</f>
        <v>0</v>
      </c>
      <c r="K11" s="683"/>
      <c r="L11" s="682">
        <f>J11+J11*X11</f>
        <v>0</v>
      </c>
      <c r="M11" s="683"/>
      <c r="N11" s="682">
        <f>L11+L11*Y11</f>
        <v>0</v>
      </c>
      <c r="O11" s="683"/>
      <c r="P11" s="682">
        <f>N11+N11*Z11</f>
        <v>0</v>
      </c>
      <c r="Q11" s="683"/>
      <c r="R11" s="682">
        <f>P11+P11*AA11</f>
        <v>0</v>
      </c>
      <c r="S11" s="681"/>
      <c r="T11" s="389"/>
      <c r="U11" s="558">
        <v>0.03</v>
      </c>
      <c r="V11" s="483">
        <v>0.03</v>
      </c>
      <c r="W11" s="483">
        <f>V11</f>
        <v>0.03</v>
      </c>
      <c r="X11" s="483">
        <f>W11</f>
        <v>0.03</v>
      </c>
      <c r="Y11" s="483">
        <f>X11</f>
        <v>0.03</v>
      </c>
      <c r="Z11" s="483">
        <f>Y11</f>
        <v>0.03</v>
      </c>
      <c r="AA11" s="483">
        <f>Z11</f>
        <v>0.03</v>
      </c>
      <c r="AB11" s="362"/>
      <c r="AC11" s="362"/>
      <c r="AD11" s="362"/>
      <c r="AE11" s="362"/>
      <c r="AF11" s="362"/>
      <c r="AG11" s="362"/>
      <c r="AH11" s="363"/>
      <c r="AI11" s="27"/>
      <c r="AJ11" s="27"/>
      <c r="AK11" s="3"/>
      <c r="AL11" s="3"/>
      <c r="AM11" s="3"/>
      <c r="AN11" s="3"/>
      <c r="AO11" s="3"/>
    </row>
    <row r="12" spans="1:41" ht="12" customHeight="1" x14ac:dyDescent="0.2">
      <c r="A12" s="182"/>
      <c r="B12" s="520">
        <v>2</v>
      </c>
      <c r="C12" s="521" t="s">
        <v>70</v>
      </c>
      <c r="D12" s="638">
        <v>0</v>
      </c>
      <c r="E12" s="639">
        <f ca="1">IF(D$87=0,0,100*D12/D$87)</f>
        <v>0</v>
      </c>
      <c r="F12" s="608">
        <f>F13*F14</f>
        <v>0</v>
      </c>
      <c r="G12" s="639">
        <f ca="1">IF(F$87=0,0,100*F12/F$87)</f>
        <v>0</v>
      </c>
      <c r="H12" s="608">
        <f>H13*H14</f>
        <v>0</v>
      </c>
      <c r="I12" s="639">
        <f ca="1">IF(H$87=0,0,100*H12/H$87)</f>
        <v>0</v>
      </c>
      <c r="J12" s="608">
        <f>J13*J14</f>
        <v>0</v>
      </c>
      <c r="K12" s="639">
        <f ca="1">IF(J$87=0,0,100*J12/J$87)</f>
        <v>0</v>
      </c>
      <c r="L12" s="608">
        <f>L13*L14</f>
        <v>0</v>
      </c>
      <c r="M12" s="639">
        <f ca="1">IF(L$87=0,0,100*L12/L$87)</f>
        <v>0</v>
      </c>
      <c r="N12" s="608">
        <f>N13*N14</f>
        <v>0</v>
      </c>
      <c r="O12" s="639">
        <f ca="1">IF(N$87=0,0,100*N12/N$87)</f>
        <v>0</v>
      </c>
      <c r="P12" s="608">
        <f>P13*P14</f>
        <v>0</v>
      </c>
      <c r="Q12" s="639">
        <f ca="1">IF(P$87=0,0,100*P12/P$87)</f>
        <v>0</v>
      </c>
      <c r="R12" s="608">
        <f>R13*R14</f>
        <v>0</v>
      </c>
      <c r="S12" s="639">
        <f ca="1">IF(R$87=0,0,100*R12/R$87)</f>
        <v>0</v>
      </c>
      <c r="T12" s="392"/>
      <c r="U12" s="361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3"/>
      <c r="AI12" s="27"/>
      <c r="AJ12" s="27"/>
      <c r="AK12" s="3"/>
      <c r="AL12" s="3"/>
      <c r="AM12" s="3"/>
      <c r="AN12" s="3"/>
      <c r="AO12" s="3"/>
    </row>
    <row r="13" spans="1:41" s="182" customFormat="1" ht="11.25" customHeight="1" x14ac:dyDescent="0.2">
      <c r="A13"/>
      <c r="B13" s="429"/>
      <c r="C13" s="679" t="s">
        <v>71</v>
      </c>
      <c r="D13" s="680">
        <v>0</v>
      </c>
      <c r="E13" s="681"/>
      <c r="F13" s="682">
        <f>D13</f>
        <v>0</v>
      </c>
      <c r="G13" s="683"/>
      <c r="H13" s="682">
        <f>F13</f>
        <v>0</v>
      </c>
      <c r="I13" s="683"/>
      <c r="J13" s="682">
        <f>H13</f>
        <v>0</v>
      </c>
      <c r="K13" s="683"/>
      <c r="L13" s="682">
        <f>J13</f>
        <v>0</v>
      </c>
      <c r="M13" s="683"/>
      <c r="N13" s="682">
        <f>L13</f>
        <v>0</v>
      </c>
      <c r="O13" s="683"/>
      <c r="P13" s="682">
        <f>N13</f>
        <v>0</v>
      </c>
      <c r="Q13" s="683"/>
      <c r="R13" s="682">
        <f>P13</f>
        <v>0</v>
      </c>
      <c r="S13" s="681"/>
      <c r="T13" s="389"/>
      <c r="U13" s="484">
        <f>$F$8</f>
        <v>2016</v>
      </c>
      <c r="V13" s="482">
        <f>$H$8</f>
        <v>2017</v>
      </c>
      <c r="W13" s="482">
        <f>$J$8</f>
        <v>2018</v>
      </c>
      <c r="X13" s="482">
        <f>$L$8</f>
        <v>2019</v>
      </c>
      <c r="Y13" s="482">
        <f>$N$8</f>
        <v>2020</v>
      </c>
      <c r="Z13" s="482">
        <f>$P$8</f>
        <v>2021</v>
      </c>
      <c r="AA13" s="482">
        <f>$R$8</f>
        <v>2022</v>
      </c>
      <c r="AB13" s="362"/>
      <c r="AC13" s="362"/>
      <c r="AD13" s="362"/>
      <c r="AE13" s="362"/>
      <c r="AF13" s="362"/>
      <c r="AG13" s="362"/>
      <c r="AH13" s="363"/>
      <c r="AI13" s="390"/>
      <c r="AJ13" s="390"/>
      <c r="AK13" s="391"/>
      <c r="AL13" s="391"/>
      <c r="AM13" s="391"/>
      <c r="AN13" s="391"/>
      <c r="AO13" s="391"/>
    </row>
    <row r="14" spans="1:41" s="182" customFormat="1" ht="11.25" customHeight="1" thickBot="1" x14ac:dyDescent="0.25">
      <c r="B14" s="431"/>
      <c r="C14" s="688" t="s">
        <v>72</v>
      </c>
      <c r="D14" s="689">
        <f>IF(D13=0,0,D12/D13)</f>
        <v>0</v>
      </c>
      <c r="E14" s="690"/>
      <c r="F14" s="691">
        <f>D14+D14*U14</f>
        <v>0</v>
      </c>
      <c r="G14" s="683"/>
      <c r="H14" s="691">
        <f>F14+F14*V14</f>
        <v>0</v>
      </c>
      <c r="I14" s="683"/>
      <c r="J14" s="691">
        <f>H14+H14*W14</f>
        <v>0</v>
      </c>
      <c r="K14" s="683"/>
      <c r="L14" s="691">
        <f>J14+J14*X14</f>
        <v>0</v>
      </c>
      <c r="M14" s="683"/>
      <c r="N14" s="691">
        <f>L14+L14*Y14</f>
        <v>0</v>
      </c>
      <c r="O14" s="683"/>
      <c r="P14" s="691">
        <f>N14+N14*Z14</f>
        <v>0</v>
      </c>
      <c r="Q14" s="683"/>
      <c r="R14" s="691">
        <f>P14+P14*AA14</f>
        <v>0</v>
      </c>
      <c r="S14" s="681"/>
      <c r="T14" s="389"/>
      <c r="U14" s="558">
        <v>0.03</v>
      </c>
      <c r="V14" s="483">
        <v>0.03</v>
      </c>
      <c r="W14" s="483">
        <f t="shared" ref="W14:AA15" si="1">V14</f>
        <v>0.03</v>
      </c>
      <c r="X14" s="483">
        <f t="shared" si="1"/>
        <v>0.03</v>
      </c>
      <c r="Y14" s="483">
        <f t="shared" si="1"/>
        <v>0.03</v>
      </c>
      <c r="Z14" s="483">
        <f t="shared" si="1"/>
        <v>0.03</v>
      </c>
      <c r="AA14" s="483">
        <f t="shared" si="1"/>
        <v>0.03</v>
      </c>
      <c r="AB14" s="362"/>
      <c r="AC14" s="362"/>
      <c r="AD14" s="362"/>
      <c r="AE14" s="362"/>
      <c r="AF14" s="362"/>
      <c r="AG14" s="362"/>
      <c r="AH14" s="363"/>
      <c r="AI14" s="390"/>
      <c r="AJ14" s="390"/>
      <c r="AK14" s="391"/>
      <c r="AL14" s="391"/>
      <c r="AM14" s="391"/>
      <c r="AN14" s="391"/>
      <c r="AO14" s="391"/>
    </row>
    <row r="15" spans="1:41" ht="12" customHeight="1" thickBot="1" x14ac:dyDescent="0.25">
      <c r="A15" s="2"/>
      <c r="B15" s="522">
        <v>3</v>
      </c>
      <c r="C15" s="523" t="s">
        <v>252</v>
      </c>
      <c r="D15" s="640">
        <v>0</v>
      </c>
      <c r="E15" s="639">
        <f ca="1">IF(D$87=0,0,100*D15/D$87)</f>
        <v>0</v>
      </c>
      <c r="F15" s="641">
        <f>D15+D15*U15</f>
        <v>0</v>
      </c>
      <c r="G15" s="642">
        <f ca="1">IF(F$87=0,0,100*F15/F$87)</f>
        <v>0</v>
      </c>
      <c r="H15" s="641">
        <f>F15+F15*V15</f>
        <v>0</v>
      </c>
      <c r="I15" s="642">
        <f ca="1">IF(H$87=0,0,100*H15/H$87)</f>
        <v>0</v>
      </c>
      <c r="J15" s="641">
        <f>H15+H15*W15</f>
        <v>0</v>
      </c>
      <c r="K15" s="642">
        <f ca="1">IF(J$87=0,0,100*J15/J$87)</f>
        <v>0</v>
      </c>
      <c r="L15" s="641">
        <f>J15+J15*X15</f>
        <v>0</v>
      </c>
      <c r="M15" s="642">
        <f ca="1">IF(L$87=0,0,100*L15/L$87)</f>
        <v>0</v>
      </c>
      <c r="N15" s="641">
        <f>L15+L15*Y15</f>
        <v>0</v>
      </c>
      <c r="O15" s="642">
        <f ca="1">IF(N$87=0,0,100*N15/N$87)</f>
        <v>0</v>
      </c>
      <c r="P15" s="641">
        <f>N15+N15*Z15</f>
        <v>0</v>
      </c>
      <c r="Q15" s="642">
        <f ca="1">IF(P$87=0,0,100*P15/P$87)</f>
        <v>0</v>
      </c>
      <c r="R15" s="641">
        <f>P15+P15*AA15</f>
        <v>0</v>
      </c>
      <c r="S15" s="639">
        <f ca="1">IF(R$87=0,0,100*R15/R$87)</f>
        <v>0</v>
      </c>
      <c r="T15" s="392"/>
      <c r="U15" s="558">
        <v>0.03</v>
      </c>
      <c r="V15" s="483">
        <v>0.03</v>
      </c>
      <c r="W15" s="483">
        <f t="shared" si="1"/>
        <v>0.03</v>
      </c>
      <c r="X15" s="483">
        <f t="shared" si="1"/>
        <v>0.03</v>
      </c>
      <c r="Y15" s="483">
        <f t="shared" si="1"/>
        <v>0.03</v>
      </c>
      <c r="Z15" s="483">
        <f t="shared" si="1"/>
        <v>0.03</v>
      </c>
      <c r="AA15" s="483">
        <f t="shared" si="1"/>
        <v>0.03</v>
      </c>
      <c r="AB15" s="362"/>
      <c r="AC15" s="362"/>
      <c r="AD15" s="364"/>
      <c r="AE15" s="364"/>
      <c r="AF15" s="362"/>
      <c r="AG15" s="362"/>
      <c r="AH15" s="363"/>
      <c r="AI15" s="27"/>
      <c r="AJ15" s="27"/>
      <c r="AK15" s="3"/>
      <c r="AL15" s="3"/>
      <c r="AM15" s="3"/>
      <c r="AN15" s="3"/>
      <c r="AO15" s="3"/>
    </row>
    <row r="16" spans="1:41" ht="12" customHeight="1" x14ac:dyDescent="0.2">
      <c r="A16" s="2"/>
      <c r="B16" s="524">
        <v>4</v>
      </c>
      <c r="C16" s="525" t="s">
        <v>143</v>
      </c>
      <c r="D16" s="643">
        <v>0</v>
      </c>
      <c r="E16" s="639">
        <f ca="1">IF(D$87=0,0,100*D16/D$87)</f>
        <v>0</v>
      </c>
      <c r="F16" s="644">
        <f>F17+F20+F23</f>
        <v>0</v>
      </c>
      <c r="G16" s="639">
        <f ca="1">IF(F$87=0,0,100*F16/F$87)</f>
        <v>0</v>
      </c>
      <c r="H16" s="644">
        <f t="shared" ref="H16:P16" si="2">H17+H20+H23</f>
        <v>0</v>
      </c>
      <c r="I16" s="639">
        <f ca="1">IF(H$87=0,0,100*H16/H$87)</f>
        <v>0</v>
      </c>
      <c r="J16" s="644">
        <f t="shared" si="2"/>
        <v>0</v>
      </c>
      <c r="K16" s="639">
        <f ca="1">IF(J$87=0,0,100*J16/J$87)</f>
        <v>0</v>
      </c>
      <c r="L16" s="644">
        <f t="shared" si="2"/>
        <v>0</v>
      </c>
      <c r="M16" s="639">
        <f ca="1">IF(L$87=0,0,100*L16/L$87)</f>
        <v>0</v>
      </c>
      <c r="N16" s="644">
        <f t="shared" si="2"/>
        <v>0</v>
      </c>
      <c r="O16" s="639">
        <f ca="1">IF(N$87=0,0,100*N16/N$87)</f>
        <v>0</v>
      </c>
      <c r="P16" s="644">
        <f t="shared" si="2"/>
        <v>0</v>
      </c>
      <c r="Q16" s="639">
        <f ca="1">IF(P$87=0,0,100*P16/P$87)</f>
        <v>0</v>
      </c>
      <c r="R16" s="644">
        <f>R17+R20+R23</f>
        <v>0</v>
      </c>
      <c r="S16" s="639">
        <f ca="1">IF(R$87=0,0,100*R16/R$87)</f>
        <v>0</v>
      </c>
      <c r="T16" s="392"/>
      <c r="U16" s="361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3"/>
      <c r="AI16" s="27"/>
      <c r="AJ16" s="27"/>
      <c r="AK16" s="3"/>
      <c r="AL16" s="3"/>
      <c r="AM16" s="3"/>
      <c r="AN16" s="3"/>
      <c r="AO16" s="3"/>
    </row>
    <row r="17" spans="1:41" ht="11.25" customHeight="1" x14ac:dyDescent="0.2">
      <c r="A17" s="182"/>
      <c r="B17" s="692"/>
      <c r="C17" s="693" t="s">
        <v>258</v>
      </c>
      <c r="D17" s="694">
        <v>0</v>
      </c>
      <c r="E17" s="681"/>
      <c r="F17" s="695">
        <f>F18*F19</f>
        <v>0</v>
      </c>
      <c r="G17" s="683"/>
      <c r="H17" s="695">
        <f>H18*H19</f>
        <v>0</v>
      </c>
      <c r="I17" s="683"/>
      <c r="J17" s="695">
        <f>J18*J19</f>
        <v>0</v>
      </c>
      <c r="K17" s="683"/>
      <c r="L17" s="695">
        <f>L18*L19</f>
        <v>0</v>
      </c>
      <c r="M17" s="683"/>
      <c r="N17" s="695">
        <f>N18*N19</f>
        <v>0</v>
      </c>
      <c r="O17" s="683"/>
      <c r="P17" s="695">
        <f>P18*P19</f>
        <v>0</v>
      </c>
      <c r="Q17" s="683"/>
      <c r="R17" s="695">
        <f>R18*R19</f>
        <v>0</v>
      </c>
      <c r="S17" s="681"/>
      <c r="T17" s="389"/>
      <c r="U17" s="361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3"/>
      <c r="AI17" s="27"/>
      <c r="AJ17" s="27"/>
      <c r="AK17" s="3"/>
      <c r="AL17" s="3"/>
      <c r="AM17" s="3"/>
      <c r="AN17" s="3"/>
      <c r="AO17" s="3"/>
    </row>
    <row r="18" spans="1:41" ht="11.25" customHeight="1" x14ac:dyDescent="0.2">
      <c r="B18" s="692"/>
      <c r="C18" s="693" t="s">
        <v>265</v>
      </c>
      <c r="D18" s="694"/>
      <c r="E18" s="681"/>
      <c r="F18" s="696">
        <v>0</v>
      </c>
      <c r="G18" s="683"/>
      <c r="H18" s="696">
        <f>F18</f>
        <v>0</v>
      </c>
      <c r="I18" s="683"/>
      <c r="J18" s="696">
        <f>H18</f>
        <v>0</v>
      </c>
      <c r="K18" s="683"/>
      <c r="L18" s="696">
        <f>J18</f>
        <v>0</v>
      </c>
      <c r="M18" s="683"/>
      <c r="N18" s="696">
        <f>L18</f>
        <v>0</v>
      </c>
      <c r="O18" s="683"/>
      <c r="P18" s="696">
        <f>N18</f>
        <v>0</v>
      </c>
      <c r="Q18" s="683"/>
      <c r="R18" s="696">
        <f>P18</f>
        <v>0</v>
      </c>
      <c r="S18" s="681"/>
      <c r="T18" s="389"/>
      <c r="U18" s="484">
        <f>$F$8</f>
        <v>2016</v>
      </c>
      <c r="V18" s="482">
        <f>$H$8</f>
        <v>2017</v>
      </c>
      <c r="W18" s="482">
        <f>$J$8</f>
        <v>2018</v>
      </c>
      <c r="X18" s="482">
        <f>$L$8</f>
        <v>2019</v>
      </c>
      <c r="Y18" s="482">
        <f>$N$8</f>
        <v>2020</v>
      </c>
      <c r="Z18" s="482">
        <f>$P$8</f>
        <v>2021</v>
      </c>
      <c r="AA18" s="482">
        <f>$R$8</f>
        <v>2022</v>
      </c>
      <c r="AB18" s="362"/>
      <c r="AC18" s="362"/>
      <c r="AD18" s="362"/>
      <c r="AE18" s="362"/>
      <c r="AF18" s="362"/>
      <c r="AG18" s="362"/>
      <c r="AH18" s="363"/>
      <c r="AI18" s="27"/>
      <c r="AJ18" s="27"/>
      <c r="AK18" s="3"/>
      <c r="AL18" s="3"/>
      <c r="AM18" s="3"/>
      <c r="AN18" s="3"/>
      <c r="AO18" s="3"/>
    </row>
    <row r="19" spans="1:41" ht="11.25" customHeight="1" x14ac:dyDescent="0.2">
      <c r="A19" s="182"/>
      <c r="B19" s="692"/>
      <c r="C19" s="693" t="s">
        <v>259</v>
      </c>
      <c r="D19" s="694"/>
      <c r="E19" s="681"/>
      <c r="F19" s="682">
        <v>0</v>
      </c>
      <c r="G19" s="683"/>
      <c r="H19" s="682">
        <f>F19+F19*V19</f>
        <v>0</v>
      </c>
      <c r="I19" s="683"/>
      <c r="J19" s="682">
        <f>H19+H19*W19</f>
        <v>0</v>
      </c>
      <c r="K19" s="683"/>
      <c r="L19" s="682">
        <f>J19+J19*X19</f>
        <v>0</v>
      </c>
      <c r="M19" s="683"/>
      <c r="N19" s="682">
        <f>L19+L19*Y19</f>
        <v>0</v>
      </c>
      <c r="O19" s="683"/>
      <c r="P19" s="682">
        <f>N19+N19*Z19</f>
        <v>0</v>
      </c>
      <c r="Q19" s="683"/>
      <c r="R19" s="682">
        <f>P19+P19*AA19</f>
        <v>0</v>
      </c>
      <c r="S19" s="681"/>
      <c r="T19" s="389"/>
      <c r="U19" s="586"/>
      <c r="V19" s="483">
        <v>0.03</v>
      </c>
      <c r="W19" s="483">
        <f>V19</f>
        <v>0.03</v>
      </c>
      <c r="X19" s="483">
        <f>W19</f>
        <v>0.03</v>
      </c>
      <c r="Y19" s="483">
        <f>X19</f>
        <v>0.03</v>
      </c>
      <c r="Z19" s="483">
        <f>Y19</f>
        <v>0.03</v>
      </c>
      <c r="AA19" s="483">
        <f>Z19</f>
        <v>0.03</v>
      </c>
      <c r="AB19" s="362"/>
      <c r="AC19" s="362"/>
      <c r="AD19" s="362"/>
      <c r="AE19" s="362"/>
      <c r="AF19" s="362"/>
      <c r="AG19" s="362"/>
      <c r="AH19" s="363"/>
      <c r="AI19" s="27"/>
      <c r="AJ19" s="27"/>
      <c r="AK19" s="3"/>
      <c r="AL19" s="3"/>
      <c r="AM19" s="3"/>
      <c r="AN19" s="3"/>
      <c r="AO19" s="3"/>
    </row>
    <row r="20" spans="1:41" ht="11.25" customHeight="1" x14ac:dyDescent="0.2">
      <c r="A20" s="2"/>
      <c r="B20" s="692"/>
      <c r="C20" s="693" t="s">
        <v>260</v>
      </c>
      <c r="D20" s="694"/>
      <c r="E20" s="681"/>
      <c r="F20" s="695">
        <f>F21*F22</f>
        <v>0</v>
      </c>
      <c r="G20" s="683"/>
      <c r="H20" s="695">
        <f>H21*H22</f>
        <v>0</v>
      </c>
      <c r="I20" s="683"/>
      <c r="J20" s="695">
        <f>J21*J22</f>
        <v>0</v>
      </c>
      <c r="K20" s="683"/>
      <c r="L20" s="695">
        <f>L21*L22</f>
        <v>0</v>
      </c>
      <c r="M20" s="683"/>
      <c r="N20" s="695">
        <f>N21*N22</f>
        <v>0</v>
      </c>
      <c r="O20" s="683"/>
      <c r="P20" s="695">
        <f>P21*P22</f>
        <v>0</v>
      </c>
      <c r="Q20" s="683"/>
      <c r="R20" s="695">
        <f>R21*R22</f>
        <v>0</v>
      </c>
      <c r="S20" s="681"/>
      <c r="T20" s="389"/>
      <c r="U20" s="587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3"/>
      <c r="AI20" s="27"/>
      <c r="AJ20" s="27"/>
      <c r="AK20" s="3"/>
      <c r="AL20" s="3"/>
      <c r="AM20" s="3"/>
      <c r="AN20" s="3"/>
      <c r="AO20" s="3"/>
    </row>
    <row r="21" spans="1:41" ht="11.25" customHeight="1" x14ac:dyDescent="0.2">
      <c r="B21" s="692"/>
      <c r="C21" s="693" t="s">
        <v>261</v>
      </c>
      <c r="D21" s="694"/>
      <c r="E21" s="681"/>
      <c r="F21" s="696">
        <v>0</v>
      </c>
      <c r="G21" s="683"/>
      <c r="H21" s="696">
        <f>F21</f>
        <v>0</v>
      </c>
      <c r="I21" s="683"/>
      <c r="J21" s="696">
        <f>H21</f>
        <v>0</v>
      </c>
      <c r="K21" s="683"/>
      <c r="L21" s="696">
        <f>J21</f>
        <v>0</v>
      </c>
      <c r="M21" s="683"/>
      <c r="N21" s="696">
        <f>L21</f>
        <v>0</v>
      </c>
      <c r="O21" s="683"/>
      <c r="P21" s="696">
        <f>N21</f>
        <v>0</v>
      </c>
      <c r="Q21" s="683"/>
      <c r="R21" s="696">
        <f>P21</f>
        <v>0</v>
      </c>
      <c r="S21" s="681"/>
      <c r="T21" s="389"/>
      <c r="U21" s="484">
        <f>$F$8</f>
        <v>2016</v>
      </c>
      <c r="V21" s="482">
        <f>$H$8</f>
        <v>2017</v>
      </c>
      <c r="W21" s="482">
        <f>$J$8</f>
        <v>2018</v>
      </c>
      <c r="X21" s="482">
        <f>$L$8</f>
        <v>2019</v>
      </c>
      <c r="Y21" s="482">
        <f>$N$8</f>
        <v>2020</v>
      </c>
      <c r="Z21" s="482">
        <f>$P$8</f>
        <v>2021</v>
      </c>
      <c r="AA21" s="482">
        <f>$R$8</f>
        <v>2022</v>
      </c>
      <c r="AB21" s="362"/>
      <c r="AC21" s="362"/>
      <c r="AD21" s="362"/>
      <c r="AE21" s="362"/>
      <c r="AF21" s="362"/>
      <c r="AG21" s="362"/>
      <c r="AH21" s="363"/>
      <c r="AI21" s="27"/>
      <c r="AJ21" s="27"/>
      <c r="AK21" s="3"/>
      <c r="AL21" s="3"/>
      <c r="AM21" s="3"/>
      <c r="AN21" s="3"/>
      <c r="AO21" s="3"/>
    </row>
    <row r="22" spans="1:41" ht="11.25" customHeight="1" x14ac:dyDescent="0.2">
      <c r="A22" s="182"/>
      <c r="B22" s="692"/>
      <c r="C22" s="693" t="s">
        <v>259</v>
      </c>
      <c r="D22" s="694"/>
      <c r="E22" s="681"/>
      <c r="F22" s="682">
        <v>0</v>
      </c>
      <c r="G22" s="683"/>
      <c r="H22" s="682">
        <f>F22+F22*V22</f>
        <v>0</v>
      </c>
      <c r="I22" s="683"/>
      <c r="J22" s="682">
        <f>H22+H22*W22</f>
        <v>0</v>
      </c>
      <c r="K22" s="683"/>
      <c r="L22" s="682">
        <f>J22+J22*X22</f>
        <v>0</v>
      </c>
      <c r="M22" s="683"/>
      <c r="N22" s="682">
        <f>L22+L22*Y22</f>
        <v>0</v>
      </c>
      <c r="O22" s="683"/>
      <c r="P22" s="682">
        <f>N22+N22*Z22</f>
        <v>0</v>
      </c>
      <c r="Q22" s="683"/>
      <c r="R22" s="682">
        <f>P22+P22*AA22</f>
        <v>0</v>
      </c>
      <c r="S22" s="681"/>
      <c r="T22" s="389"/>
      <c r="U22" s="586"/>
      <c r="V22" s="483">
        <v>0.03</v>
      </c>
      <c r="W22" s="483">
        <f>V22</f>
        <v>0.03</v>
      </c>
      <c r="X22" s="483">
        <f>W22</f>
        <v>0.03</v>
      </c>
      <c r="Y22" s="483">
        <f>X22</f>
        <v>0.03</v>
      </c>
      <c r="Z22" s="483">
        <f>Y22</f>
        <v>0.03</v>
      </c>
      <c r="AA22" s="483">
        <f>Z22</f>
        <v>0.03</v>
      </c>
      <c r="AB22" s="362"/>
      <c r="AC22" s="362"/>
      <c r="AD22" s="362"/>
      <c r="AE22" s="362"/>
      <c r="AF22" s="362"/>
      <c r="AG22" s="362"/>
      <c r="AH22" s="363"/>
      <c r="AI22" s="27"/>
      <c r="AJ22" s="27"/>
      <c r="AK22" s="3"/>
      <c r="AL22" s="3"/>
      <c r="AM22" s="3"/>
      <c r="AN22" s="3"/>
      <c r="AO22" s="3"/>
    </row>
    <row r="23" spans="1:41" ht="11.25" customHeight="1" x14ac:dyDescent="0.2">
      <c r="B23" s="692"/>
      <c r="C23" s="693" t="s">
        <v>262</v>
      </c>
      <c r="D23" s="694"/>
      <c r="E23" s="681"/>
      <c r="F23" s="695">
        <f>F24*F25</f>
        <v>0</v>
      </c>
      <c r="G23" s="683"/>
      <c r="H23" s="695">
        <f>H24*H25</f>
        <v>0</v>
      </c>
      <c r="I23" s="683"/>
      <c r="J23" s="695">
        <f>J24*J25</f>
        <v>0</v>
      </c>
      <c r="K23" s="683"/>
      <c r="L23" s="695">
        <f>L24*L25</f>
        <v>0</v>
      </c>
      <c r="M23" s="683"/>
      <c r="N23" s="695">
        <f>N24*N25</f>
        <v>0</v>
      </c>
      <c r="O23" s="683"/>
      <c r="P23" s="695">
        <f>P24*P25</f>
        <v>0</v>
      </c>
      <c r="Q23" s="683"/>
      <c r="R23" s="695">
        <f>R24*R25</f>
        <v>0</v>
      </c>
      <c r="S23" s="681"/>
      <c r="T23" s="389"/>
      <c r="U23" s="361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  <c r="AH23" s="363"/>
      <c r="AI23" s="27"/>
      <c r="AJ23" s="27"/>
      <c r="AK23" s="3"/>
      <c r="AL23" s="3"/>
      <c r="AM23" s="3"/>
      <c r="AN23" s="3"/>
      <c r="AO23" s="3"/>
    </row>
    <row r="24" spans="1:41" ht="11.25" customHeight="1" x14ac:dyDescent="0.2">
      <c r="A24" s="182"/>
      <c r="B24" s="692"/>
      <c r="C24" s="693" t="s">
        <v>290</v>
      </c>
      <c r="D24" s="694"/>
      <c r="E24" s="681"/>
      <c r="F24" s="696">
        <v>0</v>
      </c>
      <c r="G24" s="683"/>
      <c r="H24" s="696">
        <f>F24</f>
        <v>0</v>
      </c>
      <c r="I24" s="683"/>
      <c r="J24" s="696">
        <f>H24</f>
        <v>0</v>
      </c>
      <c r="K24" s="683"/>
      <c r="L24" s="696">
        <f>J24</f>
        <v>0</v>
      </c>
      <c r="M24" s="683"/>
      <c r="N24" s="696">
        <f>L24</f>
        <v>0</v>
      </c>
      <c r="O24" s="683"/>
      <c r="P24" s="696">
        <f>N24</f>
        <v>0</v>
      </c>
      <c r="Q24" s="683"/>
      <c r="R24" s="696">
        <f>P24</f>
        <v>0</v>
      </c>
      <c r="S24" s="681"/>
      <c r="T24" s="389"/>
      <c r="U24" s="484">
        <f>$F$8</f>
        <v>2016</v>
      </c>
      <c r="V24" s="482">
        <f>$H$8</f>
        <v>2017</v>
      </c>
      <c r="W24" s="482">
        <f>$J$8</f>
        <v>2018</v>
      </c>
      <c r="X24" s="482">
        <f>$L$8</f>
        <v>2019</v>
      </c>
      <c r="Y24" s="482">
        <f>$N$8</f>
        <v>2020</v>
      </c>
      <c r="Z24" s="482">
        <f>$P$8</f>
        <v>2021</v>
      </c>
      <c r="AA24" s="482">
        <f>$R$8</f>
        <v>2022</v>
      </c>
      <c r="AB24" s="362"/>
      <c r="AC24" s="362"/>
      <c r="AD24" s="362"/>
      <c r="AE24" s="362"/>
      <c r="AF24" s="362"/>
      <c r="AG24" s="362"/>
      <c r="AH24" s="363"/>
      <c r="AI24" s="27"/>
      <c r="AJ24" s="27"/>
      <c r="AK24" s="3"/>
      <c r="AL24" s="3"/>
      <c r="AM24" s="3"/>
      <c r="AN24" s="3"/>
      <c r="AO24" s="3"/>
    </row>
    <row r="25" spans="1:41" ht="11.25" customHeight="1" thickBot="1" x14ac:dyDescent="0.25">
      <c r="B25" s="692"/>
      <c r="C25" s="693" t="s">
        <v>259</v>
      </c>
      <c r="D25" s="697"/>
      <c r="E25" s="698"/>
      <c r="F25" s="699">
        <v>0</v>
      </c>
      <c r="G25" s="700"/>
      <c r="H25" s="682">
        <f>F25+F25*V25</f>
        <v>0</v>
      </c>
      <c r="I25" s="683"/>
      <c r="J25" s="682">
        <f>H25+H25*W25</f>
        <v>0</v>
      </c>
      <c r="K25" s="683"/>
      <c r="L25" s="682">
        <f>J25+J25*X25</f>
        <v>0</v>
      </c>
      <c r="M25" s="683"/>
      <c r="N25" s="682">
        <f>L25+L25*Y25</f>
        <v>0</v>
      </c>
      <c r="O25" s="683"/>
      <c r="P25" s="682">
        <f>N25+N25*Z25</f>
        <v>0</v>
      </c>
      <c r="Q25" s="683"/>
      <c r="R25" s="682">
        <f>P25+P25*AA25</f>
        <v>0</v>
      </c>
      <c r="S25" s="698"/>
      <c r="T25" s="389"/>
      <c r="U25" s="586"/>
      <c r="V25" s="483">
        <v>0.03</v>
      </c>
      <c r="W25" s="483">
        <f>V25</f>
        <v>0.03</v>
      </c>
      <c r="X25" s="483">
        <f>W25</f>
        <v>0.03</v>
      </c>
      <c r="Y25" s="483">
        <f>X25</f>
        <v>0.03</v>
      </c>
      <c r="Z25" s="483">
        <f>Y25</f>
        <v>0.03</v>
      </c>
      <c r="AA25" s="483">
        <f>Z25</f>
        <v>0.03</v>
      </c>
      <c r="AB25" s="362"/>
      <c r="AC25" s="362"/>
      <c r="AD25" s="362"/>
      <c r="AE25" s="362"/>
      <c r="AF25" s="362"/>
      <c r="AG25" s="362"/>
      <c r="AH25" s="363"/>
      <c r="AI25" s="27"/>
      <c r="AJ25" s="27"/>
      <c r="AK25" s="3"/>
      <c r="AL25" s="3"/>
      <c r="AM25" s="3"/>
      <c r="AN25" s="3"/>
      <c r="AO25" s="3"/>
    </row>
    <row r="26" spans="1:41" ht="12" customHeight="1" x14ac:dyDescent="0.2">
      <c r="B26" s="526">
        <v>5</v>
      </c>
      <c r="C26" s="527" t="s">
        <v>73</v>
      </c>
      <c r="D26" s="645">
        <v>0</v>
      </c>
      <c r="E26" s="646">
        <f ca="1">IF(D$87=0,0,100*D26/D$87)</f>
        <v>0</v>
      </c>
      <c r="F26" s="647">
        <f>F27*F28</f>
        <v>0</v>
      </c>
      <c r="G26" s="648">
        <f ca="1">IF(F$87=0,0,100*F26/F$87)</f>
        <v>0</v>
      </c>
      <c r="H26" s="647">
        <f>H27*H28</f>
        <v>0</v>
      </c>
      <c r="I26" s="648">
        <f ca="1">IF(H$87=0,0,100*H26/H$87)</f>
        <v>0</v>
      </c>
      <c r="J26" s="647">
        <f>J27*J28</f>
        <v>0</v>
      </c>
      <c r="K26" s="648">
        <f ca="1">IF(J$87=0,0,100*J26/J$87)</f>
        <v>0</v>
      </c>
      <c r="L26" s="647">
        <f>L27*L28</f>
        <v>0</v>
      </c>
      <c r="M26" s="648">
        <f ca="1">IF(L$87=0,0,100*L26/L$87)</f>
        <v>0</v>
      </c>
      <c r="N26" s="647">
        <f>N27*N28</f>
        <v>0</v>
      </c>
      <c r="O26" s="648">
        <f ca="1">IF(N$87=0,0,100*N26/N$87)</f>
        <v>0</v>
      </c>
      <c r="P26" s="647">
        <f>P27*P28</f>
        <v>0</v>
      </c>
      <c r="Q26" s="648">
        <f ca="1">IF(P$87=0,0,100*P26/P$87)</f>
        <v>0</v>
      </c>
      <c r="R26" s="647">
        <f>R27*R28</f>
        <v>0</v>
      </c>
      <c r="S26" s="646">
        <f ca="1">IF(R$87=0,0,100*R26/R$87)</f>
        <v>0</v>
      </c>
      <c r="T26" s="392"/>
      <c r="U26" s="361"/>
      <c r="V26" s="362"/>
      <c r="W26" s="362"/>
      <c r="X26" s="362"/>
      <c r="Y26" s="362"/>
      <c r="Z26" s="362"/>
      <c r="AA26" s="362"/>
      <c r="AB26" s="362"/>
      <c r="AC26" s="362"/>
      <c r="AD26" s="364"/>
      <c r="AE26" s="364"/>
      <c r="AF26" s="362"/>
      <c r="AG26" s="362"/>
      <c r="AH26" s="363"/>
      <c r="AI26" s="27"/>
      <c r="AJ26" s="27"/>
      <c r="AK26" s="3"/>
      <c r="AL26" s="3"/>
      <c r="AM26" s="3"/>
      <c r="AN26" s="3"/>
      <c r="AO26" s="3"/>
    </row>
    <row r="27" spans="1:41" ht="11.25" customHeight="1" x14ac:dyDescent="0.2">
      <c r="A27" s="157"/>
      <c r="B27" s="701"/>
      <c r="C27" s="702" t="s">
        <v>263</v>
      </c>
      <c r="D27" s="703"/>
      <c r="E27" s="704"/>
      <c r="F27" s="705">
        <v>0</v>
      </c>
      <c r="G27" s="706"/>
      <c r="H27" s="705">
        <f>F27</f>
        <v>0</v>
      </c>
      <c r="I27" s="706"/>
      <c r="J27" s="705">
        <f>H27</f>
        <v>0</v>
      </c>
      <c r="K27" s="706"/>
      <c r="L27" s="705">
        <f>J27</f>
        <v>0</v>
      </c>
      <c r="M27" s="706"/>
      <c r="N27" s="705">
        <f>L27</f>
        <v>0</v>
      </c>
      <c r="O27" s="706"/>
      <c r="P27" s="705">
        <f>N27</f>
        <v>0</v>
      </c>
      <c r="Q27" s="706"/>
      <c r="R27" s="705">
        <f>P27</f>
        <v>0</v>
      </c>
      <c r="S27" s="704"/>
      <c r="T27" s="389"/>
      <c r="U27" s="484">
        <f>$F$8</f>
        <v>2016</v>
      </c>
      <c r="V27" s="482">
        <f>$H$8</f>
        <v>2017</v>
      </c>
      <c r="W27" s="482">
        <f>$J$8</f>
        <v>2018</v>
      </c>
      <c r="X27" s="482">
        <f>$L$8</f>
        <v>2019</v>
      </c>
      <c r="Y27" s="482">
        <f>$N$8</f>
        <v>2020</v>
      </c>
      <c r="Z27" s="482">
        <f>$P$8</f>
        <v>2021</v>
      </c>
      <c r="AA27" s="482">
        <f>$R$8</f>
        <v>2022</v>
      </c>
      <c r="AB27" s="362"/>
      <c r="AC27" s="362"/>
      <c r="AD27" s="362"/>
      <c r="AE27" s="362"/>
      <c r="AF27" s="362"/>
      <c r="AG27" s="362"/>
      <c r="AH27" s="363"/>
      <c r="AI27" s="27"/>
      <c r="AJ27" s="27"/>
      <c r="AK27" s="3"/>
      <c r="AL27" s="3"/>
      <c r="AM27" s="3"/>
      <c r="AN27" s="3"/>
      <c r="AO27" s="3"/>
    </row>
    <row r="28" spans="1:41" ht="11.25" customHeight="1" thickBot="1" x14ac:dyDescent="0.25">
      <c r="A28" s="157"/>
      <c r="B28" s="692"/>
      <c r="C28" s="693" t="s">
        <v>264</v>
      </c>
      <c r="D28" s="694"/>
      <c r="E28" s="681"/>
      <c r="F28" s="699">
        <v>0</v>
      </c>
      <c r="G28" s="700"/>
      <c r="H28" s="699">
        <f>F28+F28*V28</f>
        <v>0</v>
      </c>
      <c r="I28" s="700"/>
      <c r="J28" s="699">
        <f>H28+H28*W28</f>
        <v>0</v>
      </c>
      <c r="K28" s="700"/>
      <c r="L28" s="699">
        <f>J28+J28*X28</f>
        <v>0</v>
      </c>
      <c r="M28" s="700"/>
      <c r="N28" s="699">
        <f>L28+L28*Y28</f>
        <v>0</v>
      </c>
      <c r="O28" s="700"/>
      <c r="P28" s="699">
        <f>N28+N28*Z28</f>
        <v>0</v>
      </c>
      <c r="Q28" s="700"/>
      <c r="R28" s="699">
        <f>P28+P28*AA28</f>
        <v>0</v>
      </c>
      <c r="S28" s="681"/>
      <c r="T28" s="389"/>
      <c r="U28" s="586"/>
      <c r="V28" s="483">
        <v>0.03</v>
      </c>
      <c r="W28" s="483">
        <f>V28</f>
        <v>0.03</v>
      </c>
      <c r="X28" s="483">
        <f>W28</f>
        <v>0.03</v>
      </c>
      <c r="Y28" s="483">
        <f>X28</f>
        <v>0.03</v>
      </c>
      <c r="Z28" s="483">
        <f>Y28</f>
        <v>0.03</v>
      </c>
      <c r="AA28" s="483">
        <f>Z28</f>
        <v>0.03</v>
      </c>
      <c r="AB28" s="362"/>
      <c r="AC28" s="362"/>
      <c r="AD28" s="362"/>
      <c r="AE28" s="362"/>
      <c r="AF28" s="362"/>
      <c r="AG28" s="362"/>
      <c r="AH28" s="363"/>
      <c r="AI28" s="27"/>
      <c r="AJ28" s="27"/>
      <c r="AK28" s="3"/>
      <c r="AL28" s="3"/>
      <c r="AM28" s="3"/>
      <c r="AN28" s="3"/>
      <c r="AO28" s="3"/>
    </row>
    <row r="29" spans="1:41" ht="12" customHeight="1" x14ac:dyDescent="0.2">
      <c r="B29" s="613">
        <v>6</v>
      </c>
      <c r="C29" s="614" t="s">
        <v>74</v>
      </c>
      <c r="D29" s="649">
        <v>0</v>
      </c>
      <c r="E29" s="646">
        <f ca="1">IF(D$87=0,0,100*D29/D$87)</f>
        <v>0</v>
      </c>
      <c r="F29" s="609">
        <f>F30*F31</f>
        <v>0</v>
      </c>
      <c r="G29" s="646">
        <f ca="1">IF(F$87=0,0,100*F29/F$87)</f>
        <v>0</v>
      </c>
      <c r="H29" s="609">
        <f>H30*H31</f>
        <v>0</v>
      </c>
      <c r="I29" s="646">
        <f ca="1">IF(H$87=0,0,100*H29/H$87)</f>
        <v>0</v>
      </c>
      <c r="J29" s="609">
        <f>J30*J31</f>
        <v>0</v>
      </c>
      <c r="K29" s="646">
        <f ca="1">IF(J$87=0,0,100*J29/J$87)</f>
        <v>0</v>
      </c>
      <c r="L29" s="609">
        <f>L30*L31</f>
        <v>0</v>
      </c>
      <c r="M29" s="646">
        <f ca="1">IF(L$87=0,0,100*L29/L$87)</f>
        <v>0</v>
      </c>
      <c r="N29" s="609">
        <f>N30*N31</f>
        <v>0</v>
      </c>
      <c r="O29" s="646">
        <f ca="1">IF(N$87=0,0,100*N29/N$87)</f>
        <v>0</v>
      </c>
      <c r="P29" s="609">
        <f>P30*P31</f>
        <v>0</v>
      </c>
      <c r="Q29" s="646">
        <f ca="1">IF(P$87=0,0,100*P29/P$87)</f>
        <v>0</v>
      </c>
      <c r="R29" s="609">
        <f>R30*R31</f>
        <v>0</v>
      </c>
      <c r="S29" s="646">
        <f ca="1">IF(R$87=0,0,100*R29/R$87)</f>
        <v>0</v>
      </c>
      <c r="T29" s="392"/>
      <c r="AB29" s="362"/>
      <c r="AC29" s="362"/>
      <c r="AD29" s="364"/>
      <c r="AE29" s="364"/>
      <c r="AF29" s="362"/>
      <c r="AG29" s="362"/>
      <c r="AH29" s="363"/>
      <c r="AI29" s="27"/>
      <c r="AJ29" s="27"/>
      <c r="AK29" s="3"/>
      <c r="AL29" s="3"/>
      <c r="AM29" s="3"/>
      <c r="AN29" s="3"/>
      <c r="AO29" s="3"/>
    </row>
    <row r="30" spans="1:41" ht="11.25" customHeight="1" x14ac:dyDescent="0.2">
      <c r="A30" s="157"/>
      <c r="B30" s="701"/>
      <c r="C30" s="702" t="s">
        <v>294</v>
      </c>
      <c r="D30" s="703"/>
      <c r="E30" s="704"/>
      <c r="F30" s="705">
        <v>0</v>
      </c>
      <c r="G30" s="706"/>
      <c r="H30" s="705">
        <f>F30</f>
        <v>0</v>
      </c>
      <c r="I30" s="706"/>
      <c r="J30" s="705">
        <f>H30</f>
        <v>0</v>
      </c>
      <c r="K30" s="706"/>
      <c r="L30" s="705">
        <f>J30</f>
        <v>0</v>
      </c>
      <c r="M30" s="706"/>
      <c r="N30" s="705">
        <f>L30</f>
        <v>0</v>
      </c>
      <c r="O30" s="706"/>
      <c r="P30" s="705">
        <f>N30</f>
        <v>0</v>
      </c>
      <c r="Q30" s="706"/>
      <c r="R30" s="705">
        <f>P30</f>
        <v>0</v>
      </c>
      <c r="S30" s="704"/>
      <c r="T30" s="389"/>
      <c r="U30" s="484">
        <f>$F$8</f>
        <v>2016</v>
      </c>
      <c r="V30" s="482">
        <f>$H$8</f>
        <v>2017</v>
      </c>
      <c r="W30" s="482">
        <f>$J$8</f>
        <v>2018</v>
      </c>
      <c r="X30" s="482">
        <f>$L$8</f>
        <v>2019</v>
      </c>
      <c r="Y30" s="482">
        <f>$N$8</f>
        <v>2020</v>
      </c>
      <c r="Z30" s="482">
        <f>$P$8</f>
        <v>2021</v>
      </c>
      <c r="AA30" s="482">
        <f>$R$8</f>
        <v>2022</v>
      </c>
      <c r="AB30" s="362"/>
      <c r="AC30" s="362"/>
      <c r="AD30" s="362"/>
      <c r="AE30" s="362"/>
      <c r="AF30" s="362"/>
      <c r="AG30" s="362"/>
      <c r="AH30" s="363"/>
      <c r="AI30" s="27"/>
      <c r="AJ30" s="27"/>
      <c r="AK30" s="3"/>
      <c r="AL30" s="3"/>
      <c r="AM30" s="3"/>
      <c r="AN30" s="3"/>
      <c r="AO30" s="3"/>
    </row>
    <row r="31" spans="1:41" ht="11.25" customHeight="1" thickBot="1" x14ac:dyDescent="0.25">
      <c r="A31" s="157"/>
      <c r="B31" s="692"/>
      <c r="C31" s="693" t="s">
        <v>295</v>
      </c>
      <c r="D31" s="694"/>
      <c r="E31" s="681"/>
      <c r="F31" s="699">
        <v>0</v>
      </c>
      <c r="G31" s="700"/>
      <c r="H31" s="699">
        <f>F31+F31*V31</f>
        <v>0</v>
      </c>
      <c r="I31" s="700"/>
      <c r="J31" s="699">
        <f>H31+H31*W31</f>
        <v>0</v>
      </c>
      <c r="K31" s="700"/>
      <c r="L31" s="699">
        <f>J31+J31*X31</f>
        <v>0</v>
      </c>
      <c r="M31" s="700"/>
      <c r="N31" s="699">
        <f>L31+L31*Y31</f>
        <v>0</v>
      </c>
      <c r="O31" s="700"/>
      <c r="P31" s="699">
        <f>N31+N31*Z31</f>
        <v>0</v>
      </c>
      <c r="Q31" s="700"/>
      <c r="R31" s="699">
        <f>P31+P31*AA31</f>
        <v>0</v>
      </c>
      <c r="S31" s="681"/>
      <c r="T31" s="389"/>
      <c r="U31" s="621"/>
      <c r="V31" s="483">
        <v>0.03</v>
      </c>
      <c r="W31" s="483">
        <f>V31</f>
        <v>0.03</v>
      </c>
      <c r="X31" s="483">
        <f>W31</f>
        <v>0.03</v>
      </c>
      <c r="Y31" s="483">
        <f>X31</f>
        <v>0.03</v>
      </c>
      <c r="Z31" s="483">
        <f>Y31</f>
        <v>0.03</v>
      </c>
      <c r="AA31" s="483">
        <f>Z31</f>
        <v>0.03</v>
      </c>
      <c r="AB31" s="362"/>
      <c r="AC31" s="362"/>
      <c r="AD31" s="362"/>
      <c r="AE31" s="362"/>
      <c r="AF31" s="362"/>
      <c r="AG31" s="362"/>
      <c r="AH31" s="363"/>
      <c r="AI31" s="27"/>
      <c r="AJ31" s="27"/>
      <c r="AK31" s="3"/>
      <c r="AL31" s="3"/>
      <c r="AM31" s="3"/>
      <c r="AN31" s="3"/>
      <c r="AO31" s="3"/>
    </row>
    <row r="32" spans="1:41" ht="12" customHeight="1" x14ac:dyDescent="0.2">
      <c r="A32" s="182"/>
      <c r="B32" s="526">
        <v>7</v>
      </c>
      <c r="C32" s="617" t="s">
        <v>75</v>
      </c>
      <c r="D32" s="645">
        <v>0</v>
      </c>
      <c r="E32" s="646">
        <f ca="1">IF(D$87=0,0,100*D32/D$87)</f>
        <v>0</v>
      </c>
      <c r="F32" s="609">
        <f>F33*F34</f>
        <v>0</v>
      </c>
      <c r="G32" s="646">
        <f ca="1">IF(F$87=0,0,100*F32/F$87)</f>
        <v>0</v>
      </c>
      <c r="H32" s="609">
        <f>H33*H34</f>
        <v>0</v>
      </c>
      <c r="I32" s="646">
        <f ca="1">IF(H$87=0,0,100*H32/H$87)</f>
        <v>0</v>
      </c>
      <c r="J32" s="609">
        <f>J33*J34</f>
        <v>0</v>
      </c>
      <c r="K32" s="646">
        <f ca="1">IF(J$87=0,0,100*J32/J$87)</f>
        <v>0</v>
      </c>
      <c r="L32" s="609">
        <f>L33*L34</f>
        <v>0</v>
      </c>
      <c r="M32" s="646">
        <f ca="1">IF(L$87=0,0,100*L32/L$87)</f>
        <v>0</v>
      </c>
      <c r="N32" s="609">
        <f>N33*N34</f>
        <v>0</v>
      </c>
      <c r="O32" s="646">
        <f ca="1">IF(N$87=0,0,100*N32/N$87)</f>
        <v>0</v>
      </c>
      <c r="P32" s="609">
        <f>P33*P34</f>
        <v>0</v>
      </c>
      <c r="Q32" s="646">
        <f ca="1">IF(P$87=0,0,100*P32/P$87)</f>
        <v>0</v>
      </c>
      <c r="R32" s="609">
        <f>R33*R34</f>
        <v>0</v>
      </c>
      <c r="S32" s="646">
        <f ca="1">IF(R$87=0,0,100*R32/R$87)</f>
        <v>0</v>
      </c>
      <c r="T32" s="392"/>
      <c r="U32" s="559"/>
      <c r="V32" s="548"/>
      <c r="W32" s="548"/>
      <c r="X32" s="548"/>
      <c r="Y32" s="548"/>
      <c r="Z32" s="548"/>
      <c r="AA32" s="548"/>
      <c r="AB32" s="362"/>
      <c r="AC32" s="362"/>
      <c r="AD32" s="364"/>
      <c r="AE32" s="364"/>
      <c r="AF32" s="362"/>
      <c r="AG32" s="362"/>
      <c r="AH32" s="363"/>
      <c r="AI32" s="27"/>
      <c r="AJ32" s="27"/>
      <c r="AK32" s="3"/>
      <c r="AL32" s="3"/>
      <c r="AM32" s="3"/>
      <c r="AN32" s="3"/>
      <c r="AO32" s="3"/>
    </row>
    <row r="33" spans="1:41" ht="11.25" customHeight="1" x14ac:dyDescent="0.2">
      <c r="A33" s="157"/>
      <c r="B33" s="692"/>
      <c r="C33" s="693" t="s">
        <v>297</v>
      </c>
      <c r="D33" s="694"/>
      <c r="E33" s="681"/>
      <c r="F33" s="696">
        <v>0</v>
      </c>
      <c r="G33" s="683"/>
      <c r="H33" s="696">
        <f>F33</f>
        <v>0</v>
      </c>
      <c r="I33" s="683"/>
      <c r="J33" s="696">
        <f>H33</f>
        <v>0</v>
      </c>
      <c r="K33" s="683"/>
      <c r="L33" s="696">
        <f>J33</f>
        <v>0</v>
      </c>
      <c r="M33" s="683"/>
      <c r="N33" s="696">
        <f>L33</f>
        <v>0</v>
      </c>
      <c r="O33" s="683"/>
      <c r="P33" s="696">
        <f>N33</f>
        <v>0</v>
      </c>
      <c r="Q33" s="683"/>
      <c r="R33" s="696">
        <f>P33</f>
        <v>0</v>
      </c>
      <c r="S33" s="681"/>
      <c r="T33" s="389"/>
      <c r="U33" s="482">
        <f>$F$8</f>
        <v>2016</v>
      </c>
      <c r="V33" s="482">
        <f>$H$8</f>
        <v>2017</v>
      </c>
      <c r="W33" s="482">
        <f>$J$8</f>
        <v>2018</v>
      </c>
      <c r="X33" s="482">
        <f>$L$8</f>
        <v>2019</v>
      </c>
      <c r="Y33" s="482">
        <f>$N$8</f>
        <v>2020</v>
      </c>
      <c r="Z33" s="482">
        <f>$P$8</f>
        <v>2021</v>
      </c>
      <c r="AA33" s="482">
        <f>$R$8</f>
        <v>2022</v>
      </c>
      <c r="AB33" s="362"/>
      <c r="AC33" s="362"/>
      <c r="AD33" s="362"/>
      <c r="AE33" s="362"/>
      <c r="AF33" s="362"/>
      <c r="AG33" s="362"/>
      <c r="AH33" s="363"/>
      <c r="AI33" s="27"/>
      <c r="AJ33" s="27"/>
      <c r="AK33" s="3"/>
      <c r="AL33" s="3"/>
      <c r="AM33" s="3"/>
      <c r="AN33" s="3"/>
      <c r="AO33" s="3"/>
    </row>
    <row r="34" spans="1:41" ht="11.25" customHeight="1" thickBot="1" x14ac:dyDescent="0.25">
      <c r="A34" s="157"/>
      <c r="B34" s="707"/>
      <c r="C34" s="708" t="s">
        <v>296</v>
      </c>
      <c r="D34" s="709"/>
      <c r="E34" s="710"/>
      <c r="F34" s="711">
        <v>0</v>
      </c>
      <c r="G34" s="712"/>
      <c r="H34" s="711">
        <f>F34+F34*V34</f>
        <v>0</v>
      </c>
      <c r="I34" s="712"/>
      <c r="J34" s="711">
        <f>H34+H34*W34</f>
        <v>0</v>
      </c>
      <c r="K34" s="712"/>
      <c r="L34" s="711">
        <f>J34+J34*X34</f>
        <v>0</v>
      </c>
      <c r="M34" s="712"/>
      <c r="N34" s="711">
        <f>L34+L34*Y34</f>
        <v>0</v>
      </c>
      <c r="O34" s="712"/>
      <c r="P34" s="711">
        <f>N34+N34*Z34</f>
        <v>0</v>
      </c>
      <c r="Q34" s="712"/>
      <c r="R34" s="711">
        <f>P34+P34*AA34</f>
        <v>0</v>
      </c>
      <c r="S34" s="710"/>
      <c r="T34" s="389"/>
      <c r="U34" s="586"/>
      <c r="V34" s="483">
        <v>0.03</v>
      </c>
      <c r="W34" s="483">
        <f>V34</f>
        <v>0.03</v>
      </c>
      <c r="X34" s="483">
        <f>W34</f>
        <v>0.03</v>
      </c>
      <c r="Y34" s="483">
        <f>X34</f>
        <v>0.03</v>
      </c>
      <c r="Z34" s="483">
        <f>Y34</f>
        <v>0.03</v>
      </c>
      <c r="AA34" s="483">
        <f>Z34</f>
        <v>0.03</v>
      </c>
      <c r="AB34" s="362"/>
      <c r="AC34" s="362"/>
      <c r="AD34" s="362"/>
      <c r="AE34" s="362"/>
      <c r="AF34" s="362"/>
      <c r="AG34" s="362"/>
      <c r="AH34" s="363"/>
      <c r="AI34" s="27"/>
      <c r="AJ34" s="27"/>
      <c r="AK34" s="3"/>
      <c r="AL34" s="3"/>
      <c r="AM34" s="3"/>
      <c r="AN34" s="3"/>
      <c r="AO34" s="3"/>
    </row>
    <row r="35" spans="1:41" ht="12" customHeight="1" x14ac:dyDescent="0.2">
      <c r="A35" s="182"/>
      <c r="B35" s="615">
        <v>8</v>
      </c>
      <c r="C35" s="616" t="s">
        <v>275</v>
      </c>
      <c r="D35" s="653"/>
      <c r="E35" s="654">
        <f ca="1">IF(D$87=0,0,100*D35/D$87)</f>
        <v>0</v>
      </c>
      <c r="F35" s="655">
        <f>F36*F37*F38*F39+F36*F37*F38*F39*F40</f>
        <v>0</v>
      </c>
      <c r="G35" s="656">
        <f ca="1">IF(F$87=0,0,100*F35/F$87)</f>
        <v>0</v>
      </c>
      <c r="H35" s="655">
        <f>H36*H37*H38*H39+H36*H37*H38*H39*H40</f>
        <v>0</v>
      </c>
      <c r="I35" s="656">
        <f ca="1">IF(H$87=0,0,100*H35/H$87)</f>
        <v>0</v>
      </c>
      <c r="J35" s="655">
        <f>J36*J37*J38*J39+J36*J37*J38*J39*J40</f>
        <v>0</v>
      </c>
      <c r="K35" s="656">
        <f ca="1">IF(J$87=0,0,100*J35/J$87)</f>
        <v>0</v>
      </c>
      <c r="L35" s="655">
        <f>L36*L37*L38*L39+L36*L37*L38*L39*L40</f>
        <v>0</v>
      </c>
      <c r="M35" s="656">
        <f ca="1">IF(L$87=0,0,100*L35/L$87)</f>
        <v>0</v>
      </c>
      <c r="N35" s="655">
        <f>N36*N37*N38*N39+N36*N37*N38*N39*N40</f>
        <v>0</v>
      </c>
      <c r="O35" s="656">
        <f ca="1">IF(N$87=0,0,100*N35/N$87)</f>
        <v>0</v>
      </c>
      <c r="P35" s="655">
        <f>P36*P37*P38*P39+P36*P37*P38*P39*P40</f>
        <v>0</v>
      </c>
      <c r="Q35" s="656">
        <f ca="1">IF(P$87=0,0,100*P35/P$87)</f>
        <v>0</v>
      </c>
      <c r="R35" s="655">
        <f>R36*R37*R38*R39+R36*R37*R38*R39*R40</f>
        <v>0</v>
      </c>
      <c r="S35" s="654">
        <f ca="1">IF(R$87=0,0,100*R35/R$87)</f>
        <v>0</v>
      </c>
      <c r="T35" s="392"/>
      <c r="U35" s="484">
        <f>$F$8</f>
        <v>2016</v>
      </c>
      <c r="V35" s="482">
        <f>$H$8</f>
        <v>2017</v>
      </c>
      <c r="W35" s="482">
        <f>$J$8</f>
        <v>2018</v>
      </c>
      <c r="X35" s="482">
        <f>$L$8</f>
        <v>2019</v>
      </c>
      <c r="Y35" s="482">
        <f>$N$8</f>
        <v>2020</v>
      </c>
      <c r="Z35" s="482">
        <f>$P$8</f>
        <v>2021</v>
      </c>
      <c r="AA35" s="482">
        <f>$R$8</f>
        <v>2022</v>
      </c>
      <c r="AB35" s="362"/>
      <c r="AC35" s="362"/>
      <c r="AD35" s="364"/>
      <c r="AE35" s="364"/>
      <c r="AF35" s="362"/>
      <c r="AG35" s="362"/>
      <c r="AH35" s="363"/>
      <c r="AI35" s="27"/>
      <c r="AJ35" s="27"/>
      <c r="AK35" s="3"/>
      <c r="AL35" s="3"/>
      <c r="AM35" s="3"/>
      <c r="AN35" s="3"/>
      <c r="AO35" s="3"/>
    </row>
    <row r="36" spans="1:41" ht="11.25" customHeight="1" x14ac:dyDescent="0.2">
      <c r="A36" s="182"/>
      <c r="B36" s="713"/>
      <c r="C36" s="679" t="s">
        <v>274</v>
      </c>
      <c r="D36" s="714"/>
      <c r="E36" s="681"/>
      <c r="F36" s="715">
        <v>0</v>
      </c>
      <c r="G36" s="716"/>
      <c r="H36" s="715">
        <f>F36+F36*V36</f>
        <v>0</v>
      </c>
      <c r="I36" s="716"/>
      <c r="J36" s="715">
        <f>H36+H36*W36</f>
        <v>0</v>
      </c>
      <c r="K36" s="716"/>
      <c r="L36" s="715">
        <f>J36+J36*X36</f>
        <v>0</v>
      </c>
      <c r="M36" s="716"/>
      <c r="N36" s="715">
        <f>L36+L36*Y36</f>
        <v>0</v>
      </c>
      <c r="O36" s="716"/>
      <c r="P36" s="715">
        <f>N36+N36*Z36</f>
        <v>0</v>
      </c>
      <c r="Q36" s="716"/>
      <c r="R36" s="715">
        <f>P36+P36*AA36</f>
        <v>0</v>
      </c>
      <c r="S36" s="717"/>
      <c r="T36" s="392"/>
      <c r="U36" s="586"/>
      <c r="V36" s="483">
        <v>0.03</v>
      </c>
      <c r="W36" s="483">
        <f>V36</f>
        <v>0.03</v>
      </c>
      <c r="X36" s="483">
        <f>W36</f>
        <v>0.03</v>
      </c>
      <c r="Y36" s="483">
        <f>X36</f>
        <v>0.03</v>
      </c>
      <c r="Z36" s="483">
        <f>Y36</f>
        <v>0.03</v>
      </c>
      <c r="AA36" s="483">
        <f>Z36</f>
        <v>0.03</v>
      </c>
      <c r="AB36" s="362"/>
      <c r="AC36" s="362"/>
      <c r="AD36" s="364"/>
      <c r="AE36" s="364"/>
      <c r="AF36" s="362"/>
      <c r="AG36" s="362"/>
      <c r="AH36" s="363"/>
      <c r="AI36" s="27"/>
      <c r="AJ36" s="27"/>
      <c r="AK36" s="3"/>
      <c r="AL36" s="3"/>
      <c r="AM36" s="3"/>
      <c r="AN36" s="3"/>
      <c r="AO36" s="3"/>
    </row>
    <row r="37" spans="1:41" ht="11.25" customHeight="1" x14ac:dyDescent="0.2">
      <c r="A37" s="182"/>
      <c r="B37" s="713"/>
      <c r="C37" s="679" t="s">
        <v>269</v>
      </c>
      <c r="D37" s="714"/>
      <c r="E37" s="718"/>
      <c r="F37" s="719">
        <v>0</v>
      </c>
      <c r="G37" s="720"/>
      <c r="H37" s="719">
        <f>F37</f>
        <v>0</v>
      </c>
      <c r="I37" s="706"/>
      <c r="J37" s="719">
        <f>H37</f>
        <v>0</v>
      </c>
      <c r="K37" s="706"/>
      <c r="L37" s="719">
        <f>J37</f>
        <v>0</v>
      </c>
      <c r="M37" s="706"/>
      <c r="N37" s="719">
        <f>L37</f>
        <v>0</v>
      </c>
      <c r="O37" s="706"/>
      <c r="P37" s="719">
        <f>N37</f>
        <v>0</v>
      </c>
      <c r="Q37" s="720"/>
      <c r="R37" s="719">
        <f>P37</f>
        <v>0</v>
      </c>
      <c r="S37" s="721"/>
      <c r="T37" s="392"/>
      <c r="U37" s="546"/>
      <c r="V37" s="547"/>
      <c r="W37" s="547"/>
      <c r="X37" s="547"/>
      <c r="Y37" s="547"/>
      <c r="Z37" s="547"/>
      <c r="AA37" s="547"/>
      <c r="AB37" s="362"/>
      <c r="AC37" s="362"/>
      <c r="AD37" s="364"/>
      <c r="AE37" s="364"/>
      <c r="AF37" s="362"/>
      <c r="AG37" s="362"/>
      <c r="AH37" s="363"/>
      <c r="AI37" s="27"/>
      <c r="AJ37" s="27"/>
      <c r="AK37" s="3"/>
      <c r="AL37" s="3"/>
      <c r="AM37" s="3"/>
      <c r="AN37" s="3"/>
      <c r="AO37" s="3"/>
    </row>
    <row r="38" spans="1:41" ht="11.25" customHeight="1" x14ac:dyDescent="0.2">
      <c r="A38" s="182"/>
      <c r="B38" s="713"/>
      <c r="C38" s="679" t="s">
        <v>270</v>
      </c>
      <c r="D38" s="714"/>
      <c r="E38" s="718"/>
      <c r="F38" s="682">
        <v>0</v>
      </c>
      <c r="G38" s="722"/>
      <c r="H38" s="719">
        <f>F38</f>
        <v>0</v>
      </c>
      <c r="I38" s="722"/>
      <c r="J38" s="719">
        <f>H38</f>
        <v>0</v>
      </c>
      <c r="K38" s="722"/>
      <c r="L38" s="719">
        <f>J38</f>
        <v>0</v>
      </c>
      <c r="M38" s="722"/>
      <c r="N38" s="719">
        <f>L38</f>
        <v>0</v>
      </c>
      <c r="O38" s="722"/>
      <c r="P38" s="719">
        <f>N38</f>
        <v>0</v>
      </c>
      <c r="Q38" s="722"/>
      <c r="R38" s="719">
        <f>P38</f>
        <v>0</v>
      </c>
      <c r="S38" s="723"/>
      <c r="T38" s="392"/>
      <c r="U38" s="546"/>
      <c r="V38" s="547"/>
      <c r="W38" s="547"/>
      <c r="X38" s="547"/>
      <c r="Y38" s="547"/>
      <c r="Z38" s="547"/>
      <c r="AA38" s="547"/>
      <c r="AB38" s="362"/>
      <c r="AC38" s="362"/>
      <c r="AD38" s="364"/>
      <c r="AE38" s="364"/>
      <c r="AF38" s="362"/>
      <c r="AG38" s="362"/>
      <c r="AH38" s="363"/>
      <c r="AI38" s="27"/>
      <c r="AJ38" s="27"/>
      <c r="AK38" s="3"/>
      <c r="AL38" s="3"/>
      <c r="AM38" s="3"/>
      <c r="AN38" s="3"/>
      <c r="AO38" s="3"/>
    </row>
    <row r="39" spans="1:41" ht="11.25" customHeight="1" x14ac:dyDescent="0.2">
      <c r="A39" s="182"/>
      <c r="B39" s="713"/>
      <c r="C39" s="679" t="s">
        <v>271</v>
      </c>
      <c r="D39" s="714"/>
      <c r="E39" s="681"/>
      <c r="F39" s="724">
        <v>10.5</v>
      </c>
      <c r="G39" s="725"/>
      <c r="H39" s="726">
        <f>F39</f>
        <v>10.5</v>
      </c>
      <c r="I39" s="727"/>
      <c r="J39" s="726">
        <f>H39</f>
        <v>10.5</v>
      </c>
      <c r="K39" s="727"/>
      <c r="L39" s="726">
        <f>J39</f>
        <v>10.5</v>
      </c>
      <c r="M39" s="727"/>
      <c r="N39" s="726">
        <f>L39</f>
        <v>10.5</v>
      </c>
      <c r="O39" s="727"/>
      <c r="P39" s="726">
        <f>N39</f>
        <v>10.5</v>
      </c>
      <c r="Q39" s="725"/>
      <c r="R39" s="726">
        <f>P39</f>
        <v>10.5</v>
      </c>
      <c r="S39" s="728"/>
      <c r="T39" s="392"/>
      <c r="U39" s="884" t="s">
        <v>304</v>
      </c>
      <c r="V39" s="885"/>
      <c r="W39" s="885"/>
      <c r="X39" s="885"/>
      <c r="Y39" s="885"/>
      <c r="Z39" s="885"/>
      <c r="AA39" s="885"/>
      <c r="AB39" s="362"/>
      <c r="AC39" s="362"/>
      <c r="AD39" s="364"/>
      <c r="AE39" s="364"/>
      <c r="AF39" s="362"/>
      <c r="AG39" s="362"/>
      <c r="AH39" s="363"/>
      <c r="AI39" s="27"/>
      <c r="AJ39" s="27"/>
      <c r="AK39" s="3"/>
      <c r="AL39" s="3"/>
      <c r="AM39" s="3"/>
      <c r="AN39" s="3"/>
      <c r="AO39" s="3"/>
    </row>
    <row r="40" spans="1:41" ht="11.25" customHeight="1" x14ac:dyDescent="0.2">
      <c r="A40" s="182"/>
      <c r="B40" s="713"/>
      <c r="C40" s="679" t="s">
        <v>272</v>
      </c>
      <c r="D40" s="714"/>
      <c r="E40" s="681"/>
      <c r="F40" s="729">
        <v>0.20150000000000001</v>
      </c>
      <c r="G40" s="718"/>
      <c r="H40" s="730">
        <f>F40</f>
        <v>0.20150000000000001</v>
      </c>
      <c r="I40" s="731"/>
      <c r="J40" s="730">
        <f>H40</f>
        <v>0.20150000000000001</v>
      </c>
      <c r="K40" s="731"/>
      <c r="L40" s="730">
        <f>J40</f>
        <v>0.20150000000000001</v>
      </c>
      <c r="M40" s="731"/>
      <c r="N40" s="730">
        <f>L40</f>
        <v>0.20150000000000001</v>
      </c>
      <c r="O40" s="731"/>
      <c r="P40" s="730">
        <f>N40</f>
        <v>0.20150000000000001</v>
      </c>
      <c r="Q40" s="732"/>
      <c r="R40" s="730">
        <f>P40</f>
        <v>0.20150000000000001</v>
      </c>
      <c r="S40" s="732"/>
      <c r="T40" s="392"/>
      <c r="U40" s="484">
        <f>$F$8</f>
        <v>2016</v>
      </c>
      <c r="V40" s="482">
        <f>$H$8</f>
        <v>2017</v>
      </c>
      <c r="W40" s="482">
        <f>$J$8</f>
        <v>2018</v>
      </c>
      <c r="X40" s="482">
        <f>$L$8</f>
        <v>2019</v>
      </c>
      <c r="Y40" s="482">
        <f>$N$8</f>
        <v>2020</v>
      </c>
      <c r="Z40" s="482">
        <f>$P$8</f>
        <v>2021</v>
      </c>
      <c r="AA40" s="482">
        <f>$R$8</f>
        <v>2022</v>
      </c>
      <c r="AB40" s="362"/>
      <c r="AC40" s="362"/>
      <c r="AD40" s="364"/>
      <c r="AE40" s="364"/>
      <c r="AF40" s="362"/>
      <c r="AG40" s="362"/>
      <c r="AH40" s="363"/>
      <c r="AI40" s="27"/>
      <c r="AJ40" s="27"/>
      <c r="AK40" s="3"/>
      <c r="AL40" s="3"/>
      <c r="AM40" s="3"/>
      <c r="AN40" s="3"/>
      <c r="AO40" s="3"/>
    </row>
    <row r="41" spans="1:41" ht="11.25" customHeight="1" thickBot="1" x14ac:dyDescent="0.25">
      <c r="A41" s="182"/>
      <c r="B41" s="733"/>
      <c r="C41" s="734" t="s">
        <v>273</v>
      </c>
      <c r="D41" s="735"/>
      <c r="E41" s="731"/>
      <c r="F41" s="736">
        <v>0</v>
      </c>
      <c r="G41" s="737"/>
      <c r="H41" s="699">
        <f>F41+F41*V41</f>
        <v>0</v>
      </c>
      <c r="I41" s="700"/>
      <c r="J41" s="699">
        <f>H41+H41*W41</f>
        <v>0</v>
      </c>
      <c r="K41" s="700"/>
      <c r="L41" s="699">
        <f>J41+J41*X41</f>
        <v>0</v>
      </c>
      <c r="M41" s="738"/>
      <c r="N41" s="711">
        <f>L41+L41*Y41</f>
        <v>0</v>
      </c>
      <c r="O41" s="712"/>
      <c r="P41" s="711">
        <f>N41+N41*Z41</f>
        <v>0</v>
      </c>
      <c r="Q41" s="712"/>
      <c r="R41" s="711">
        <f>P41+P41*AA41</f>
        <v>0</v>
      </c>
      <c r="S41" s="710"/>
      <c r="T41" s="392"/>
      <c r="U41" s="586"/>
      <c r="V41" s="483">
        <v>0.03</v>
      </c>
      <c r="W41" s="483">
        <f>V41</f>
        <v>0.03</v>
      </c>
      <c r="X41" s="483">
        <f>W41</f>
        <v>0.03</v>
      </c>
      <c r="Y41" s="483">
        <f>X41</f>
        <v>0.03</v>
      </c>
      <c r="Z41" s="483">
        <f>Y41</f>
        <v>0.03</v>
      </c>
      <c r="AA41" s="483">
        <f>Z41</f>
        <v>0.03</v>
      </c>
      <c r="AB41" s="362"/>
      <c r="AC41" s="362"/>
      <c r="AD41" s="364"/>
      <c r="AE41" s="364"/>
      <c r="AF41" s="362"/>
      <c r="AG41" s="362"/>
      <c r="AH41" s="363"/>
      <c r="AI41" s="27"/>
      <c r="AJ41" s="27"/>
      <c r="AK41" s="3"/>
      <c r="AL41" s="3"/>
      <c r="AM41" s="3"/>
      <c r="AN41" s="3"/>
      <c r="AO41" s="3"/>
    </row>
    <row r="42" spans="1:41" ht="12" customHeight="1" x14ac:dyDescent="0.2">
      <c r="A42" s="182"/>
      <c r="B42" s="520">
        <v>9</v>
      </c>
      <c r="C42" s="521" t="s">
        <v>276</v>
      </c>
      <c r="D42" s="609">
        <f>D43+D45+D47</f>
        <v>0</v>
      </c>
      <c r="E42" s="639">
        <f ca="1">IF(D$87=0,0,100*D42/D$87)</f>
        <v>0</v>
      </c>
      <c r="F42" s="608">
        <f>F43+F45+F47</f>
        <v>0</v>
      </c>
      <c r="G42" s="639">
        <f ca="1">IF(F$87=0,0,100*F42/F$87)</f>
        <v>0</v>
      </c>
      <c r="H42" s="608">
        <f>H43+H45+H47</f>
        <v>0</v>
      </c>
      <c r="I42" s="639">
        <f ca="1">IF(H$87=0,0,100*H42/H$87)</f>
        <v>0</v>
      </c>
      <c r="J42" s="608">
        <f>J43+J45+J47</f>
        <v>0</v>
      </c>
      <c r="K42" s="639">
        <f ca="1">IF(J$87=0,0,100*J42/J$87)</f>
        <v>0</v>
      </c>
      <c r="L42" s="608">
        <f>L43+L45+L47</f>
        <v>0</v>
      </c>
      <c r="M42" s="639">
        <f ca="1">IF(L$87=0,0,100*L42/L$87)</f>
        <v>0</v>
      </c>
      <c r="N42" s="608">
        <f>N43+N45+N47</f>
        <v>0</v>
      </c>
      <c r="O42" s="646">
        <f ca="1">IF(N$87=0,0,100*N42/N$87)</f>
        <v>0</v>
      </c>
      <c r="P42" s="609">
        <f>P43+P45+P47</f>
        <v>0</v>
      </c>
      <c r="Q42" s="646">
        <f ca="1">IF(P$87=0,0,100*P42/P$87)</f>
        <v>0</v>
      </c>
      <c r="R42" s="609">
        <f>R43+R45+R47</f>
        <v>0</v>
      </c>
      <c r="S42" s="646">
        <f ca="1">IF(R$87=0,0,100*R42/R$87)</f>
        <v>0</v>
      </c>
      <c r="T42" s="392"/>
      <c r="U42" s="559"/>
      <c r="V42" s="548"/>
      <c r="W42" s="548"/>
      <c r="X42" s="548"/>
      <c r="Y42" s="548"/>
      <c r="Z42" s="548"/>
      <c r="AA42" s="548"/>
      <c r="AB42" s="362"/>
      <c r="AC42" s="362"/>
      <c r="AD42" s="364"/>
      <c r="AE42" s="364"/>
      <c r="AF42" s="362"/>
      <c r="AG42" s="362"/>
      <c r="AH42" s="363"/>
      <c r="AI42" s="27"/>
      <c r="AJ42" s="27"/>
      <c r="AK42" s="3"/>
      <c r="AL42" s="3"/>
      <c r="AM42" s="3"/>
      <c r="AN42" s="3"/>
      <c r="AO42" s="3"/>
    </row>
    <row r="43" spans="1:41" ht="11.25" customHeight="1" x14ac:dyDescent="0.2">
      <c r="A43" s="182"/>
      <c r="B43" s="589"/>
      <c r="C43" s="679" t="s">
        <v>282</v>
      </c>
      <c r="D43" s="739">
        <v>0</v>
      </c>
      <c r="E43" s="681"/>
      <c r="F43" s="740">
        <f>(F44)*(F35+F41)</f>
        <v>0</v>
      </c>
      <c r="G43" s="698"/>
      <c r="H43" s="740">
        <f>(H44)*(H35+H41)</f>
        <v>0</v>
      </c>
      <c r="I43" s="741"/>
      <c r="J43" s="740">
        <f>(J44)*(J35+J41)</f>
        <v>0</v>
      </c>
      <c r="K43" s="698"/>
      <c r="L43" s="740">
        <f>(L44)*(L35+L41)</f>
        <v>0</v>
      </c>
      <c r="M43" s="698"/>
      <c r="N43" s="740">
        <f>(N44)*(N35+N41)</f>
        <v>0</v>
      </c>
      <c r="O43" s="742"/>
      <c r="P43" s="740">
        <f>(P44)*(P35+P41)</f>
        <v>0</v>
      </c>
      <c r="Q43" s="742"/>
      <c r="R43" s="740">
        <f>(R44)*(R35+R41)</f>
        <v>0</v>
      </c>
      <c r="S43" s="742"/>
      <c r="T43" s="392"/>
      <c r="U43" s="559"/>
      <c r="V43" s="548"/>
      <c r="W43" s="548"/>
      <c r="X43" s="548"/>
      <c r="Y43" s="548"/>
      <c r="Z43" s="548"/>
      <c r="AA43" s="548"/>
      <c r="AB43" s="362"/>
      <c r="AC43" s="362"/>
      <c r="AD43" s="364"/>
      <c r="AE43" s="364"/>
      <c r="AF43" s="362"/>
      <c r="AG43" s="362"/>
      <c r="AH43" s="363"/>
      <c r="AI43" s="27"/>
      <c r="AJ43" s="27"/>
      <c r="AK43" s="3"/>
      <c r="AL43" s="3"/>
      <c r="AM43" s="3"/>
      <c r="AN43" s="3"/>
      <c r="AO43" s="3"/>
    </row>
    <row r="44" spans="1:41" ht="11.25" customHeight="1" x14ac:dyDescent="0.2">
      <c r="A44" s="182"/>
      <c r="B44" s="589"/>
      <c r="C44" s="679" t="s">
        <v>277</v>
      </c>
      <c r="D44" s="714"/>
      <c r="E44" s="718"/>
      <c r="F44" s="743">
        <v>0.18</v>
      </c>
      <c r="G44" s="718"/>
      <c r="H44" s="743">
        <v>0.18</v>
      </c>
      <c r="I44" s="744"/>
      <c r="J44" s="743">
        <v>0.18</v>
      </c>
      <c r="K44" s="718"/>
      <c r="L44" s="743">
        <v>0.18</v>
      </c>
      <c r="M44" s="718"/>
      <c r="N44" s="743">
        <v>0.18</v>
      </c>
      <c r="O44" s="723"/>
      <c r="P44" s="743">
        <v>0.18</v>
      </c>
      <c r="Q44" s="723"/>
      <c r="R44" s="743">
        <v>0.18</v>
      </c>
      <c r="S44" s="723"/>
      <c r="T44" s="392"/>
      <c r="U44" s="559"/>
      <c r="V44" s="548"/>
      <c r="W44" s="548"/>
      <c r="X44" s="548"/>
      <c r="Y44" s="548"/>
      <c r="Z44" s="548"/>
      <c r="AA44" s="548"/>
      <c r="AB44" s="362"/>
      <c r="AC44" s="362"/>
      <c r="AD44" s="364"/>
      <c r="AE44" s="364"/>
      <c r="AF44" s="362"/>
      <c r="AG44" s="362"/>
      <c r="AH44" s="363"/>
      <c r="AI44" s="27"/>
      <c r="AJ44" s="27"/>
      <c r="AK44" s="3"/>
      <c r="AL44" s="3"/>
      <c r="AM44" s="3"/>
      <c r="AN44" s="3"/>
      <c r="AO44" s="3"/>
    </row>
    <row r="45" spans="1:41" ht="11.25" customHeight="1" x14ac:dyDescent="0.2">
      <c r="A45" s="182"/>
      <c r="B45" s="713"/>
      <c r="C45" s="679" t="s">
        <v>283</v>
      </c>
      <c r="D45" s="739">
        <v>0</v>
      </c>
      <c r="E45" s="681"/>
      <c r="F45" s="745">
        <f>(F35+F41)*(F46)</f>
        <v>0</v>
      </c>
      <c r="G45" s="681"/>
      <c r="H45" s="745">
        <f>(H35+H41)*(H46)</f>
        <v>0</v>
      </c>
      <c r="I45" s="746"/>
      <c r="J45" s="745">
        <f>(J35+J41)*(J46)</f>
        <v>0</v>
      </c>
      <c r="K45" s="681"/>
      <c r="L45" s="745">
        <f>(L35+L41)*(L46)</f>
        <v>0</v>
      </c>
      <c r="M45" s="723"/>
      <c r="N45" s="745">
        <f>(N35+N41)*(N46)</f>
        <v>0</v>
      </c>
      <c r="O45" s="723"/>
      <c r="P45" s="745">
        <f>(P35+P41)*(P46)</f>
        <v>0</v>
      </c>
      <c r="Q45" s="723"/>
      <c r="R45" s="745">
        <f>(R35+R41)*(R46)</f>
        <v>0</v>
      </c>
      <c r="S45" s="723"/>
      <c r="T45" s="392"/>
      <c r="U45" s="678" t="s">
        <v>304</v>
      </c>
      <c r="V45" s="677"/>
      <c r="W45" s="677"/>
      <c r="X45" s="677"/>
      <c r="Y45" s="677"/>
      <c r="Z45" s="677"/>
      <c r="AA45" s="677"/>
      <c r="AB45" s="362"/>
      <c r="AC45" s="362"/>
      <c r="AD45" s="364"/>
      <c r="AE45" s="364"/>
      <c r="AF45" s="362"/>
      <c r="AG45" s="362"/>
      <c r="AH45" s="363"/>
      <c r="AI45" s="27"/>
      <c r="AJ45" s="27"/>
      <c r="AK45" s="3"/>
      <c r="AL45" s="3"/>
      <c r="AM45" s="3"/>
      <c r="AN45" s="3"/>
      <c r="AO45" s="3"/>
    </row>
    <row r="46" spans="1:41" ht="11.25" customHeight="1" x14ac:dyDescent="0.2">
      <c r="A46" s="182"/>
      <c r="B46" s="713"/>
      <c r="C46" s="679" t="s">
        <v>278</v>
      </c>
      <c r="D46" s="747"/>
      <c r="E46" s="718"/>
      <c r="F46" s="748">
        <v>4.3200000000000002E-2</v>
      </c>
      <c r="G46" s="749"/>
      <c r="H46" s="750">
        <f>F46</f>
        <v>4.3200000000000002E-2</v>
      </c>
      <c r="I46" s="751"/>
      <c r="J46" s="750">
        <f>H46</f>
        <v>4.3200000000000002E-2</v>
      </c>
      <c r="K46" s="749"/>
      <c r="L46" s="750">
        <f>J46</f>
        <v>4.3200000000000002E-2</v>
      </c>
      <c r="M46" s="752"/>
      <c r="N46" s="750">
        <f>L46</f>
        <v>4.3200000000000002E-2</v>
      </c>
      <c r="O46" s="752"/>
      <c r="P46" s="750">
        <f>N46</f>
        <v>4.3200000000000002E-2</v>
      </c>
      <c r="Q46" s="752"/>
      <c r="R46" s="750">
        <f>P46</f>
        <v>4.3200000000000002E-2</v>
      </c>
      <c r="S46" s="723"/>
      <c r="T46" s="392"/>
      <c r="U46" s="484">
        <f>$F$8</f>
        <v>2016</v>
      </c>
      <c r="V46" s="482">
        <f>$H$8</f>
        <v>2017</v>
      </c>
      <c r="W46" s="482">
        <f>$J$8</f>
        <v>2018</v>
      </c>
      <c r="X46" s="482">
        <f>$L$8</f>
        <v>2019</v>
      </c>
      <c r="Y46" s="482">
        <f>$N$8</f>
        <v>2020</v>
      </c>
      <c r="Z46" s="482">
        <f>$P$8</f>
        <v>2021</v>
      </c>
      <c r="AA46" s="482">
        <f>$R$8</f>
        <v>2022</v>
      </c>
      <c r="AB46" s="362"/>
      <c r="AC46" s="362"/>
      <c r="AD46" s="364"/>
      <c r="AE46" s="364"/>
      <c r="AF46" s="362"/>
      <c r="AG46" s="362"/>
      <c r="AH46" s="363"/>
      <c r="AI46" s="27"/>
      <c r="AJ46" s="27"/>
      <c r="AK46" s="3"/>
      <c r="AL46" s="3"/>
      <c r="AM46" s="3"/>
      <c r="AN46" s="3"/>
      <c r="AO46" s="3"/>
    </row>
    <row r="47" spans="1:41" ht="11.25" customHeight="1" x14ac:dyDescent="0.2">
      <c r="A47" s="182"/>
      <c r="B47" s="713"/>
      <c r="C47" s="679" t="s">
        <v>284</v>
      </c>
      <c r="D47" s="680">
        <v>0</v>
      </c>
      <c r="E47" s="681"/>
      <c r="F47" s="682">
        <v>0</v>
      </c>
      <c r="G47" s="683"/>
      <c r="H47" s="682">
        <f>F47+F47*V47</f>
        <v>0</v>
      </c>
      <c r="I47" s="753"/>
      <c r="J47" s="682">
        <f>H47+H47*W47</f>
        <v>0</v>
      </c>
      <c r="K47" s="753"/>
      <c r="L47" s="682">
        <f>J47+J47*X47</f>
        <v>0</v>
      </c>
      <c r="M47" s="753"/>
      <c r="N47" s="682">
        <f>L47+L47*Y47</f>
        <v>0</v>
      </c>
      <c r="O47" s="753"/>
      <c r="P47" s="682">
        <f>N47+N47*Z47</f>
        <v>0</v>
      </c>
      <c r="Q47" s="753"/>
      <c r="R47" s="682">
        <f>P47+P47*AA47</f>
        <v>0</v>
      </c>
      <c r="S47" s="754"/>
      <c r="T47" s="392"/>
      <c r="U47" s="583"/>
      <c r="V47" s="545">
        <v>0.03</v>
      </c>
      <c r="W47" s="545">
        <f>V47</f>
        <v>0.03</v>
      </c>
      <c r="X47" s="545">
        <f>W47</f>
        <v>0.03</v>
      </c>
      <c r="Y47" s="545">
        <f>X47</f>
        <v>0.03</v>
      </c>
      <c r="Z47" s="545">
        <f>Y47</f>
        <v>0.03</v>
      </c>
      <c r="AA47" s="545">
        <f>Z47</f>
        <v>0.03</v>
      </c>
      <c r="AB47" s="362"/>
      <c r="AC47" s="362"/>
      <c r="AD47" s="364"/>
      <c r="AE47" s="364"/>
      <c r="AF47" s="362"/>
      <c r="AG47" s="362"/>
      <c r="AH47" s="363"/>
      <c r="AI47" s="27"/>
      <c r="AJ47" s="27"/>
      <c r="AK47" s="3"/>
      <c r="AL47" s="3"/>
      <c r="AM47" s="3"/>
      <c r="AN47" s="3"/>
      <c r="AO47" s="3"/>
    </row>
    <row r="48" spans="1:41" ht="12" customHeight="1" thickBot="1" x14ac:dyDescent="0.25">
      <c r="A48" s="182"/>
      <c r="B48" s="544"/>
      <c r="C48" s="610" t="s">
        <v>279</v>
      </c>
      <c r="D48" s="549">
        <f>D35+D42</f>
        <v>0</v>
      </c>
      <c r="E48" s="585"/>
      <c r="F48" s="549">
        <f>F35+F42</f>
        <v>0</v>
      </c>
      <c r="G48" s="550"/>
      <c r="H48" s="549">
        <f>H35+H42</f>
        <v>0</v>
      </c>
      <c r="I48" s="550"/>
      <c r="J48" s="549">
        <f>J35+J42</f>
        <v>0</v>
      </c>
      <c r="K48" s="550"/>
      <c r="L48" s="549">
        <f>L35+L42</f>
        <v>0</v>
      </c>
      <c r="M48" s="657"/>
      <c r="N48" s="549">
        <f>N35+N42</f>
        <v>0</v>
      </c>
      <c r="O48" s="657"/>
      <c r="P48" s="549">
        <f>P35+P42</f>
        <v>0</v>
      </c>
      <c r="Q48" s="657"/>
      <c r="R48" s="549">
        <f>R35+R42</f>
        <v>0</v>
      </c>
      <c r="S48" s="658"/>
      <c r="T48" s="392"/>
      <c r="U48" s="588">
        <f>$F$8</f>
        <v>2016</v>
      </c>
      <c r="V48" s="482">
        <f>$H$8</f>
        <v>2017</v>
      </c>
      <c r="W48" s="482">
        <f>$J$8</f>
        <v>2018</v>
      </c>
      <c r="X48" s="482">
        <f>$L$8</f>
        <v>2019</v>
      </c>
      <c r="Y48" s="482">
        <f>$N$8</f>
        <v>2020</v>
      </c>
      <c r="Z48" s="482">
        <f>$P$8</f>
        <v>2021</v>
      </c>
      <c r="AA48" s="482">
        <f>$R$8</f>
        <v>2022</v>
      </c>
      <c r="AB48" s="362"/>
      <c r="AC48" s="362"/>
      <c r="AD48" s="364"/>
      <c r="AE48" s="364"/>
      <c r="AF48" s="362"/>
      <c r="AG48" s="362"/>
      <c r="AH48" s="363"/>
      <c r="AI48" s="27"/>
      <c r="AJ48" s="27"/>
      <c r="AK48" s="3"/>
      <c r="AL48" s="3"/>
      <c r="AM48" s="3"/>
      <c r="AN48" s="3"/>
      <c r="AO48" s="3"/>
    </row>
    <row r="49" spans="1:41" ht="12" customHeight="1" thickBot="1" x14ac:dyDescent="0.25">
      <c r="A49" s="2"/>
      <c r="B49" s="522">
        <v>10</v>
      </c>
      <c r="C49" s="523" t="s">
        <v>160</v>
      </c>
      <c r="D49" s="640">
        <v>0</v>
      </c>
      <c r="E49" s="639">
        <f ca="1">IF(D$87=0,0,100*D49/D$87)</f>
        <v>0</v>
      </c>
      <c r="F49" s="641">
        <f>D49+D49*U49</f>
        <v>0</v>
      </c>
      <c r="G49" s="642">
        <f ca="1">IF(F$87=0,0,100*F49/F$87)</f>
        <v>0</v>
      </c>
      <c r="H49" s="641">
        <f>F49+F49*V49</f>
        <v>0</v>
      </c>
      <c r="I49" s="642">
        <f ca="1">IF(H$87=0,0,100*H49/H$87)</f>
        <v>0</v>
      </c>
      <c r="J49" s="641">
        <f>H49+H49*W49</f>
        <v>0</v>
      </c>
      <c r="K49" s="642">
        <f ca="1">IF(J$87=0,0,100*J49/J$87)</f>
        <v>0</v>
      </c>
      <c r="L49" s="641">
        <f>J49+J49*X49</f>
        <v>0</v>
      </c>
      <c r="M49" s="642">
        <f ca="1">IF(L$87=0,0,100*L49/L$87)</f>
        <v>0</v>
      </c>
      <c r="N49" s="641">
        <f>L49+L49*Y49</f>
        <v>0</v>
      </c>
      <c r="O49" s="642">
        <f ca="1">IF(N$87=0,0,100*N49/N$87)</f>
        <v>0</v>
      </c>
      <c r="P49" s="641">
        <f>N49+N49*Z49</f>
        <v>0</v>
      </c>
      <c r="Q49" s="642">
        <f ca="1">IF(P$87=0,0,100*P49/P$87)</f>
        <v>0</v>
      </c>
      <c r="R49" s="641">
        <f>P49+P49*AA49</f>
        <v>0</v>
      </c>
      <c r="S49" s="639">
        <f ca="1">IF(R$87=0,0,100*R49/R$87)</f>
        <v>0</v>
      </c>
      <c r="T49" s="392"/>
      <c r="U49" s="560">
        <v>0.03</v>
      </c>
      <c r="V49" s="545">
        <f t="shared" ref="V49:AA50" si="3">U49</f>
        <v>0.03</v>
      </c>
      <c r="W49" s="545">
        <f t="shared" si="3"/>
        <v>0.03</v>
      </c>
      <c r="X49" s="545">
        <f t="shared" si="3"/>
        <v>0.03</v>
      </c>
      <c r="Y49" s="545">
        <f t="shared" si="3"/>
        <v>0.03</v>
      </c>
      <c r="Z49" s="545">
        <f t="shared" si="3"/>
        <v>0.03</v>
      </c>
      <c r="AA49" s="545">
        <f t="shared" si="3"/>
        <v>0.03</v>
      </c>
      <c r="AB49" s="362"/>
      <c r="AC49" s="362"/>
      <c r="AD49" s="364"/>
      <c r="AE49" s="364"/>
      <c r="AF49" s="362"/>
      <c r="AG49" s="362"/>
      <c r="AH49" s="363"/>
      <c r="AI49" s="27"/>
      <c r="AJ49" s="27"/>
      <c r="AK49" s="3"/>
      <c r="AL49" s="3"/>
      <c r="AM49" s="3"/>
      <c r="AN49" s="3"/>
      <c r="AO49" s="3"/>
    </row>
    <row r="50" spans="1:41" ht="12" customHeight="1" thickBot="1" x14ac:dyDescent="0.25">
      <c r="B50" s="522">
        <v>11</v>
      </c>
      <c r="C50" s="523" t="s">
        <v>253</v>
      </c>
      <c r="D50" s="640">
        <v>0</v>
      </c>
      <c r="E50" s="659">
        <f ca="1">IF(D$87=0,0,100*D50/D$87)</f>
        <v>0</v>
      </c>
      <c r="F50" s="641">
        <f>D50+D50*U50</f>
        <v>0</v>
      </c>
      <c r="G50" s="642">
        <f ca="1">IF(F$87=0,0,100*F50/F$87)</f>
        <v>0</v>
      </c>
      <c r="H50" s="641">
        <f>F50+F50*V50</f>
        <v>0</v>
      </c>
      <c r="I50" s="642">
        <f ca="1">IF(H$87=0,0,100*H50/H$87)</f>
        <v>0</v>
      </c>
      <c r="J50" s="641">
        <f>H50+H50*W50</f>
        <v>0</v>
      </c>
      <c r="K50" s="642">
        <f ca="1">IF(J$87=0,0,100*J50/J$87)</f>
        <v>0</v>
      </c>
      <c r="L50" s="641">
        <f>J50+J50*X50</f>
        <v>0</v>
      </c>
      <c r="M50" s="642">
        <f ca="1">IF(L$87=0,0,100*L50/L$87)</f>
        <v>0</v>
      </c>
      <c r="N50" s="641">
        <f>L50+L50*Y50</f>
        <v>0</v>
      </c>
      <c r="O50" s="642">
        <f ca="1">IF(N$87=0,0,100*N50/N$87)</f>
        <v>0</v>
      </c>
      <c r="P50" s="641">
        <f>N50+N50*Z50</f>
        <v>0</v>
      </c>
      <c r="Q50" s="642">
        <f ca="1">IF(P$87=0,0,100*P50/P$87)</f>
        <v>0</v>
      </c>
      <c r="R50" s="641">
        <f>P50+P50*AA50</f>
        <v>0</v>
      </c>
      <c r="S50" s="659">
        <f ca="1">IF(R$87=0,0,100*R50/R$87)</f>
        <v>0</v>
      </c>
      <c r="T50" s="392"/>
      <c r="U50" s="558">
        <v>0.03</v>
      </c>
      <c r="V50" s="483">
        <f t="shared" si="3"/>
        <v>0.03</v>
      </c>
      <c r="W50" s="483">
        <f t="shared" si="3"/>
        <v>0.03</v>
      </c>
      <c r="X50" s="483">
        <f t="shared" si="3"/>
        <v>0.03</v>
      </c>
      <c r="Y50" s="483">
        <f t="shared" si="3"/>
        <v>0.03</v>
      </c>
      <c r="Z50" s="483">
        <f t="shared" si="3"/>
        <v>0.03</v>
      </c>
      <c r="AA50" s="483">
        <f t="shared" si="3"/>
        <v>0.03</v>
      </c>
      <c r="AB50" s="362"/>
      <c r="AC50" s="362"/>
      <c r="AD50" s="364"/>
      <c r="AE50" s="364"/>
      <c r="AF50" s="362"/>
      <c r="AG50" s="362"/>
      <c r="AH50" s="363"/>
      <c r="AI50" s="27"/>
      <c r="AJ50" s="27"/>
      <c r="AK50" s="3"/>
      <c r="AL50" s="3"/>
      <c r="AM50" s="3"/>
      <c r="AN50" s="3"/>
      <c r="AO50" s="3"/>
    </row>
    <row r="51" spans="1:41" ht="12" customHeight="1" x14ac:dyDescent="0.2">
      <c r="B51" s="528">
        <v>12</v>
      </c>
      <c r="C51" s="529" t="s">
        <v>1</v>
      </c>
      <c r="D51" s="660">
        <f t="shared" ref="D51:R51" si="4">D52+D53+D54</f>
        <v>0</v>
      </c>
      <c r="E51" s="639">
        <f ca="1">IF(D$87=0,0,100*D51/D$87)</f>
        <v>0</v>
      </c>
      <c r="F51" s="660">
        <f>F11+F53+F54</f>
        <v>0</v>
      </c>
      <c r="G51" s="658">
        <f ca="1">IF(F$87=0,0,100*F51/F$87)</f>
        <v>0</v>
      </c>
      <c r="H51" s="660">
        <f t="shared" si="4"/>
        <v>0</v>
      </c>
      <c r="I51" s="658">
        <f ca="1">IF(H$87=0,0,100*H51/H$87)</f>
        <v>0</v>
      </c>
      <c r="J51" s="660">
        <f t="shared" si="4"/>
        <v>0</v>
      </c>
      <c r="K51" s="658">
        <f ca="1">IF(J$87=0,0,100*J51/J$87)</f>
        <v>0</v>
      </c>
      <c r="L51" s="660">
        <f t="shared" si="4"/>
        <v>0</v>
      </c>
      <c r="M51" s="658">
        <f ca="1">IF(L$87=0,0,100*L51/L$87)</f>
        <v>0</v>
      </c>
      <c r="N51" s="660">
        <f t="shared" si="4"/>
        <v>0</v>
      </c>
      <c r="O51" s="658">
        <f ca="1">IF(N$87=0,0,100*N51/N$87)</f>
        <v>0</v>
      </c>
      <c r="P51" s="660">
        <f t="shared" si="4"/>
        <v>0</v>
      </c>
      <c r="Q51" s="658">
        <f ca="1">IF(P$87=0,0,100*P51/P$87)</f>
        <v>0</v>
      </c>
      <c r="R51" s="660">
        <f t="shared" si="4"/>
        <v>0</v>
      </c>
      <c r="S51" s="639">
        <f ca="1">IF(R$87=0,0,100*R51/R$87)</f>
        <v>0</v>
      </c>
      <c r="T51" s="392"/>
      <c r="U51" s="484">
        <f>$F$8</f>
        <v>2016</v>
      </c>
      <c r="V51" s="482">
        <f>$H$8</f>
        <v>2017</v>
      </c>
      <c r="W51" s="482">
        <f>$J$8</f>
        <v>2018</v>
      </c>
      <c r="X51" s="482">
        <f>$L$8</f>
        <v>2019</v>
      </c>
      <c r="Y51" s="482">
        <f>$N$8</f>
        <v>2020</v>
      </c>
      <c r="Z51" s="482">
        <f>$P$8</f>
        <v>2021</v>
      </c>
      <c r="AA51" s="482">
        <f>$R$8</f>
        <v>2022</v>
      </c>
      <c r="AB51" s="362"/>
      <c r="AC51" s="362"/>
      <c r="AD51" s="364"/>
      <c r="AE51" s="364"/>
      <c r="AF51" s="362" t="s">
        <v>0</v>
      </c>
      <c r="AG51" s="362"/>
      <c r="AH51" s="363"/>
      <c r="AI51" s="27"/>
      <c r="AJ51" s="27"/>
      <c r="AK51" s="3"/>
      <c r="AL51" s="3"/>
      <c r="AM51" s="3"/>
      <c r="AN51" s="3"/>
      <c r="AO51" s="3"/>
    </row>
    <row r="52" spans="1:41" ht="11.25" customHeight="1" x14ac:dyDescent="0.2">
      <c r="A52" s="182"/>
      <c r="B52" s="692"/>
      <c r="C52" s="693" t="s">
        <v>2</v>
      </c>
      <c r="D52" s="680">
        <v>0</v>
      </c>
      <c r="E52" s="755"/>
      <c r="F52" s="682">
        <f>D52+D52*U52</f>
        <v>0</v>
      </c>
      <c r="G52" s="756"/>
      <c r="H52" s="682">
        <f>F11+F11*V52</f>
        <v>0</v>
      </c>
      <c r="I52" s="683"/>
      <c r="J52" s="682">
        <f>H52+H52*W52</f>
        <v>0</v>
      </c>
      <c r="K52" s="683"/>
      <c r="L52" s="682">
        <f>J52+J52*X52</f>
        <v>0</v>
      </c>
      <c r="M52" s="683"/>
      <c r="N52" s="682">
        <f>L52+L52*Y52</f>
        <v>0</v>
      </c>
      <c r="O52" s="683"/>
      <c r="P52" s="682">
        <f>N52+N52*Z52</f>
        <v>0</v>
      </c>
      <c r="Q52" s="683"/>
      <c r="R52" s="682">
        <f>P52+P52*AA52</f>
        <v>0</v>
      </c>
      <c r="S52" s="683"/>
      <c r="T52" s="393"/>
      <c r="U52" s="558">
        <v>0.03</v>
      </c>
      <c r="V52" s="483">
        <f t="shared" ref="V52:X54" si="5">U52</f>
        <v>0.03</v>
      </c>
      <c r="W52" s="483">
        <f t="shared" si="5"/>
        <v>0.03</v>
      </c>
      <c r="X52" s="483">
        <f t="shared" si="5"/>
        <v>0.03</v>
      </c>
      <c r="Y52" s="483">
        <f t="shared" ref="Y52:AA54" si="6">X52</f>
        <v>0.03</v>
      </c>
      <c r="Z52" s="483">
        <f t="shared" si="6"/>
        <v>0.03</v>
      </c>
      <c r="AA52" s="483">
        <f t="shared" si="6"/>
        <v>0.03</v>
      </c>
      <c r="AB52" s="362"/>
      <c r="AC52" s="362"/>
      <c r="AD52" s="364"/>
      <c r="AE52" s="364"/>
      <c r="AF52" s="362"/>
      <c r="AG52" s="362"/>
      <c r="AH52" s="363"/>
      <c r="AI52" s="27"/>
      <c r="AJ52" s="27"/>
      <c r="AK52" s="3"/>
      <c r="AL52" s="3"/>
      <c r="AM52" s="3"/>
      <c r="AN52" s="3"/>
      <c r="AO52" s="3"/>
    </row>
    <row r="53" spans="1:41" ht="11.25" customHeight="1" x14ac:dyDescent="0.2">
      <c r="B53" s="692"/>
      <c r="C53" s="693" t="s">
        <v>3</v>
      </c>
      <c r="D53" s="680">
        <v>0</v>
      </c>
      <c r="E53" s="755"/>
      <c r="F53" s="682">
        <f>D53+D53*U53</f>
        <v>0</v>
      </c>
      <c r="G53" s="756"/>
      <c r="H53" s="682">
        <f>F53+F53*V53</f>
        <v>0</v>
      </c>
      <c r="I53" s="683"/>
      <c r="J53" s="682">
        <f>H53+H53*W53</f>
        <v>0</v>
      </c>
      <c r="K53" s="683"/>
      <c r="L53" s="682">
        <f>J53+J53*X53</f>
        <v>0</v>
      </c>
      <c r="M53" s="683"/>
      <c r="N53" s="682">
        <f>L53+L53*Y53</f>
        <v>0</v>
      </c>
      <c r="O53" s="683"/>
      <c r="P53" s="682">
        <f>N53+N53*Z53</f>
        <v>0</v>
      </c>
      <c r="Q53" s="683"/>
      <c r="R53" s="682">
        <f>P53+P53*AA53</f>
        <v>0</v>
      </c>
      <c r="S53" s="683"/>
      <c r="T53" s="393"/>
      <c r="U53" s="558">
        <v>0.03</v>
      </c>
      <c r="V53" s="483">
        <f t="shared" si="5"/>
        <v>0.03</v>
      </c>
      <c r="W53" s="483">
        <f t="shared" si="5"/>
        <v>0.03</v>
      </c>
      <c r="X53" s="483">
        <f t="shared" si="5"/>
        <v>0.03</v>
      </c>
      <c r="Y53" s="483">
        <f t="shared" si="6"/>
        <v>0.03</v>
      </c>
      <c r="Z53" s="483">
        <f t="shared" si="6"/>
        <v>0.03</v>
      </c>
      <c r="AA53" s="483">
        <f t="shared" si="6"/>
        <v>0.03</v>
      </c>
      <c r="AB53" s="362"/>
      <c r="AC53" s="362"/>
      <c r="AD53" s="364"/>
      <c r="AE53" s="364"/>
      <c r="AF53" s="362"/>
      <c r="AG53" s="362"/>
      <c r="AH53" s="363"/>
      <c r="AI53" s="27"/>
      <c r="AJ53" s="27"/>
      <c r="AK53" s="3"/>
      <c r="AL53" s="3"/>
      <c r="AM53" s="3"/>
      <c r="AN53" s="3"/>
      <c r="AO53" s="3"/>
    </row>
    <row r="54" spans="1:41" ht="11.25" customHeight="1" thickBot="1" x14ac:dyDescent="0.25">
      <c r="B54" s="757"/>
      <c r="C54" s="758" t="s">
        <v>4</v>
      </c>
      <c r="D54" s="739">
        <v>0</v>
      </c>
      <c r="E54" s="759"/>
      <c r="F54" s="682">
        <f>D54+D54*U54</f>
        <v>0</v>
      </c>
      <c r="G54" s="760"/>
      <c r="H54" s="682">
        <f>F54+F54*V54</f>
        <v>0</v>
      </c>
      <c r="I54" s="683"/>
      <c r="J54" s="682">
        <f>H54+H54*W54</f>
        <v>0</v>
      </c>
      <c r="K54" s="683"/>
      <c r="L54" s="682">
        <f>J54+J54*X54</f>
        <v>0</v>
      </c>
      <c r="M54" s="683"/>
      <c r="N54" s="682">
        <f>L54+L54*Y54</f>
        <v>0</v>
      </c>
      <c r="O54" s="683"/>
      <c r="P54" s="682">
        <f>N54+N54*Z54</f>
        <v>0</v>
      </c>
      <c r="Q54" s="683"/>
      <c r="R54" s="682">
        <f>P54+P54*AA54</f>
        <v>0</v>
      </c>
      <c r="S54" s="712"/>
      <c r="T54" s="393"/>
      <c r="U54" s="558">
        <v>0.03</v>
      </c>
      <c r="V54" s="483">
        <f t="shared" si="5"/>
        <v>0.03</v>
      </c>
      <c r="W54" s="483">
        <f t="shared" si="5"/>
        <v>0.03</v>
      </c>
      <c r="X54" s="483">
        <f t="shared" si="5"/>
        <v>0.03</v>
      </c>
      <c r="Y54" s="483">
        <f t="shared" si="6"/>
        <v>0.03</v>
      </c>
      <c r="Z54" s="483">
        <f t="shared" si="6"/>
        <v>0.03</v>
      </c>
      <c r="AA54" s="483">
        <f t="shared" si="6"/>
        <v>0.03</v>
      </c>
      <c r="AB54" s="362"/>
      <c r="AC54" s="362"/>
      <c r="AD54" s="364"/>
      <c r="AE54" s="364"/>
      <c r="AF54" s="362"/>
      <c r="AG54" s="362"/>
      <c r="AH54" s="363"/>
      <c r="AI54" s="27"/>
      <c r="AJ54" s="27"/>
      <c r="AK54" s="3"/>
      <c r="AL54" s="3"/>
      <c r="AM54" s="3"/>
      <c r="AN54" s="3"/>
      <c r="AO54" s="3"/>
    </row>
    <row r="55" spans="1:41" s="7" customFormat="1" ht="12" customHeight="1" thickBot="1" x14ac:dyDescent="0.25">
      <c r="A55"/>
      <c r="B55" s="522">
        <v>13</v>
      </c>
      <c r="C55" s="530" t="s">
        <v>65</v>
      </c>
      <c r="D55" s="640">
        <v>0</v>
      </c>
      <c r="E55" s="659">
        <f ca="1">IF(D$87=0,0,100*D55/D$87)</f>
        <v>0</v>
      </c>
      <c r="F55" s="641">
        <f>D55</f>
        <v>0</v>
      </c>
      <c r="G55" s="642">
        <f ca="1">IF(F$87=0,0,100*F55/F$87)</f>
        <v>0</v>
      </c>
      <c r="H55" s="641">
        <f>F55</f>
        <v>0</v>
      </c>
      <c r="I55" s="642">
        <f ca="1">IF(H$87=0,0,100*H55/H$87)</f>
        <v>0</v>
      </c>
      <c r="J55" s="641">
        <f>H55</f>
        <v>0</v>
      </c>
      <c r="K55" s="642">
        <f ca="1">IF(J$87=0,0,100*J55/J$87)</f>
        <v>0</v>
      </c>
      <c r="L55" s="641">
        <f>J55</f>
        <v>0</v>
      </c>
      <c r="M55" s="642">
        <f ca="1">IF(L$87=0,0,100*L55/L$87)</f>
        <v>0</v>
      </c>
      <c r="N55" s="641">
        <f>L55</f>
        <v>0</v>
      </c>
      <c r="O55" s="642">
        <f ca="1">IF(N$87=0,0,100*N55/N$87)</f>
        <v>0</v>
      </c>
      <c r="P55" s="641">
        <f>N55</f>
        <v>0</v>
      </c>
      <c r="Q55" s="642">
        <f ca="1">IF(P$87=0,0,100*P55/P$87)</f>
        <v>0</v>
      </c>
      <c r="R55" s="641">
        <f>P55</f>
        <v>0</v>
      </c>
      <c r="S55" s="661">
        <f ca="1">IF(R$87=0,0,100*R55/R$87)</f>
        <v>0</v>
      </c>
      <c r="T55" s="420"/>
      <c r="U55" s="884" t="s">
        <v>304</v>
      </c>
      <c r="V55" s="885"/>
      <c r="W55" s="885"/>
      <c r="X55" s="885"/>
      <c r="Y55" s="885"/>
      <c r="Z55" s="885"/>
      <c r="AA55" s="885"/>
      <c r="AB55" s="362"/>
      <c r="AC55" s="362"/>
      <c r="AD55" s="362"/>
      <c r="AE55" s="362"/>
      <c r="AF55" s="362"/>
      <c r="AG55" s="362"/>
      <c r="AH55" s="363"/>
      <c r="AI55" s="421"/>
      <c r="AJ55" s="421"/>
      <c r="AK55" s="422"/>
      <c r="AL55" s="422"/>
      <c r="AM55" s="422"/>
      <c r="AN55" s="422"/>
      <c r="AO55" s="422"/>
    </row>
    <row r="56" spans="1:41" ht="12" customHeight="1" x14ac:dyDescent="0.2">
      <c r="A56" s="182"/>
      <c r="B56" s="531">
        <v>14</v>
      </c>
      <c r="C56" s="525" t="s">
        <v>60</v>
      </c>
      <c r="D56" s="638">
        <v>0</v>
      </c>
      <c r="E56" s="639">
        <f ca="1">IF(D$87=0,0,100*D56/D$87)</f>
        <v>0</v>
      </c>
      <c r="F56" s="662">
        <f t="shared" ref="F56:R56" si="7">F58*F57</f>
        <v>0</v>
      </c>
      <c r="G56" s="663">
        <f ca="1">IF(F$87=0,0,100*F56/F$87)</f>
        <v>0</v>
      </c>
      <c r="H56" s="662">
        <f t="shared" si="7"/>
        <v>0</v>
      </c>
      <c r="I56" s="663">
        <f ca="1">IF(H$87=0,0,100*H56/H$87)</f>
        <v>0</v>
      </c>
      <c r="J56" s="662">
        <f t="shared" si="7"/>
        <v>0</v>
      </c>
      <c r="K56" s="663">
        <f ca="1">IF(J$87=0,0,100*J56/J$87)</f>
        <v>0</v>
      </c>
      <c r="L56" s="662">
        <f t="shared" si="7"/>
        <v>0</v>
      </c>
      <c r="M56" s="663">
        <f ca="1">IF(L$87=0,0,100*L56/L$87)</f>
        <v>0</v>
      </c>
      <c r="N56" s="662">
        <f t="shared" si="7"/>
        <v>0</v>
      </c>
      <c r="O56" s="663">
        <f ca="1">IF(N$87=0,0,100*N56/N$87)</f>
        <v>0</v>
      </c>
      <c r="P56" s="662">
        <f t="shared" si="7"/>
        <v>0</v>
      </c>
      <c r="Q56" s="663">
        <f ca="1">IF(P$87=0,0,100*P56/P$87)</f>
        <v>0</v>
      </c>
      <c r="R56" s="662">
        <f t="shared" si="7"/>
        <v>0</v>
      </c>
      <c r="S56" s="663">
        <f ca="1">IF(R$87=0,0,100*R56/R$87)</f>
        <v>0</v>
      </c>
      <c r="T56" s="392"/>
      <c r="U56" s="484">
        <f>$F$8</f>
        <v>2016</v>
      </c>
      <c r="V56" s="482">
        <f>$H$8</f>
        <v>2017</v>
      </c>
      <c r="W56" s="482">
        <f>$J$8</f>
        <v>2018</v>
      </c>
      <c r="X56" s="482">
        <f>$L$8</f>
        <v>2019</v>
      </c>
      <c r="Y56" s="482">
        <f>$N$8</f>
        <v>2020</v>
      </c>
      <c r="Z56" s="482">
        <f>$P$8</f>
        <v>2021</v>
      </c>
      <c r="AA56" s="482">
        <f>$R$8</f>
        <v>2022</v>
      </c>
      <c r="AB56" s="362"/>
      <c r="AC56" s="362"/>
      <c r="AD56" s="362"/>
      <c r="AE56" s="362"/>
      <c r="AF56" s="362"/>
      <c r="AG56" s="362"/>
      <c r="AH56" s="363"/>
      <c r="AI56" s="27"/>
      <c r="AJ56" s="27"/>
      <c r="AK56" s="3"/>
      <c r="AL56" s="3"/>
      <c r="AM56" s="3"/>
      <c r="AN56" s="3"/>
      <c r="AO56" s="3"/>
    </row>
    <row r="57" spans="1:41" ht="11.25" customHeight="1" x14ac:dyDescent="0.2">
      <c r="A57" s="388"/>
      <c r="B57" s="692"/>
      <c r="C57" s="693" t="s">
        <v>59</v>
      </c>
      <c r="D57" s="761">
        <f>IF(D58=0,0,D56/D58)</f>
        <v>0</v>
      </c>
      <c r="E57" s="681"/>
      <c r="F57" s="682">
        <f>D57</f>
        <v>0</v>
      </c>
      <c r="G57" s="683"/>
      <c r="H57" s="682">
        <f>F57+F57*V57</f>
        <v>0</v>
      </c>
      <c r="I57" s="683"/>
      <c r="J57" s="682">
        <f>H57+H57*W57</f>
        <v>0</v>
      </c>
      <c r="K57" s="683"/>
      <c r="L57" s="682">
        <f>J57+J57*X57</f>
        <v>0</v>
      </c>
      <c r="M57" s="683"/>
      <c r="N57" s="682">
        <f>L57+L57*Y57</f>
        <v>0</v>
      </c>
      <c r="O57" s="683"/>
      <c r="P57" s="682">
        <f>N57+N57*Z57</f>
        <v>0</v>
      </c>
      <c r="Q57" s="683"/>
      <c r="R57" s="682">
        <f>P57+P57*AA57</f>
        <v>0</v>
      </c>
      <c r="S57" s="683"/>
      <c r="T57" s="393"/>
      <c r="U57" s="586"/>
      <c r="V57" s="483">
        <v>0.03</v>
      </c>
      <c r="W57" s="483">
        <f>V57</f>
        <v>0.03</v>
      </c>
      <c r="X57" s="483">
        <f>W57</f>
        <v>0.03</v>
      </c>
      <c r="Y57" s="483">
        <f>X57</f>
        <v>0.03</v>
      </c>
      <c r="Z57" s="483">
        <f>Y57</f>
        <v>0.03</v>
      </c>
      <c r="AA57" s="483">
        <f>Z57</f>
        <v>0.03</v>
      </c>
      <c r="AB57" s="362"/>
      <c r="AC57" s="362"/>
      <c r="AD57" s="362"/>
      <c r="AE57" s="362"/>
      <c r="AF57" s="362"/>
      <c r="AG57" s="362"/>
      <c r="AH57" s="363"/>
      <c r="AI57" s="27"/>
      <c r="AJ57" s="27"/>
      <c r="AK57" s="3"/>
      <c r="AL57" s="3"/>
      <c r="AM57" s="3"/>
      <c r="AN57" s="3"/>
      <c r="AO57" s="3"/>
    </row>
    <row r="58" spans="1:41" ht="11.25" customHeight="1" thickBot="1" x14ac:dyDescent="0.25">
      <c r="A58" s="182"/>
      <c r="B58" s="707"/>
      <c r="C58" s="708" t="s">
        <v>58</v>
      </c>
      <c r="D58" s="762">
        <v>0</v>
      </c>
      <c r="E58" s="763"/>
      <c r="F58" s="764">
        <f>D58</f>
        <v>0</v>
      </c>
      <c r="G58" s="765"/>
      <c r="H58" s="764">
        <f>F58</f>
        <v>0</v>
      </c>
      <c r="I58" s="765"/>
      <c r="J58" s="764">
        <f>H58</f>
        <v>0</v>
      </c>
      <c r="K58" s="765"/>
      <c r="L58" s="764">
        <f>J58</f>
        <v>0</v>
      </c>
      <c r="M58" s="765"/>
      <c r="N58" s="764">
        <f>L58</f>
        <v>0</v>
      </c>
      <c r="O58" s="765"/>
      <c r="P58" s="764">
        <f>N58</f>
        <v>0</v>
      </c>
      <c r="Q58" s="765"/>
      <c r="R58" s="764">
        <f>P58</f>
        <v>0</v>
      </c>
      <c r="S58" s="712"/>
      <c r="T58" s="395"/>
      <c r="U58" s="361"/>
      <c r="V58" s="362"/>
      <c r="W58" s="362"/>
      <c r="X58" s="362"/>
      <c r="Y58" s="362"/>
      <c r="Z58" s="362"/>
      <c r="AA58" s="362"/>
      <c r="AB58" s="362"/>
      <c r="AC58" s="362"/>
      <c r="AD58" s="362"/>
      <c r="AE58" s="362"/>
      <c r="AF58" s="362"/>
      <c r="AG58" s="362"/>
      <c r="AH58" s="363"/>
      <c r="AI58" s="27"/>
      <c r="AJ58" s="27"/>
      <c r="AK58" s="3"/>
      <c r="AL58" s="3"/>
      <c r="AM58" s="3"/>
      <c r="AN58" s="3"/>
      <c r="AO58" s="3"/>
    </row>
    <row r="59" spans="1:41" ht="12" customHeight="1" thickBot="1" x14ac:dyDescent="0.25">
      <c r="A59" s="182"/>
      <c r="B59" s="522">
        <v>15</v>
      </c>
      <c r="C59" s="532" t="s">
        <v>76</v>
      </c>
      <c r="D59" s="638">
        <v>0</v>
      </c>
      <c r="E59" s="639">
        <f ca="1">IF(D$87=0,0,100*D59/D$87)</f>
        <v>0</v>
      </c>
      <c r="F59" s="664">
        <f>D59</f>
        <v>0</v>
      </c>
      <c r="G59" s="663">
        <f ca="1">IF(F$87=0,0,100*F59/F$87)</f>
        <v>0</v>
      </c>
      <c r="H59" s="664">
        <f>F59</f>
        <v>0</v>
      </c>
      <c r="I59" s="663">
        <f ca="1">IF(H$87=0,0,100*H59/H$87)</f>
        <v>0</v>
      </c>
      <c r="J59" s="664">
        <f>H59</f>
        <v>0</v>
      </c>
      <c r="K59" s="663">
        <f ca="1">IF(J$87=0,0,100*J59/J$87)</f>
        <v>0</v>
      </c>
      <c r="L59" s="664">
        <f>J59</f>
        <v>0</v>
      </c>
      <c r="M59" s="663">
        <f ca="1">IF(L$87=0,0,100*L59/L$87)</f>
        <v>0</v>
      </c>
      <c r="N59" s="664">
        <f>L59</f>
        <v>0</v>
      </c>
      <c r="O59" s="663">
        <f ca="1">IF(N$87=0,0,100*N59/N$87)</f>
        <v>0</v>
      </c>
      <c r="P59" s="664">
        <f>N59</f>
        <v>0</v>
      </c>
      <c r="Q59" s="663">
        <f ca="1">IF(P$87=0,0,100*P59/P$87)</f>
        <v>0</v>
      </c>
      <c r="R59" s="664">
        <f>P59</f>
        <v>0</v>
      </c>
      <c r="S59" s="663">
        <f ca="1">IF(R$87=0,0,100*R59/R$87)</f>
        <v>0</v>
      </c>
      <c r="T59" s="394"/>
      <c r="U59" s="361"/>
      <c r="V59" s="362"/>
      <c r="W59" s="362"/>
      <c r="X59" s="362"/>
      <c r="Y59" s="362"/>
      <c r="Z59" s="362"/>
      <c r="AA59" s="362"/>
      <c r="AB59" s="362"/>
      <c r="AC59" s="362"/>
      <c r="AD59" s="362"/>
      <c r="AE59" s="362"/>
      <c r="AF59" s="362"/>
      <c r="AG59" s="362"/>
      <c r="AH59" s="363"/>
      <c r="AI59" s="27"/>
      <c r="AJ59" s="27"/>
      <c r="AK59" s="3"/>
      <c r="AL59" s="3"/>
      <c r="AM59" s="3"/>
      <c r="AN59" s="3"/>
      <c r="AO59" s="3"/>
    </row>
    <row r="60" spans="1:41" ht="12" customHeight="1" thickBot="1" x14ac:dyDescent="0.25">
      <c r="B60" s="522">
        <v>16</v>
      </c>
      <c r="C60" s="530" t="s">
        <v>77</v>
      </c>
      <c r="D60" s="640">
        <v>0</v>
      </c>
      <c r="E60" s="639">
        <f ca="1">IF(D$87=0,0,100*D60/D$87)</f>
        <v>0</v>
      </c>
      <c r="F60" s="641">
        <f>D60</f>
        <v>0</v>
      </c>
      <c r="G60" s="663">
        <f ca="1">IF(F$87=0,0,100*F60/F$87)</f>
        <v>0</v>
      </c>
      <c r="H60" s="641">
        <f>F60</f>
        <v>0</v>
      </c>
      <c r="I60" s="663">
        <f ca="1">IF(H$87=0,0,100*H60/H$87)</f>
        <v>0</v>
      </c>
      <c r="J60" s="641">
        <f>H60</f>
        <v>0</v>
      </c>
      <c r="K60" s="663">
        <f ca="1">IF(J$87=0,0,100*J60/J$87)</f>
        <v>0</v>
      </c>
      <c r="L60" s="641">
        <f>J60</f>
        <v>0</v>
      </c>
      <c r="M60" s="663">
        <f ca="1">IF(L$87=0,0,100*L60/L$87)</f>
        <v>0</v>
      </c>
      <c r="N60" s="641">
        <f>L60</f>
        <v>0</v>
      </c>
      <c r="O60" s="663">
        <f ca="1">IF(N$87=0,0,100*N60/N$87)</f>
        <v>0</v>
      </c>
      <c r="P60" s="641">
        <f>N60</f>
        <v>0</v>
      </c>
      <c r="Q60" s="663">
        <f ca="1">IF(P$87=0,0,100*P60/P$87)</f>
        <v>0</v>
      </c>
      <c r="R60" s="641">
        <f>P60</f>
        <v>0</v>
      </c>
      <c r="S60" s="663">
        <f ca="1">IF(R$87=0,0,100*R60/R$87)</f>
        <v>0</v>
      </c>
      <c r="T60" s="394"/>
      <c r="U60" s="884" t="s">
        <v>304</v>
      </c>
      <c r="V60" s="885"/>
      <c r="W60" s="885"/>
      <c r="X60" s="885"/>
      <c r="Y60" s="885"/>
      <c r="Z60" s="885"/>
      <c r="AA60" s="885"/>
      <c r="AB60" s="362"/>
      <c r="AC60" s="362"/>
      <c r="AD60" s="362"/>
      <c r="AE60" s="362"/>
      <c r="AF60" s="362"/>
      <c r="AG60" s="362"/>
      <c r="AH60" s="363"/>
      <c r="AI60" s="27"/>
      <c r="AJ60" s="27"/>
      <c r="AK60" s="3"/>
      <c r="AL60" s="3"/>
      <c r="AM60" s="3"/>
      <c r="AN60" s="3"/>
      <c r="AO60" s="3"/>
    </row>
    <row r="61" spans="1:41" s="2" customFormat="1" ht="12" customHeight="1" x14ac:dyDescent="0.2">
      <c r="A61" s="182"/>
      <c r="B61" s="618">
        <v>17</v>
      </c>
      <c r="C61" s="533" t="s">
        <v>66</v>
      </c>
      <c r="D61" s="644">
        <f>D62+D63+D64</f>
        <v>0</v>
      </c>
      <c r="E61" s="639">
        <f ca="1">IF(D$87=0,0,100*D61/D$87)</f>
        <v>0</v>
      </c>
      <c r="F61" s="665">
        <f t="shared" ref="F61:R61" si="8">F62+F63+F64</f>
        <v>0</v>
      </c>
      <c r="G61" s="663">
        <f ca="1">IF(F$87=0,0,100*F61/F$87)</f>
        <v>0</v>
      </c>
      <c r="H61" s="665">
        <f t="shared" si="8"/>
        <v>0</v>
      </c>
      <c r="I61" s="663">
        <f ca="1">IF(H$87=0,0,100*H61/H$87)</f>
        <v>0</v>
      </c>
      <c r="J61" s="665">
        <f t="shared" si="8"/>
        <v>0</v>
      </c>
      <c r="K61" s="663">
        <f ca="1">IF(J$87=0,0,100*J61/J$87)</f>
        <v>0</v>
      </c>
      <c r="L61" s="665">
        <f t="shared" si="8"/>
        <v>0</v>
      </c>
      <c r="M61" s="663">
        <f ca="1">IF(L$87=0,0,100*L61/L$87)</f>
        <v>0</v>
      </c>
      <c r="N61" s="665">
        <f t="shared" si="8"/>
        <v>0</v>
      </c>
      <c r="O61" s="663">
        <f ca="1">IF(N$87=0,0,100*N61/N$87)</f>
        <v>0</v>
      </c>
      <c r="P61" s="665">
        <f t="shared" si="8"/>
        <v>0</v>
      </c>
      <c r="Q61" s="663">
        <f ca="1">IF(P$87=0,0,100*P61/P$87)</f>
        <v>0</v>
      </c>
      <c r="R61" s="665">
        <f t="shared" si="8"/>
        <v>0</v>
      </c>
      <c r="S61" s="663">
        <f ca="1">IF(R$87=0,0,100*R61/R$87)</f>
        <v>0</v>
      </c>
      <c r="T61" s="624"/>
      <c r="U61" s="484">
        <f>$F$8</f>
        <v>2016</v>
      </c>
      <c r="V61" s="482">
        <f>$H$8</f>
        <v>2017</v>
      </c>
      <c r="W61" s="482">
        <f>$J$8</f>
        <v>2018</v>
      </c>
      <c r="X61" s="482">
        <f>$L$8</f>
        <v>2019</v>
      </c>
      <c r="Y61" s="482">
        <f>$N$8</f>
        <v>2020</v>
      </c>
      <c r="Z61" s="482">
        <f>$P$8</f>
        <v>2021</v>
      </c>
      <c r="AA61" s="482">
        <f>$R$8</f>
        <v>2022</v>
      </c>
      <c r="AB61" s="362"/>
      <c r="AC61" s="362"/>
      <c r="AD61" s="362"/>
      <c r="AE61" s="362"/>
      <c r="AF61" s="362"/>
      <c r="AG61" s="362"/>
      <c r="AH61" s="363"/>
      <c r="AI61" s="27"/>
      <c r="AJ61" s="27"/>
      <c r="AK61" s="28"/>
      <c r="AL61" s="28"/>
      <c r="AM61" s="28"/>
      <c r="AN61" s="28"/>
      <c r="AO61" s="28"/>
    </row>
    <row r="62" spans="1:41" s="2" customFormat="1" ht="11.25" customHeight="1" x14ac:dyDescent="0.2">
      <c r="A62" s="182"/>
      <c r="B62" s="589"/>
      <c r="C62" s="766" t="s">
        <v>69</v>
      </c>
      <c r="D62" s="680">
        <v>0</v>
      </c>
      <c r="E62" s="681"/>
      <c r="F62" s="682">
        <f>D62+D62*U62</f>
        <v>0</v>
      </c>
      <c r="G62" s="756"/>
      <c r="H62" s="682">
        <f>F62+F62*V62</f>
        <v>0</v>
      </c>
      <c r="I62" s="683"/>
      <c r="J62" s="682">
        <f>H62+H62*W62</f>
        <v>0</v>
      </c>
      <c r="K62" s="683"/>
      <c r="L62" s="682">
        <f>J62+J62*X62</f>
        <v>0</v>
      </c>
      <c r="M62" s="683"/>
      <c r="N62" s="682">
        <f>L62+L62*Y62</f>
        <v>0</v>
      </c>
      <c r="O62" s="683"/>
      <c r="P62" s="682">
        <f>N62+N62*Z62</f>
        <v>0</v>
      </c>
      <c r="Q62" s="683"/>
      <c r="R62" s="682">
        <f>P62+P62*AA62</f>
        <v>0</v>
      </c>
      <c r="S62" s="683"/>
      <c r="T62" s="624"/>
      <c r="U62" s="558">
        <v>0.03</v>
      </c>
      <c r="V62" s="483">
        <f t="shared" ref="V62:AA64" si="9">U62</f>
        <v>0.03</v>
      </c>
      <c r="W62" s="483">
        <f t="shared" si="9"/>
        <v>0.03</v>
      </c>
      <c r="X62" s="483">
        <f t="shared" si="9"/>
        <v>0.03</v>
      </c>
      <c r="Y62" s="483">
        <f t="shared" si="9"/>
        <v>0.03</v>
      </c>
      <c r="Z62" s="483">
        <f t="shared" si="9"/>
        <v>0.03</v>
      </c>
      <c r="AA62" s="483">
        <f t="shared" si="9"/>
        <v>0.03</v>
      </c>
      <c r="AB62" s="362"/>
      <c r="AC62" s="362"/>
      <c r="AD62" s="362"/>
      <c r="AE62" s="362"/>
      <c r="AF62" s="362"/>
      <c r="AG62" s="362"/>
      <c r="AH62" s="363"/>
      <c r="AI62" s="27"/>
      <c r="AJ62" s="27"/>
      <c r="AK62" s="28"/>
      <c r="AL62" s="28"/>
      <c r="AM62" s="28"/>
      <c r="AN62" s="28"/>
      <c r="AO62" s="28"/>
    </row>
    <row r="63" spans="1:41" s="2" customFormat="1" ht="11.25" customHeight="1" x14ac:dyDescent="0.2">
      <c r="A63" s="182"/>
      <c r="B63" s="589"/>
      <c r="C63" s="766" t="s">
        <v>67</v>
      </c>
      <c r="D63" s="680">
        <v>0</v>
      </c>
      <c r="E63" s="681"/>
      <c r="F63" s="682">
        <f>D63+D63*U63</f>
        <v>0</v>
      </c>
      <c r="G63" s="756"/>
      <c r="H63" s="682">
        <f>F63+F63*V63</f>
        <v>0</v>
      </c>
      <c r="I63" s="683"/>
      <c r="J63" s="682">
        <f>H63+H63*W63</f>
        <v>0</v>
      </c>
      <c r="K63" s="683"/>
      <c r="L63" s="682">
        <f>J63+J63*X63</f>
        <v>0</v>
      </c>
      <c r="M63" s="683"/>
      <c r="N63" s="682">
        <f>L63+L63*Y63</f>
        <v>0</v>
      </c>
      <c r="O63" s="683"/>
      <c r="P63" s="682">
        <f>N63+N63*Z63</f>
        <v>0</v>
      </c>
      <c r="Q63" s="683"/>
      <c r="R63" s="682">
        <f>P63+P63*AA63</f>
        <v>0</v>
      </c>
      <c r="S63" s="683"/>
      <c r="T63" s="624"/>
      <c r="U63" s="558">
        <v>0.03</v>
      </c>
      <c r="V63" s="483">
        <f t="shared" si="9"/>
        <v>0.03</v>
      </c>
      <c r="W63" s="483">
        <f t="shared" si="9"/>
        <v>0.03</v>
      </c>
      <c r="X63" s="483">
        <f t="shared" si="9"/>
        <v>0.03</v>
      </c>
      <c r="Y63" s="483">
        <f t="shared" si="9"/>
        <v>0.03</v>
      </c>
      <c r="Z63" s="483">
        <f t="shared" si="9"/>
        <v>0.03</v>
      </c>
      <c r="AA63" s="483">
        <f t="shared" si="9"/>
        <v>0.03</v>
      </c>
      <c r="AB63" s="362"/>
      <c r="AC63" s="362"/>
      <c r="AD63" s="362"/>
      <c r="AE63" s="362"/>
      <c r="AF63" s="362"/>
      <c r="AG63" s="362"/>
      <c r="AH63" s="363"/>
      <c r="AI63" s="27"/>
      <c r="AJ63" s="27"/>
      <c r="AK63" s="28"/>
      <c r="AL63" s="28"/>
      <c r="AM63" s="28"/>
      <c r="AN63" s="28"/>
      <c r="AO63" s="28"/>
    </row>
    <row r="64" spans="1:41" s="2" customFormat="1" ht="11.25" customHeight="1" thickBot="1" x14ac:dyDescent="0.25">
      <c r="B64" s="684"/>
      <c r="C64" s="685" t="s">
        <v>68</v>
      </c>
      <c r="D64" s="767">
        <v>0</v>
      </c>
      <c r="E64" s="687"/>
      <c r="F64" s="682">
        <f>D64+D64*U64</f>
        <v>0</v>
      </c>
      <c r="G64" s="756"/>
      <c r="H64" s="682">
        <f>F64+F64*V64</f>
        <v>0</v>
      </c>
      <c r="I64" s="683"/>
      <c r="J64" s="682">
        <f>H64+H64*W64</f>
        <v>0</v>
      </c>
      <c r="K64" s="683"/>
      <c r="L64" s="682">
        <f>J64+J64*X64</f>
        <v>0</v>
      </c>
      <c r="M64" s="683"/>
      <c r="N64" s="682">
        <f>L64+L64*Y64</f>
        <v>0</v>
      </c>
      <c r="O64" s="683"/>
      <c r="P64" s="682">
        <f>N64+N64*Z64</f>
        <v>0</v>
      </c>
      <c r="Q64" s="683"/>
      <c r="R64" s="682">
        <f>P64+P64*AA64</f>
        <v>0</v>
      </c>
      <c r="S64" s="768"/>
      <c r="T64" s="625"/>
      <c r="U64" s="558">
        <v>0.03</v>
      </c>
      <c r="V64" s="483">
        <f t="shared" si="9"/>
        <v>0.03</v>
      </c>
      <c r="W64" s="483">
        <f t="shared" si="9"/>
        <v>0.03</v>
      </c>
      <c r="X64" s="483">
        <f t="shared" si="9"/>
        <v>0.03</v>
      </c>
      <c r="Y64" s="483">
        <f t="shared" si="9"/>
        <v>0.03</v>
      </c>
      <c r="Z64" s="483">
        <f t="shared" si="9"/>
        <v>0.03</v>
      </c>
      <c r="AA64" s="483">
        <f t="shared" si="9"/>
        <v>0.03</v>
      </c>
      <c r="AB64" s="362"/>
      <c r="AC64" s="362"/>
      <c r="AD64" s="362"/>
      <c r="AE64" s="362"/>
      <c r="AF64" s="362"/>
      <c r="AG64" s="362"/>
      <c r="AH64" s="363"/>
      <c r="AI64" s="27"/>
      <c r="AJ64" s="27"/>
      <c r="AK64" s="28"/>
      <c r="AL64" s="28"/>
      <c r="AM64" s="28"/>
      <c r="AN64" s="28"/>
      <c r="AO64" s="28"/>
    </row>
    <row r="65" spans="1:41" s="2" customFormat="1" ht="12" customHeight="1" x14ac:dyDescent="0.2">
      <c r="B65" s="520">
        <v>18</v>
      </c>
      <c r="C65" s="533" t="s">
        <v>78</v>
      </c>
      <c r="D65" s="666">
        <f>D66*D67</f>
        <v>0</v>
      </c>
      <c r="E65" s="667">
        <f ca="1">IF(D$87=0,0,100*D65/D$87)</f>
        <v>0</v>
      </c>
      <c r="F65" s="608">
        <f>F66*F67</f>
        <v>0</v>
      </c>
      <c r="G65" s="667">
        <f ca="1">IF(F$87=0,0,100*F65/F$87)</f>
        <v>0</v>
      </c>
      <c r="H65" s="608">
        <f>H66*H67</f>
        <v>0</v>
      </c>
      <c r="I65" s="667">
        <f ca="1">IF(H$87=0,0,100*H65/H$87)</f>
        <v>0</v>
      </c>
      <c r="J65" s="608">
        <f>J66*J67</f>
        <v>0</v>
      </c>
      <c r="K65" s="667">
        <f ca="1">IF(J$87=0,0,100*J65/J$87)</f>
        <v>0</v>
      </c>
      <c r="L65" s="608">
        <f>L66*L67</f>
        <v>0</v>
      </c>
      <c r="M65" s="667">
        <f ca="1">IF(L$87=0,0,100*L65/L$87)</f>
        <v>0</v>
      </c>
      <c r="N65" s="608">
        <f>N66*N67</f>
        <v>0</v>
      </c>
      <c r="O65" s="667">
        <f ca="1">IF(N$87=0,0,100*N65/N$87)</f>
        <v>0</v>
      </c>
      <c r="P65" s="608">
        <f>P66*P67</f>
        <v>0</v>
      </c>
      <c r="Q65" s="667">
        <f ca="1">IF(P$87=0,0,100*P65/P$87)</f>
        <v>0</v>
      </c>
      <c r="R65" s="608">
        <f>R66*R67</f>
        <v>0</v>
      </c>
      <c r="S65" s="639">
        <f ca="1">IF(R$87=0,0,100*R65/R$87)</f>
        <v>0</v>
      </c>
      <c r="T65" s="625"/>
      <c r="U65" s="484">
        <f>$F$8</f>
        <v>2016</v>
      </c>
      <c r="V65" s="482">
        <f>$H$8</f>
        <v>2017</v>
      </c>
      <c r="W65" s="482">
        <f>$J$8</f>
        <v>2018</v>
      </c>
      <c r="X65" s="482">
        <f>$L$8</f>
        <v>2019</v>
      </c>
      <c r="Y65" s="482">
        <f>$N$8</f>
        <v>2020</v>
      </c>
      <c r="Z65" s="482">
        <f>$P$8</f>
        <v>2021</v>
      </c>
      <c r="AA65" s="482">
        <f>$R$8</f>
        <v>2022</v>
      </c>
      <c r="AB65" s="362"/>
      <c r="AC65" s="362"/>
      <c r="AD65" s="362"/>
      <c r="AE65" s="362"/>
      <c r="AF65" s="362"/>
      <c r="AG65" s="362"/>
      <c r="AH65" s="363"/>
      <c r="AI65" s="27"/>
      <c r="AJ65" s="27"/>
      <c r="AK65" s="28"/>
      <c r="AL65" s="28"/>
      <c r="AM65" s="28"/>
      <c r="AN65" s="28"/>
      <c r="AO65" s="28"/>
    </row>
    <row r="66" spans="1:41" s="2" customFormat="1" ht="11.25" customHeight="1" x14ac:dyDescent="0.2">
      <c r="A66" s="182"/>
      <c r="B66" s="589"/>
      <c r="C66" s="766" t="s">
        <v>280</v>
      </c>
      <c r="D66" s="680">
        <v>0</v>
      </c>
      <c r="E66" s="755"/>
      <c r="F66" s="682">
        <f>D66+D66*U66</f>
        <v>0</v>
      </c>
      <c r="G66" s="756"/>
      <c r="H66" s="682">
        <f>F66+F66*V66</f>
        <v>0</v>
      </c>
      <c r="I66" s="683"/>
      <c r="J66" s="682">
        <f>H66+H66*W66</f>
        <v>0</v>
      </c>
      <c r="K66" s="683"/>
      <c r="L66" s="682">
        <f>J66+J66*X66</f>
        <v>0</v>
      </c>
      <c r="M66" s="683"/>
      <c r="N66" s="682">
        <f>L66+L66*Y66</f>
        <v>0</v>
      </c>
      <c r="O66" s="683"/>
      <c r="P66" s="682">
        <f>N66+N66*Z66</f>
        <v>0</v>
      </c>
      <c r="Q66" s="683"/>
      <c r="R66" s="682">
        <f>P66+P66*AA66</f>
        <v>0</v>
      </c>
      <c r="S66" s="681"/>
      <c r="T66" s="625"/>
      <c r="U66" s="558">
        <v>0.03</v>
      </c>
      <c r="V66" s="483">
        <f t="shared" ref="V66:AA66" si="10">U66</f>
        <v>0.03</v>
      </c>
      <c r="W66" s="483">
        <f t="shared" si="10"/>
        <v>0.03</v>
      </c>
      <c r="X66" s="483">
        <f t="shared" si="10"/>
        <v>0.03</v>
      </c>
      <c r="Y66" s="483">
        <f t="shared" si="10"/>
        <v>0.03</v>
      </c>
      <c r="Z66" s="483">
        <f t="shared" si="10"/>
        <v>0.03</v>
      </c>
      <c r="AA66" s="483">
        <f t="shared" si="10"/>
        <v>0.03</v>
      </c>
      <c r="AB66" s="362"/>
      <c r="AC66" s="362"/>
      <c r="AD66" s="362"/>
      <c r="AE66" s="362"/>
      <c r="AF66" s="362"/>
      <c r="AG66" s="362"/>
      <c r="AH66" s="363"/>
      <c r="AI66" s="27"/>
      <c r="AJ66" s="27"/>
      <c r="AK66" s="28"/>
      <c r="AL66" s="28"/>
      <c r="AM66" s="28"/>
      <c r="AN66" s="28"/>
      <c r="AO66" s="28"/>
    </row>
    <row r="67" spans="1:41" s="2" customFormat="1" ht="11.25" customHeight="1" thickBot="1" x14ac:dyDescent="0.25">
      <c r="A67" s="182"/>
      <c r="B67" s="769"/>
      <c r="C67" s="770" t="s">
        <v>281</v>
      </c>
      <c r="D67" s="771">
        <v>0.5</v>
      </c>
      <c r="E67" s="755"/>
      <c r="F67" s="771">
        <f>D67</f>
        <v>0.5</v>
      </c>
      <c r="G67" s="755"/>
      <c r="H67" s="771">
        <f>F67</f>
        <v>0.5</v>
      </c>
      <c r="I67" s="755"/>
      <c r="J67" s="771">
        <f>H67</f>
        <v>0.5</v>
      </c>
      <c r="K67" s="755"/>
      <c r="L67" s="771">
        <f>J67</f>
        <v>0.5</v>
      </c>
      <c r="M67" s="755"/>
      <c r="N67" s="771">
        <f>L67</f>
        <v>0.5</v>
      </c>
      <c r="O67" s="755"/>
      <c r="P67" s="771">
        <f>N67</f>
        <v>0.5</v>
      </c>
      <c r="Q67" s="755"/>
      <c r="R67" s="771">
        <f>P67</f>
        <v>0.5</v>
      </c>
      <c r="S67" s="681"/>
      <c r="T67" s="625"/>
      <c r="U67" s="622"/>
      <c r="V67" s="623"/>
      <c r="W67" s="623"/>
      <c r="X67" s="623"/>
      <c r="Y67" s="623"/>
      <c r="Z67" s="623"/>
      <c r="AA67" s="623"/>
      <c r="AB67" s="362"/>
      <c r="AC67" s="362"/>
      <c r="AD67" s="362"/>
      <c r="AE67" s="362"/>
      <c r="AF67" s="362"/>
      <c r="AG67" s="362"/>
      <c r="AH67" s="363"/>
      <c r="AI67" s="27"/>
      <c r="AJ67" s="27"/>
      <c r="AK67" s="28"/>
      <c r="AL67" s="28"/>
      <c r="AM67" s="28"/>
      <c r="AN67" s="28"/>
      <c r="AO67" s="28"/>
    </row>
    <row r="68" spans="1:41" ht="12" customHeight="1" x14ac:dyDescent="0.2">
      <c r="B68" s="520">
        <v>19</v>
      </c>
      <c r="C68" s="521" t="s">
        <v>12</v>
      </c>
      <c r="D68" s="668">
        <f>D69*D70+D71+D72+D73</f>
        <v>0</v>
      </c>
      <c r="E68" s="639">
        <f ca="1">IF(D$87=0,0,100*D68/D$87)</f>
        <v>0</v>
      </c>
      <c r="F68" s="608">
        <f>F69*F70+F71+F72+F73</f>
        <v>0</v>
      </c>
      <c r="G68" s="639">
        <f ca="1">IF(F$87=0,0,100*F68/F$87)</f>
        <v>0</v>
      </c>
      <c r="H68" s="608">
        <f>H69*H70+H71+H72+H73</f>
        <v>0</v>
      </c>
      <c r="I68" s="639">
        <f ca="1">IF(H$87=0,0,100*H68/H$87)</f>
        <v>0</v>
      </c>
      <c r="J68" s="608">
        <f>J69*J70+J71+J72+J73</f>
        <v>0</v>
      </c>
      <c r="K68" s="639">
        <f ca="1">IF(J$87=0,0,100*J68/J$87)</f>
        <v>0</v>
      </c>
      <c r="L68" s="608">
        <f>L69*L70+L71+L72+L73</f>
        <v>0</v>
      </c>
      <c r="M68" s="639">
        <f ca="1">IF(L$87=0,0,100*L68/L$87)</f>
        <v>0</v>
      </c>
      <c r="N68" s="608">
        <f>N69*N70+N71+N72+N73</f>
        <v>0</v>
      </c>
      <c r="O68" s="639">
        <f ca="1">IF(N$87=0,0,100*N68/N$87)</f>
        <v>0</v>
      </c>
      <c r="P68" s="608">
        <f>P69*P70+P71+P72+P73</f>
        <v>0</v>
      </c>
      <c r="Q68" s="639">
        <f ca="1">IF(P$87=0,0,100*P68/P$87)</f>
        <v>0</v>
      </c>
      <c r="R68" s="608">
        <f>R69*R70+R71+R72+R73</f>
        <v>0</v>
      </c>
      <c r="S68" s="639">
        <f ca="1">IF(R$87=0,0,100*R68/R$87)</f>
        <v>0</v>
      </c>
      <c r="T68" s="624"/>
      <c r="U68" s="484">
        <f>$F$8</f>
        <v>2016</v>
      </c>
      <c r="V68" s="482">
        <f>$H$8</f>
        <v>2017</v>
      </c>
      <c r="W68" s="482">
        <f>$J$8</f>
        <v>2018</v>
      </c>
      <c r="X68" s="482">
        <f>$L$8</f>
        <v>2019</v>
      </c>
      <c r="Y68" s="482">
        <f>$N$8</f>
        <v>2020</v>
      </c>
      <c r="Z68" s="482">
        <f>$P$8</f>
        <v>2021</v>
      </c>
      <c r="AA68" s="482">
        <f>$R$8</f>
        <v>2022</v>
      </c>
      <c r="AB68" s="362"/>
      <c r="AC68" s="362"/>
      <c r="AD68" s="364"/>
      <c r="AE68" s="364"/>
      <c r="AF68" s="362" t="s">
        <v>0</v>
      </c>
      <c r="AG68" s="362"/>
      <c r="AH68" s="363"/>
      <c r="AI68" s="27"/>
      <c r="AJ68" s="27"/>
      <c r="AK68" s="3"/>
      <c r="AL68" s="3"/>
      <c r="AM68" s="3"/>
      <c r="AN68" s="3"/>
      <c r="AO68" s="3"/>
    </row>
    <row r="69" spans="1:41" ht="11.25" customHeight="1" x14ac:dyDescent="0.2">
      <c r="A69" s="182"/>
      <c r="B69" s="589"/>
      <c r="C69" s="679" t="s">
        <v>288</v>
      </c>
      <c r="D69" s="680">
        <v>0</v>
      </c>
      <c r="E69" s="755"/>
      <c r="F69" s="682">
        <f t="shared" ref="F69:F76" si="11">D69+D69*U69</f>
        <v>0</v>
      </c>
      <c r="G69" s="756"/>
      <c r="H69" s="682">
        <f t="shared" ref="H69:H76" si="12">F69+F69*V69</f>
        <v>0</v>
      </c>
      <c r="I69" s="683"/>
      <c r="J69" s="682">
        <f t="shared" ref="J69:J76" si="13">H69+H69*W69</f>
        <v>0</v>
      </c>
      <c r="K69" s="683"/>
      <c r="L69" s="682">
        <f t="shared" ref="L69:L76" si="14">J69+J69*X69</f>
        <v>0</v>
      </c>
      <c r="M69" s="683"/>
      <c r="N69" s="682">
        <f t="shared" ref="N69:N76" si="15">L69+L69*Y69</f>
        <v>0</v>
      </c>
      <c r="O69" s="683"/>
      <c r="P69" s="682">
        <f t="shared" ref="P69:P76" si="16">N69+N69*Z69</f>
        <v>0</v>
      </c>
      <c r="Q69" s="683"/>
      <c r="R69" s="682">
        <f t="shared" ref="R69:R76" si="17">P69+P69*AA69</f>
        <v>0</v>
      </c>
      <c r="S69" s="681"/>
      <c r="T69" s="626"/>
      <c r="U69" s="558">
        <v>0.03</v>
      </c>
      <c r="V69" s="483">
        <f t="shared" ref="V69:X76" si="18">U69</f>
        <v>0.03</v>
      </c>
      <c r="W69" s="483">
        <f t="shared" si="18"/>
        <v>0.03</v>
      </c>
      <c r="X69" s="483">
        <f t="shared" si="18"/>
        <v>0.03</v>
      </c>
      <c r="Y69" s="483">
        <f t="shared" ref="Y69:AA76" si="19">X69</f>
        <v>0.03</v>
      </c>
      <c r="Z69" s="483">
        <f t="shared" si="19"/>
        <v>0.03</v>
      </c>
      <c r="AA69" s="483">
        <f t="shared" si="19"/>
        <v>0.03</v>
      </c>
      <c r="AB69" s="362"/>
      <c r="AC69" s="362"/>
      <c r="AD69" s="364"/>
      <c r="AE69" s="364"/>
      <c r="AF69" s="362"/>
      <c r="AG69" s="362"/>
      <c r="AH69" s="363"/>
      <c r="AI69" s="27"/>
      <c r="AJ69" s="27"/>
      <c r="AK69" s="3"/>
      <c r="AL69" s="3"/>
      <c r="AM69" s="3"/>
      <c r="AN69" s="3"/>
      <c r="AO69" s="3"/>
    </row>
    <row r="70" spans="1:41" s="2" customFormat="1" ht="11.25" customHeight="1" x14ac:dyDescent="0.2">
      <c r="A70" s="182"/>
      <c r="B70" s="769"/>
      <c r="C70" s="770" t="s">
        <v>289</v>
      </c>
      <c r="D70" s="771">
        <v>0.5</v>
      </c>
      <c r="E70" s="755"/>
      <c r="F70" s="771">
        <f>D70</f>
        <v>0.5</v>
      </c>
      <c r="G70" s="755"/>
      <c r="H70" s="771">
        <f>F70</f>
        <v>0.5</v>
      </c>
      <c r="I70" s="755"/>
      <c r="J70" s="771">
        <f>H70</f>
        <v>0.5</v>
      </c>
      <c r="K70" s="755"/>
      <c r="L70" s="771">
        <f>J70</f>
        <v>0.5</v>
      </c>
      <c r="M70" s="755"/>
      <c r="N70" s="771">
        <f>L70</f>
        <v>0.5</v>
      </c>
      <c r="O70" s="755"/>
      <c r="P70" s="771">
        <f>N70</f>
        <v>0.5</v>
      </c>
      <c r="Q70" s="755"/>
      <c r="R70" s="771">
        <f>P70</f>
        <v>0.5</v>
      </c>
      <c r="S70" s="681"/>
      <c r="T70" s="625"/>
      <c r="U70" s="551"/>
      <c r="V70" s="552"/>
      <c r="W70" s="552"/>
      <c r="X70" s="552"/>
      <c r="Y70" s="552"/>
      <c r="Z70" s="552"/>
      <c r="AA70" s="552"/>
      <c r="AB70" s="362"/>
      <c r="AC70" s="362"/>
      <c r="AD70" s="362"/>
      <c r="AE70" s="362"/>
      <c r="AF70" s="362"/>
      <c r="AG70" s="362"/>
      <c r="AH70" s="363"/>
      <c r="AI70" s="27"/>
      <c r="AJ70" s="27"/>
      <c r="AK70" s="28"/>
      <c r="AL70" s="28"/>
      <c r="AM70" s="28"/>
      <c r="AN70" s="28"/>
      <c r="AO70" s="28"/>
    </row>
    <row r="71" spans="1:41" ht="11.25" customHeight="1" x14ac:dyDescent="0.2">
      <c r="A71" s="2"/>
      <c r="B71" s="589"/>
      <c r="C71" s="679" t="s">
        <v>14</v>
      </c>
      <c r="D71" s="680">
        <v>0</v>
      </c>
      <c r="E71" s="755"/>
      <c r="F71" s="682">
        <f t="shared" si="11"/>
        <v>0</v>
      </c>
      <c r="G71" s="756"/>
      <c r="H71" s="682">
        <f t="shared" si="12"/>
        <v>0</v>
      </c>
      <c r="I71" s="683"/>
      <c r="J71" s="682">
        <f t="shared" si="13"/>
        <v>0</v>
      </c>
      <c r="K71" s="683"/>
      <c r="L71" s="682">
        <f t="shared" si="14"/>
        <v>0</v>
      </c>
      <c r="M71" s="683"/>
      <c r="N71" s="682">
        <f t="shared" si="15"/>
        <v>0</v>
      </c>
      <c r="O71" s="683"/>
      <c r="P71" s="682">
        <f t="shared" si="16"/>
        <v>0</v>
      </c>
      <c r="Q71" s="683"/>
      <c r="R71" s="682">
        <f t="shared" si="17"/>
        <v>0</v>
      </c>
      <c r="S71" s="681"/>
      <c r="T71" s="626"/>
      <c r="U71" s="558">
        <v>0.03</v>
      </c>
      <c r="V71" s="483">
        <f t="shared" si="18"/>
        <v>0.03</v>
      </c>
      <c r="W71" s="483">
        <f t="shared" si="18"/>
        <v>0.03</v>
      </c>
      <c r="X71" s="483">
        <f t="shared" si="18"/>
        <v>0.03</v>
      </c>
      <c r="Y71" s="483">
        <f t="shared" si="19"/>
        <v>0.03</v>
      </c>
      <c r="Z71" s="483">
        <f t="shared" si="19"/>
        <v>0.03</v>
      </c>
      <c r="AA71" s="483">
        <f t="shared" si="19"/>
        <v>0.03</v>
      </c>
      <c r="AB71" s="362"/>
      <c r="AC71" s="362"/>
      <c r="AD71" s="364"/>
      <c r="AE71" s="364"/>
      <c r="AF71" s="362"/>
      <c r="AG71" s="362"/>
      <c r="AH71" s="363"/>
      <c r="AI71" s="27"/>
      <c r="AJ71" s="27"/>
      <c r="AK71" s="3"/>
      <c r="AL71" s="3"/>
      <c r="AM71" s="3"/>
      <c r="AN71" s="3"/>
      <c r="AO71" s="3"/>
    </row>
    <row r="72" spans="1:41" ht="11.25" customHeight="1" x14ac:dyDescent="0.2">
      <c r="A72" s="2"/>
      <c r="B72" s="589"/>
      <c r="C72" s="679" t="s">
        <v>10</v>
      </c>
      <c r="D72" s="680">
        <v>0</v>
      </c>
      <c r="E72" s="755"/>
      <c r="F72" s="682">
        <f t="shared" si="11"/>
        <v>0</v>
      </c>
      <c r="G72" s="756"/>
      <c r="H72" s="682">
        <f t="shared" si="12"/>
        <v>0</v>
      </c>
      <c r="I72" s="683"/>
      <c r="J72" s="682">
        <f t="shared" si="13"/>
        <v>0</v>
      </c>
      <c r="K72" s="683"/>
      <c r="L72" s="682">
        <f t="shared" si="14"/>
        <v>0</v>
      </c>
      <c r="M72" s="683"/>
      <c r="N72" s="682">
        <f t="shared" si="15"/>
        <v>0</v>
      </c>
      <c r="O72" s="683"/>
      <c r="P72" s="682">
        <f t="shared" si="16"/>
        <v>0</v>
      </c>
      <c r="Q72" s="683"/>
      <c r="R72" s="682">
        <f t="shared" si="17"/>
        <v>0</v>
      </c>
      <c r="S72" s="681"/>
      <c r="T72" s="626"/>
      <c r="U72" s="558">
        <v>0.03</v>
      </c>
      <c r="V72" s="483">
        <f t="shared" si="18"/>
        <v>0.03</v>
      </c>
      <c r="W72" s="483">
        <f t="shared" si="18"/>
        <v>0.03</v>
      </c>
      <c r="X72" s="483">
        <f t="shared" si="18"/>
        <v>0.03</v>
      </c>
      <c r="Y72" s="483">
        <f t="shared" si="19"/>
        <v>0.03</v>
      </c>
      <c r="Z72" s="483">
        <f t="shared" si="19"/>
        <v>0.03</v>
      </c>
      <c r="AA72" s="483">
        <f t="shared" si="19"/>
        <v>0.03</v>
      </c>
      <c r="AB72" s="362"/>
      <c r="AC72" s="362"/>
      <c r="AD72" s="364"/>
      <c r="AE72" s="364"/>
      <c r="AF72" s="362"/>
      <c r="AG72" s="362"/>
      <c r="AH72" s="363"/>
      <c r="AI72" s="27"/>
      <c r="AJ72" s="27"/>
      <c r="AK72" s="3"/>
      <c r="AL72" s="3"/>
      <c r="AM72" s="3"/>
      <c r="AN72" s="3"/>
      <c r="AO72" s="3"/>
    </row>
    <row r="73" spans="1:41" ht="11.25" customHeight="1" thickBot="1" x14ac:dyDescent="0.25">
      <c r="A73" s="182"/>
      <c r="B73" s="684"/>
      <c r="C73" s="685" t="s">
        <v>64</v>
      </c>
      <c r="D73" s="767">
        <v>0</v>
      </c>
      <c r="E73" s="772"/>
      <c r="F73" s="699">
        <f t="shared" si="11"/>
        <v>0</v>
      </c>
      <c r="G73" s="773"/>
      <c r="H73" s="699">
        <f t="shared" si="12"/>
        <v>0</v>
      </c>
      <c r="I73" s="700"/>
      <c r="J73" s="699">
        <f t="shared" si="13"/>
        <v>0</v>
      </c>
      <c r="K73" s="700"/>
      <c r="L73" s="699">
        <f t="shared" si="14"/>
        <v>0</v>
      </c>
      <c r="M73" s="700"/>
      <c r="N73" s="699">
        <f t="shared" si="15"/>
        <v>0</v>
      </c>
      <c r="O73" s="700"/>
      <c r="P73" s="699">
        <f t="shared" si="16"/>
        <v>0</v>
      </c>
      <c r="Q73" s="700"/>
      <c r="R73" s="699">
        <f t="shared" si="17"/>
        <v>0</v>
      </c>
      <c r="S73" s="690"/>
      <c r="T73" s="626"/>
      <c r="U73" s="558">
        <v>0.03</v>
      </c>
      <c r="V73" s="483">
        <f t="shared" si="18"/>
        <v>0.03</v>
      </c>
      <c r="W73" s="483">
        <f t="shared" si="18"/>
        <v>0.03</v>
      </c>
      <c r="X73" s="483">
        <f t="shared" si="18"/>
        <v>0.03</v>
      </c>
      <c r="Y73" s="483">
        <f t="shared" si="19"/>
        <v>0.03</v>
      </c>
      <c r="Z73" s="483">
        <f t="shared" si="19"/>
        <v>0.03</v>
      </c>
      <c r="AA73" s="483">
        <f t="shared" si="19"/>
        <v>0.03</v>
      </c>
      <c r="AB73" s="362"/>
      <c r="AC73" s="362"/>
      <c r="AD73" s="364"/>
      <c r="AE73" s="364"/>
      <c r="AF73" s="362"/>
      <c r="AG73" s="362"/>
      <c r="AH73" s="363"/>
      <c r="AI73" s="27"/>
      <c r="AJ73" s="27"/>
      <c r="AK73" s="3"/>
      <c r="AL73" s="3"/>
      <c r="AM73" s="3"/>
      <c r="AN73" s="3"/>
      <c r="AO73" s="3"/>
    </row>
    <row r="74" spans="1:41" ht="12" customHeight="1" thickBot="1" x14ac:dyDescent="0.25">
      <c r="B74" s="520">
        <v>20</v>
      </c>
      <c r="C74" s="521" t="s">
        <v>11</v>
      </c>
      <c r="D74" s="638">
        <v>0</v>
      </c>
      <c r="E74" s="639">
        <f ca="1">IF(D$87=0,0,100*D74/D$87)</f>
        <v>0</v>
      </c>
      <c r="F74" s="641">
        <f t="shared" si="11"/>
        <v>0</v>
      </c>
      <c r="G74" s="642">
        <f ca="1">IF(F$87=0,0,100*F74/F$87)</f>
        <v>0</v>
      </c>
      <c r="H74" s="641">
        <f t="shared" si="12"/>
        <v>0</v>
      </c>
      <c r="I74" s="642">
        <f ca="1">IF(H$87=0,0,100*H74/H$87)</f>
        <v>0</v>
      </c>
      <c r="J74" s="641">
        <f t="shared" si="13"/>
        <v>0</v>
      </c>
      <c r="K74" s="642">
        <f ca="1">IF(J$87=0,0,100*J74/J$87)</f>
        <v>0</v>
      </c>
      <c r="L74" s="641">
        <f t="shared" si="14"/>
        <v>0</v>
      </c>
      <c r="M74" s="642">
        <f ca="1">IF(L$87=0,0,100*L74/L$87)</f>
        <v>0</v>
      </c>
      <c r="N74" s="641">
        <f t="shared" si="15"/>
        <v>0</v>
      </c>
      <c r="O74" s="642">
        <f ca="1">IF(N$87=0,0,100*N74/N$87)</f>
        <v>0</v>
      </c>
      <c r="P74" s="641">
        <f t="shared" si="16"/>
        <v>0</v>
      </c>
      <c r="Q74" s="642">
        <f ca="1">IF(P$87=0,0,100*P74/P$87)</f>
        <v>0</v>
      </c>
      <c r="R74" s="641">
        <f t="shared" si="17"/>
        <v>0</v>
      </c>
      <c r="S74" s="659">
        <f ca="1">IF(R$87=0,0,100*R74/R$87)</f>
        <v>0</v>
      </c>
      <c r="T74" s="624"/>
      <c r="U74" s="558">
        <v>0.03</v>
      </c>
      <c r="V74" s="483">
        <f t="shared" si="18"/>
        <v>0.03</v>
      </c>
      <c r="W74" s="483">
        <f t="shared" si="18"/>
        <v>0.03</v>
      </c>
      <c r="X74" s="483">
        <f t="shared" si="18"/>
        <v>0.03</v>
      </c>
      <c r="Y74" s="483">
        <f t="shared" si="19"/>
        <v>0.03</v>
      </c>
      <c r="Z74" s="483">
        <f t="shared" si="19"/>
        <v>0.03</v>
      </c>
      <c r="AA74" s="483">
        <f t="shared" si="19"/>
        <v>0.03</v>
      </c>
      <c r="AB74" s="362"/>
      <c r="AC74" s="362"/>
      <c r="AD74" s="364"/>
      <c r="AE74" s="364"/>
      <c r="AF74" s="362"/>
      <c r="AG74" s="362"/>
      <c r="AH74" s="363"/>
      <c r="AI74" s="27"/>
      <c r="AJ74" s="27"/>
      <c r="AK74" s="3"/>
      <c r="AL74" s="3"/>
      <c r="AM74" s="3"/>
      <c r="AN74" s="3"/>
      <c r="AO74" s="3"/>
    </row>
    <row r="75" spans="1:41" ht="12" customHeight="1" thickBot="1" x14ac:dyDescent="0.25">
      <c r="A75" s="182"/>
      <c r="B75" s="534">
        <v>21</v>
      </c>
      <c r="C75" s="535" t="s">
        <v>5</v>
      </c>
      <c r="D75" s="641">
        <v>0</v>
      </c>
      <c r="E75" s="639">
        <f ca="1">IF(D$87=0,0,100*D75/D$87)</f>
        <v>0</v>
      </c>
      <c r="F75" s="641">
        <f t="shared" si="11"/>
        <v>0</v>
      </c>
      <c r="G75" s="642">
        <f ca="1">IF(F$87=0,0,100*F75/F$87)</f>
        <v>0</v>
      </c>
      <c r="H75" s="641">
        <f t="shared" si="12"/>
        <v>0</v>
      </c>
      <c r="I75" s="642">
        <f ca="1">IF(H$87=0,0,100*H75/H$87)</f>
        <v>0</v>
      </c>
      <c r="J75" s="641">
        <f t="shared" si="13"/>
        <v>0</v>
      </c>
      <c r="K75" s="642">
        <f ca="1">IF(J$87=0,0,100*J75/J$87)</f>
        <v>0</v>
      </c>
      <c r="L75" s="641">
        <f t="shared" si="14"/>
        <v>0</v>
      </c>
      <c r="M75" s="642">
        <f ca="1">IF(L$87=0,0,100*L75/L$87)</f>
        <v>0</v>
      </c>
      <c r="N75" s="641">
        <f t="shared" si="15"/>
        <v>0</v>
      </c>
      <c r="O75" s="642">
        <f ca="1">IF(N$87=0,0,100*N75/N$87)</f>
        <v>0</v>
      </c>
      <c r="P75" s="641">
        <f t="shared" si="16"/>
        <v>0</v>
      </c>
      <c r="Q75" s="642">
        <f ca="1">IF(P$87=0,0,100*P75/P$87)</f>
        <v>0</v>
      </c>
      <c r="R75" s="641">
        <f t="shared" si="17"/>
        <v>0</v>
      </c>
      <c r="S75" s="659">
        <f ca="1">IF(R$87=0,0,100*R75/R$87)</f>
        <v>0</v>
      </c>
      <c r="T75" s="627"/>
      <c r="U75" s="558">
        <v>0.03</v>
      </c>
      <c r="V75" s="483">
        <f t="shared" si="18"/>
        <v>0.03</v>
      </c>
      <c r="W75" s="483">
        <f t="shared" si="18"/>
        <v>0.03</v>
      </c>
      <c r="X75" s="483">
        <f t="shared" si="18"/>
        <v>0.03</v>
      </c>
      <c r="Y75" s="483">
        <f t="shared" si="19"/>
        <v>0.03</v>
      </c>
      <c r="Z75" s="483">
        <f t="shared" si="19"/>
        <v>0.03</v>
      </c>
      <c r="AA75" s="483">
        <f t="shared" si="19"/>
        <v>0.03</v>
      </c>
      <c r="AB75" s="362"/>
      <c r="AC75" s="362"/>
      <c r="AD75" s="362"/>
      <c r="AE75" s="362"/>
      <c r="AF75" s="362"/>
      <c r="AG75" s="362"/>
      <c r="AH75" s="363"/>
      <c r="AI75" s="27"/>
      <c r="AJ75" s="27"/>
      <c r="AK75" s="3"/>
      <c r="AL75" s="3"/>
      <c r="AM75" s="3"/>
      <c r="AN75" s="3"/>
      <c r="AO75" s="3"/>
    </row>
    <row r="76" spans="1:41" ht="12" customHeight="1" thickBot="1" x14ac:dyDescent="0.25">
      <c r="A76" s="2"/>
      <c r="B76" s="534">
        <v>22</v>
      </c>
      <c r="C76" s="535" t="s">
        <v>6</v>
      </c>
      <c r="D76" s="641">
        <v>0</v>
      </c>
      <c r="E76" s="639">
        <f ca="1">IF(D$87=0,0,100*D76/D$87)</f>
        <v>0</v>
      </c>
      <c r="F76" s="641">
        <f t="shared" si="11"/>
        <v>0</v>
      </c>
      <c r="G76" s="642">
        <f ca="1">IF(F$87=0,0,100*F76/F$87)</f>
        <v>0</v>
      </c>
      <c r="H76" s="641">
        <f t="shared" si="12"/>
        <v>0</v>
      </c>
      <c r="I76" s="642">
        <f ca="1">IF(H$87=0,0,100*H76/H$87)</f>
        <v>0</v>
      </c>
      <c r="J76" s="641">
        <f t="shared" si="13"/>
        <v>0</v>
      </c>
      <c r="K76" s="642">
        <f ca="1">IF(J$87=0,0,100*J76/J$87)</f>
        <v>0</v>
      </c>
      <c r="L76" s="641">
        <f t="shared" si="14"/>
        <v>0</v>
      </c>
      <c r="M76" s="642">
        <f ca="1">IF(L$87=0,0,100*L76/L$87)</f>
        <v>0</v>
      </c>
      <c r="N76" s="641">
        <f t="shared" si="15"/>
        <v>0</v>
      </c>
      <c r="O76" s="642">
        <f ca="1">IF(N$87=0,0,100*N76/N$87)</f>
        <v>0</v>
      </c>
      <c r="P76" s="641">
        <f t="shared" si="16"/>
        <v>0</v>
      </c>
      <c r="Q76" s="642">
        <f ca="1">IF(P$87=0,0,100*P76/P$87)</f>
        <v>0</v>
      </c>
      <c r="R76" s="641">
        <f t="shared" si="17"/>
        <v>0</v>
      </c>
      <c r="S76" s="659">
        <f ca="1">IF(R$87=0,0,100*R76/R$87)</f>
        <v>0</v>
      </c>
      <c r="T76" s="627"/>
      <c r="U76" s="558">
        <v>0.03</v>
      </c>
      <c r="V76" s="483">
        <f t="shared" si="18"/>
        <v>0.03</v>
      </c>
      <c r="W76" s="483">
        <f t="shared" si="18"/>
        <v>0.03</v>
      </c>
      <c r="X76" s="483">
        <f t="shared" si="18"/>
        <v>0.03</v>
      </c>
      <c r="Y76" s="483">
        <f t="shared" si="19"/>
        <v>0.03</v>
      </c>
      <c r="Z76" s="483">
        <f t="shared" si="19"/>
        <v>0.03</v>
      </c>
      <c r="AA76" s="483">
        <f t="shared" si="19"/>
        <v>0.03</v>
      </c>
      <c r="AB76" s="362"/>
      <c r="AC76" s="362"/>
      <c r="AD76" s="362"/>
      <c r="AE76" s="362"/>
      <c r="AF76" s="362"/>
      <c r="AG76" s="362"/>
      <c r="AH76" s="363"/>
      <c r="AI76" s="27"/>
      <c r="AJ76" s="27"/>
      <c r="AK76" s="3"/>
      <c r="AL76" s="3"/>
      <c r="AM76" s="3"/>
      <c r="AN76" s="3"/>
      <c r="AO76" s="3"/>
    </row>
    <row r="77" spans="1:41" ht="12" customHeight="1" x14ac:dyDescent="0.2">
      <c r="B77" s="536">
        <v>23</v>
      </c>
      <c r="C77" s="521" t="s">
        <v>7</v>
      </c>
      <c r="D77" s="608">
        <f>SUM(D78:D86)</f>
        <v>0</v>
      </c>
      <c r="E77" s="639">
        <f ca="1">IF(D$87=0,0,100*D77/D$87)</f>
        <v>0</v>
      </c>
      <c r="F77" s="662">
        <f>SUM(F78:F86)</f>
        <v>0</v>
      </c>
      <c r="G77" s="663">
        <f ca="1">IF(F$87=0,0,100*F77/F$87)</f>
        <v>0</v>
      </c>
      <c r="H77" s="662">
        <f>SUM(H78:H86)</f>
        <v>0</v>
      </c>
      <c r="I77" s="663">
        <f ca="1">IF(H$87=0,0,100*H77/H$87)</f>
        <v>0</v>
      </c>
      <c r="J77" s="662">
        <f>SUM(J78:J86)</f>
        <v>0</v>
      </c>
      <c r="K77" s="663">
        <f ca="1">IF(J$87=0,0,100*J77/J$87)</f>
        <v>0</v>
      </c>
      <c r="L77" s="662">
        <f>SUM(L78:L86)</f>
        <v>0</v>
      </c>
      <c r="M77" s="663">
        <f ca="1">IF(L$87=0,0,100*L77/L$87)</f>
        <v>0</v>
      </c>
      <c r="N77" s="662">
        <f>SUM(N78:N86)</f>
        <v>0</v>
      </c>
      <c r="O77" s="663">
        <f ca="1">IF(N$87=0,0,100*N77/N$87)</f>
        <v>0</v>
      </c>
      <c r="P77" s="662">
        <f>SUM(P78:P86)</f>
        <v>0</v>
      </c>
      <c r="Q77" s="663">
        <f ca="1">IF(P$87=0,0,100*P77/P$87)</f>
        <v>0</v>
      </c>
      <c r="R77" s="662">
        <f>SUM(R78:R86)</f>
        <v>0</v>
      </c>
      <c r="S77" s="639">
        <f ca="1">IF(R$87=0,0,100*R77/R$87)</f>
        <v>0</v>
      </c>
      <c r="T77" s="624"/>
      <c r="U77" s="361"/>
      <c r="V77" s="362"/>
      <c r="W77" s="362"/>
      <c r="X77" s="362"/>
      <c r="Y77" s="362"/>
      <c r="Z77" s="362"/>
      <c r="AA77" s="362"/>
      <c r="AB77" s="362"/>
      <c r="AC77" s="362"/>
      <c r="AD77" s="362"/>
      <c r="AE77" s="362"/>
      <c r="AF77" s="362"/>
      <c r="AG77" s="362"/>
      <c r="AH77" s="363"/>
      <c r="AI77" s="27"/>
      <c r="AJ77" s="27"/>
      <c r="AK77" s="3"/>
      <c r="AL77" s="3"/>
      <c r="AM77" s="3"/>
      <c r="AN77" s="3"/>
      <c r="AO77" s="3"/>
    </row>
    <row r="78" spans="1:41" ht="11.25" customHeight="1" x14ac:dyDescent="0.2">
      <c r="A78" s="182"/>
      <c r="B78" s="432"/>
      <c r="C78" s="430" t="s">
        <v>79</v>
      </c>
      <c r="D78" s="433">
        <v>0</v>
      </c>
      <c r="E78" s="584"/>
      <c r="F78" s="433">
        <f>D78</f>
        <v>0</v>
      </c>
      <c r="G78" s="590"/>
      <c r="H78" s="433">
        <f>F78</f>
        <v>0</v>
      </c>
      <c r="I78" s="590"/>
      <c r="J78" s="433">
        <f>H78</f>
        <v>0</v>
      </c>
      <c r="K78" s="590"/>
      <c r="L78" s="433">
        <f>J78</f>
        <v>0</v>
      </c>
      <c r="M78" s="590"/>
      <c r="N78" s="433">
        <f>L78</f>
        <v>0</v>
      </c>
      <c r="O78" s="590"/>
      <c r="P78" s="433">
        <f>N78</f>
        <v>0</v>
      </c>
      <c r="Q78" s="590"/>
      <c r="R78" s="433">
        <f>P78</f>
        <v>0</v>
      </c>
      <c r="S78" s="584"/>
      <c r="T78" s="625"/>
      <c r="U78" s="361"/>
      <c r="V78" s="362"/>
      <c r="W78" s="362"/>
      <c r="X78" s="362"/>
      <c r="Y78" s="362"/>
      <c r="Z78" s="362"/>
      <c r="AA78" s="362"/>
      <c r="AB78" s="362"/>
      <c r="AC78" s="362"/>
      <c r="AD78" s="362"/>
      <c r="AE78" s="362"/>
      <c r="AF78" s="362" t="s">
        <v>0</v>
      </c>
      <c r="AG78" s="362"/>
      <c r="AH78" s="363"/>
      <c r="AI78" s="27"/>
      <c r="AJ78" s="27"/>
      <c r="AK78" s="3"/>
      <c r="AL78" s="3"/>
      <c r="AM78" s="3"/>
      <c r="AN78" s="3"/>
      <c r="AO78" s="3"/>
    </row>
    <row r="79" spans="1:41" ht="11.25" customHeight="1" x14ac:dyDescent="0.2">
      <c r="B79" s="432"/>
      <c r="C79" s="430" t="s">
        <v>80</v>
      </c>
      <c r="D79" s="433">
        <v>0</v>
      </c>
      <c r="E79" s="584"/>
      <c r="F79" s="433">
        <f t="shared" ref="F79:R85" si="20">D79</f>
        <v>0</v>
      </c>
      <c r="G79" s="590"/>
      <c r="H79" s="433">
        <f t="shared" si="20"/>
        <v>0</v>
      </c>
      <c r="I79" s="590"/>
      <c r="J79" s="433">
        <f t="shared" si="20"/>
        <v>0</v>
      </c>
      <c r="K79" s="590"/>
      <c r="L79" s="433">
        <f t="shared" si="20"/>
        <v>0</v>
      </c>
      <c r="M79" s="590"/>
      <c r="N79" s="433">
        <f t="shared" si="20"/>
        <v>0</v>
      </c>
      <c r="O79" s="590"/>
      <c r="P79" s="433">
        <f t="shared" si="20"/>
        <v>0</v>
      </c>
      <c r="Q79" s="590"/>
      <c r="R79" s="433">
        <f t="shared" si="20"/>
        <v>0</v>
      </c>
      <c r="S79" s="584"/>
      <c r="T79" s="625"/>
      <c r="U79" s="361"/>
      <c r="V79" s="362"/>
      <c r="W79" s="362"/>
      <c r="X79" s="362"/>
      <c r="Y79" s="362"/>
      <c r="Z79" s="362"/>
      <c r="AA79" s="362"/>
      <c r="AB79" s="362"/>
      <c r="AC79" s="362"/>
      <c r="AD79" s="362"/>
      <c r="AE79" s="362"/>
      <c r="AF79" s="362"/>
      <c r="AG79" s="362"/>
      <c r="AH79" s="363"/>
      <c r="AI79" s="27"/>
      <c r="AJ79" s="27"/>
      <c r="AK79" s="3"/>
      <c r="AL79" s="3"/>
      <c r="AM79" s="3"/>
      <c r="AN79" s="3"/>
      <c r="AO79" s="3"/>
    </row>
    <row r="80" spans="1:41" ht="11.25" customHeight="1" x14ac:dyDescent="0.2">
      <c r="A80" s="182"/>
      <c r="B80" s="432"/>
      <c r="C80" s="434" t="s">
        <v>0</v>
      </c>
      <c r="D80" s="433">
        <v>0</v>
      </c>
      <c r="E80" s="584"/>
      <c r="F80" s="433">
        <f t="shared" si="20"/>
        <v>0</v>
      </c>
      <c r="G80" s="590"/>
      <c r="H80" s="433">
        <f t="shared" si="20"/>
        <v>0</v>
      </c>
      <c r="I80" s="590"/>
      <c r="J80" s="433">
        <f t="shared" si="20"/>
        <v>0</v>
      </c>
      <c r="K80" s="590"/>
      <c r="L80" s="433">
        <f t="shared" si="20"/>
        <v>0</v>
      </c>
      <c r="M80" s="590"/>
      <c r="N80" s="433">
        <f t="shared" si="20"/>
        <v>0</v>
      </c>
      <c r="O80" s="590"/>
      <c r="P80" s="433">
        <f t="shared" si="20"/>
        <v>0</v>
      </c>
      <c r="Q80" s="590"/>
      <c r="R80" s="433">
        <f t="shared" si="20"/>
        <v>0</v>
      </c>
      <c r="S80" s="584"/>
      <c r="T80" s="625"/>
      <c r="U80" s="361"/>
      <c r="V80" s="362"/>
      <c r="W80" s="362"/>
      <c r="X80" s="362"/>
      <c r="Y80" s="362"/>
      <c r="Z80" s="362"/>
      <c r="AA80" s="362"/>
      <c r="AB80" s="362"/>
      <c r="AC80" s="362"/>
      <c r="AD80" s="362"/>
      <c r="AE80" s="362"/>
      <c r="AF80" s="362"/>
      <c r="AG80" s="362"/>
      <c r="AH80" s="363"/>
      <c r="AI80" s="27"/>
      <c r="AJ80" s="27"/>
      <c r="AK80" s="3"/>
      <c r="AL80" s="3"/>
      <c r="AM80" s="3"/>
      <c r="AN80" s="3"/>
      <c r="AO80" s="3"/>
    </row>
    <row r="81" spans="1:41" ht="11.25" customHeight="1" x14ac:dyDescent="0.2">
      <c r="B81" s="432"/>
      <c r="C81" s="434"/>
      <c r="D81" s="433"/>
      <c r="E81" s="584"/>
      <c r="F81" s="433">
        <f t="shared" si="20"/>
        <v>0</v>
      </c>
      <c r="G81" s="590"/>
      <c r="H81" s="433">
        <f t="shared" si="20"/>
        <v>0</v>
      </c>
      <c r="I81" s="590"/>
      <c r="J81" s="433">
        <f t="shared" si="20"/>
        <v>0</v>
      </c>
      <c r="K81" s="590"/>
      <c r="L81" s="433">
        <f t="shared" si="20"/>
        <v>0</v>
      </c>
      <c r="M81" s="590"/>
      <c r="N81" s="433">
        <f t="shared" si="20"/>
        <v>0</v>
      </c>
      <c r="O81" s="590"/>
      <c r="P81" s="433">
        <f t="shared" si="20"/>
        <v>0</v>
      </c>
      <c r="Q81" s="590"/>
      <c r="R81" s="433">
        <f t="shared" si="20"/>
        <v>0</v>
      </c>
      <c r="S81" s="584"/>
      <c r="T81" s="625"/>
      <c r="U81" s="361"/>
      <c r="V81" s="362"/>
      <c r="W81" s="362"/>
      <c r="X81" s="362"/>
      <c r="Y81" s="362"/>
      <c r="Z81" s="362"/>
      <c r="AA81" s="362"/>
      <c r="AB81" s="362"/>
      <c r="AC81" s="362"/>
      <c r="AD81" s="362"/>
      <c r="AE81" s="362"/>
      <c r="AF81" s="362"/>
      <c r="AG81" s="362"/>
      <c r="AH81" s="363"/>
      <c r="AI81" s="27"/>
      <c r="AJ81" s="27"/>
      <c r="AK81" s="3"/>
      <c r="AL81" s="3"/>
      <c r="AM81" s="3"/>
      <c r="AN81" s="3"/>
      <c r="AO81" s="3"/>
    </row>
    <row r="82" spans="1:41" ht="11.25" customHeight="1" x14ac:dyDescent="0.2">
      <c r="B82" s="432"/>
      <c r="C82" s="434"/>
      <c r="D82" s="433"/>
      <c r="E82" s="584"/>
      <c r="F82" s="433">
        <f t="shared" si="20"/>
        <v>0</v>
      </c>
      <c r="G82" s="590"/>
      <c r="H82" s="433">
        <f t="shared" si="20"/>
        <v>0</v>
      </c>
      <c r="I82" s="590"/>
      <c r="J82" s="433">
        <f t="shared" si="20"/>
        <v>0</v>
      </c>
      <c r="K82" s="590"/>
      <c r="L82" s="433">
        <f t="shared" si="20"/>
        <v>0</v>
      </c>
      <c r="M82" s="590"/>
      <c r="N82" s="433">
        <f t="shared" si="20"/>
        <v>0</v>
      </c>
      <c r="O82" s="590"/>
      <c r="P82" s="433">
        <f t="shared" si="20"/>
        <v>0</v>
      </c>
      <c r="Q82" s="590"/>
      <c r="R82" s="433">
        <f t="shared" si="20"/>
        <v>0</v>
      </c>
      <c r="S82" s="584"/>
      <c r="T82" s="625"/>
      <c r="U82" s="361"/>
      <c r="V82" s="362"/>
      <c r="W82" s="362"/>
      <c r="X82" s="362"/>
      <c r="Y82" s="362"/>
      <c r="Z82" s="362"/>
      <c r="AA82" s="362"/>
      <c r="AB82" s="362"/>
      <c r="AC82" s="362"/>
      <c r="AD82" s="362"/>
      <c r="AE82" s="362"/>
      <c r="AF82" s="362"/>
      <c r="AG82" s="362"/>
      <c r="AH82" s="363"/>
      <c r="AI82" s="27"/>
      <c r="AJ82" s="27"/>
      <c r="AK82" s="3"/>
      <c r="AL82" s="3"/>
      <c r="AM82" s="3"/>
      <c r="AN82" s="3"/>
      <c r="AO82" s="3"/>
    </row>
    <row r="83" spans="1:41" ht="11.25" customHeight="1" x14ac:dyDescent="0.2">
      <c r="A83" s="157"/>
      <c r="B83" s="432"/>
      <c r="C83" s="434"/>
      <c r="D83" s="433">
        <v>0</v>
      </c>
      <c r="E83" s="584"/>
      <c r="F83" s="433">
        <f t="shared" si="20"/>
        <v>0</v>
      </c>
      <c r="G83" s="590"/>
      <c r="H83" s="433">
        <f t="shared" si="20"/>
        <v>0</v>
      </c>
      <c r="I83" s="590"/>
      <c r="J83" s="433">
        <f t="shared" si="20"/>
        <v>0</v>
      </c>
      <c r="K83" s="590"/>
      <c r="L83" s="433">
        <f t="shared" si="20"/>
        <v>0</v>
      </c>
      <c r="M83" s="590"/>
      <c r="N83" s="433">
        <f t="shared" si="20"/>
        <v>0</v>
      </c>
      <c r="O83" s="590"/>
      <c r="P83" s="433">
        <f t="shared" si="20"/>
        <v>0</v>
      </c>
      <c r="Q83" s="590"/>
      <c r="R83" s="433">
        <f t="shared" si="20"/>
        <v>0</v>
      </c>
      <c r="S83" s="584"/>
      <c r="T83" s="625"/>
      <c r="U83" s="361"/>
      <c r="V83" s="362"/>
      <c r="W83" s="362"/>
      <c r="X83" s="362"/>
      <c r="Y83" s="362"/>
      <c r="Z83" s="362"/>
      <c r="AA83" s="362"/>
      <c r="AB83" s="362"/>
      <c r="AC83" s="362"/>
      <c r="AD83" s="362"/>
      <c r="AE83" s="362"/>
      <c r="AF83" s="362"/>
      <c r="AG83" s="362"/>
      <c r="AH83" s="363"/>
      <c r="AI83" s="27"/>
      <c r="AJ83" s="27"/>
      <c r="AK83" s="3"/>
      <c r="AL83" s="3"/>
      <c r="AM83" s="3"/>
      <c r="AN83" s="3"/>
      <c r="AO83" s="3"/>
    </row>
    <row r="84" spans="1:41" ht="11.25" customHeight="1" x14ac:dyDescent="0.2">
      <c r="A84" s="157"/>
      <c r="B84" s="432"/>
      <c r="C84" s="434"/>
      <c r="D84" s="433"/>
      <c r="E84" s="584"/>
      <c r="F84" s="433">
        <f t="shared" si="20"/>
        <v>0</v>
      </c>
      <c r="G84" s="590"/>
      <c r="H84" s="433">
        <f t="shared" si="20"/>
        <v>0</v>
      </c>
      <c r="I84" s="590"/>
      <c r="J84" s="433">
        <f t="shared" si="20"/>
        <v>0</v>
      </c>
      <c r="K84" s="590"/>
      <c r="L84" s="433">
        <f t="shared" si="20"/>
        <v>0</v>
      </c>
      <c r="M84" s="590"/>
      <c r="N84" s="433">
        <f t="shared" si="20"/>
        <v>0</v>
      </c>
      <c r="O84" s="590"/>
      <c r="P84" s="433">
        <f t="shared" si="20"/>
        <v>0</v>
      </c>
      <c r="Q84" s="590"/>
      <c r="R84" s="433">
        <f t="shared" si="20"/>
        <v>0</v>
      </c>
      <c r="S84" s="584"/>
      <c r="T84" s="625"/>
      <c r="U84" s="361"/>
      <c r="V84" s="362"/>
      <c r="W84" s="362"/>
      <c r="X84" s="362"/>
      <c r="Y84" s="362"/>
      <c r="Z84" s="362"/>
      <c r="AA84" s="362"/>
      <c r="AB84" s="362"/>
      <c r="AC84" s="362"/>
      <c r="AD84" s="362"/>
      <c r="AE84" s="362"/>
      <c r="AF84" s="362"/>
      <c r="AG84" s="362"/>
      <c r="AH84" s="363"/>
      <c r="AI84" s="27"/>
      <c r="AJ84" s="27"/>
      <c r="AK84" s="3"/>
      <c r="AL84" s="3"/>
      <c r="AM84" s="3"/>
      <c r="AN84" s="3"/>
      <c r="AO84" s="3"/>
    </row>
    <row r="85" spans="1:41" ht="11.25" customHeight="1" x14ac:dyDescent="0.2">
      <c r="B85" s="432"/>
      <c r="C85" s="434"/>
      <c r="D85" s="433">
        <v>0</v>
      </c>
      <c r="E85" s="584"/>
      <c r="F85" s="433">
        <f t="shared" si="20"/>
        <v>0</v>
      </c>
      <c r="G85" s="590"/>
      <c r="H85" s="433">
        <f t="shared" si="20"/>
        <v>0</v>
      </c>
      <c r="I85" s="590"/>
      <c r="J85" s="433">
        <f t="shared" si="20"/>
        <v>0</v>
      </c>
      <c r="K85" s="590"/>
      <c r="L85" s="433">
        <f t="shared" si="20"/>
        <v>0</v>
      </c>
      <c r="M85" s="590"/>
      <c r="N85" s="433">
        <f t="shared" si="20"/>
        <v>0</v>
      </c>
      <c r="O85" s="590"/>
      <c r="P85" s="433">
        <f t="shared" si="20"/>
        <v>0</v>
      </c>
      <c r="Q85" s="590"/>
      <c r="R85" s="433">
        <f>P85</f>
        <v>0</v>
      </c>
      <c r="S85" s="584"/>
      <c r="T85" s="625"/>
      <c r="U85" s="361"/>
      <c r="V85" s="362"/>
      <c r="W85" s="362"/>
      <c r="X85" s="362"/>
      <c r="Y85" s="362"/>
      <c r="Z85" s="362"/>
      <c r="AA85" s="362"/>
      <c r="AB85" s="362"/>
      <c r="AC85" s="362"/>
      <c r="AD85" s="362"/>
      <c r="AE85" s="362"/>
      <c r="AF85" s="362"/>
      <c r="AG85" s="362"/>
      <c r="AH85" s="363"/>
      <c r="AI85" s="27"/>
      <c r="AJ85" s="27"/>
      <c r="AK85" s="3"/>
      <c r="AL85" s="3"/>
      <c r="AM85" s="3"/>
      <c r="AN85" s="3"/>
      <c r="AO85" s="3"/>
    </row>
    <row r="86" spans="1:41" ht="11.25" customHeight="1" thickBot="1" x14ac:dyDescent="0.25">
      <c r="B86" s="619"/>
      <c r="C86" s="620" t="s">
        <v>0</v>
      </c>
      <c r="D86" s="651">
        <v>0</v>
      </c>
      <c r="E86" s="650"/>
      <c r="F86" s="651">
        <f>D86</f>
        <v>0</v>
      </c>
      <c r="G86" s="652"/>
      <c r="H86" s="651">
        <f>F86</f>
        <v>0</v>
      </c>
      <c r="I86" s="652"/>
      <c r="J86" s="651">
        <f>H86</f>
        <v>0</v>
      </c>
      <c r="K86" s="652"/>
      <c r="L86" s="651">
        <f>J86</f>
        <v>0</v>
      </c>
      <c r="M86" s="652"/>
      <c r="N86" s="651">
        <f>L86</f>
        <v>0</v>
      </c>
      <c r="O86" s="652"/>
      <c r="P86" s="651">
        <f>N86</f>
        <v>0</v>
      </c>
      <c r="Q86" s="652"/>
      <c r="R86" s="651">
        <f>P86</f>
        <v>0</v>
      </c>
      <c r="S86" s="650"/>
      <c r="T86" s="625"/>
      <c r="U86" s="458"/>
      <c r="V86" s="459"/>
      <c r="W86" s="459"/>
      <c r="X86" s="459"/>
      <c r="Y86" s="459"/>
      <c r="Z86" s="459"/>
      <c r="AA86" s="459"/>
      <c r="AB86" s="459"/>
      <c r="AC86" s="459"/>
      <c r="AD86" s="459"/>
      <c r="AE86" s="459"/>
      <c r="AF86" s="459"/>
      <c r="AG86" s="459"/>
      <c r="AH86" s="460"/>
      <c r="AI86" s="27"/>
      <c r="AJ86" s="27"/>
      <c r="AK86" s="3"/>
      <c r="AL86" s="3"/>
      <c r="AM86" s="3"/>
      <c r="AN86" s="3"/>
      <c r="AO86" s="3"/>
    </row>
    <row r="87" spans="1:41" ht="12" customHeight="1" thickBot="1" x14ac:dyDescent="0.25">
      <c r="B87" s="537">
        <v>24</v>
      </c>
      <c r="C87" s="65" t="s">
        <v>81</v>
      </c>
      <c r="D87" s="485">
        <f ca="1">IF(Ohjeet!$H67&gt;Ohjeet!$H21,0,D9+D12+D15+D16+D26+D29+D32+D50+D51+D55+D56+D59+D60+D61+D65+D68+D74+D75+D76+D77+D49+D35+D42)</f>
        <v>0</v>
      </c>
      <c r="E87" s="486">
        <v>100</v>
      </c>
      <c r="F87" s="485">
        <f ca="1">IF(Ohjeet!$H67&gt;Ohjeet!$H21,0,F9+F12+F15+F16+F26+F29+F32+F50+F51+F55+F56+F59+F60+F61+F65+F68+F74+F75+F76+F77+F49+F35+F42)</f>
        <v>0</v>
      </c>
      <c r="G87" s="486">
        <v>100</v>
      </c>
      <c r="H87" s="485">
        <f ca="1">IF(Ohjeet!$H67&gt;Ohjeet!$H21,0,H9+H12+H15+H16+H26+H29+H32+H50+H51+H55+H56+H59+H60+H61+H65+H68+H74+H75+H76+H77+H49+H35+H42)</f>
        <v>0</v>
      </c>
      <c r="I87" s="486">
        <v>100</v>
      </c>
      <c r="J87" s="485">
        <f ca="1">IF(Ohjeet!$H67&gt;Ohjeet!$H21,0,J9+J12+J15+J16+J26+J29+J32+J50+J51+J55+J56+J59+J60+J61+J65+J68+J74+J75+J76+J77+J49+J35+J42)</f>
        <v>0</v>
      </c>
      <c r="K87" s="486">
        <v>100</v>
      </c>
      <c r="L87" s="485">
        <f ca="1">IF(Ohjeet!$H67&gt;Ohjeet!$H21,0,L9+L12+L15+L16+L26+L29+L32+L50+L51+L55+L56+L59+L60+L61+L65+L68+L74+L75+L76+L77+L49+L35+L42)</f>
        <v>0</v>
      </c>
      <c r="M87" s="486">
        <v>100</v>
      </c>
      <c r="N87" s="485">
        <f ca="1">IF(Ohjeet!$H67&gt;Ohjeet!$H21,0,N9+N12+N15+N16+N26+N29+N32+N50+N51+N55+N56+N59+N60+N61+N65+N68+N74+N75+N76+N77+N49+N35+N42)</f>
        <v>0</v>
      </c>
      <c r="O87" s="486">
        <v>100</v>
      </c>
      <c r="P87" s="485">
        <f ca="1">IF(Ohjeet!$H67&gt;Ohjeet!$H21,0,P9+P12+P15+P16+P26+P29+P32+P50+P51+P55+P56+P59+P60+P61+P65+P68+P74+P75+P76+P77+P49+P35+P42)</f>
        <v>0</v>
      </c>
      <c r="Q87" s="486">
        <v>100</v>
      </c>
      <c r="R87" s="485">
        <f ca="1">IF(Ohjeet!$H67&gt;Ohjeet!$H21,0,R9+R12+R15+R16+R26+R29+R32+R50+R51+R55+R56+R59+R60+R61+R65+R68+R74+R75+R76+R77+R49+R35+R42)</f>
        <v>0</v>
      </c>
      <c r="S87" s="487">
        <v>100</v>
      </c>
      <c r="T87" s="393"/>
      <c r="U87" s="151"/>
      <c r="V87" s="151"/>
      <c r="W87" s="151"/>
      <c r="X87" s="151"/>
      <c r="Y87" s="151"/>
      <c r="Z87" s="151"/>
      <c r="AA87" s="151"/>
      <c r="AB87" s="151"/>
      <c r="AC87" s="151"/>
      <c r="AD87" s="151"/>
      <c r="AE87" s="151"/>
      <c r="AF87" s="151"/>
      <c r="AG87" s="151"/>
      <c r="AH87" s="151"/>
      <c r="AI87" s="27"/>
      <c r="AJ87" s="27"/>
      <c r="AK87" s="3"/>
      <c r="AL87" s="3"/>
      <c r="AM87" s="3"/>
      <c r="AN87" s="3"/>
      <c r="AO87" s="3"/>
    </row>
    <row r="88" spans="1:41" ht="6" customHeight="1" x14ac:dyDescent="0.2">
      <c r="B88" s="396"/>
      <c r="C88" s="397"/>
      <c r="D88" s="397"/>
      <c r="E88" s="397"/>
      <c r="F88" s="397"/>
      <c r="G88" s="397"/>
      <c r="H88" s="397"/>
      <c r="I88" s="397"/>
      <c r="J88" s="397"/>
      <c r="K88" s="397"/>
      <c r="L88" s="397"/>
      <c r="M88" s="397"/>
      <c r="N88" s="397"/>
      <c r="O88" s="397"/>
      <c r="P88" s="397"/>
      <c r="Q88" s="397"/>
      <c r="R88" s="397"/>
      <c r="S88" s="397"/>
      <c r="T88" s="392"/>
      <c r="U88" s="398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  <c r="AG88" s="399"/>
      <c r="AH88" s="399"/>
      <c r="AI88" s="27"/>
      <c r="AJ88" s="27"/>
      <c r="AK88" s="3"/>
      <c r="AL88" s="3"/>
      <c r="AM88" s="3"/>
      <c r="AN88" s="3"/>
      <c r="AO88" s="3"/>
    </row>
    <row r="89" spans="1:41" s="2" customFormat="1" ht="12" customHeight="1" x14ac:dyDescent="0.2">
      <c r="B89" s="400"/>
      <c r="C89" s="375" t="str">
        <f>'T2 Investoinnit, rahoitus'!C148</f>
        <v>Palvelun tarjoaa:</v>
      </c>
      <c r="D89" s="376" t="str">
        <f>Ohjeet!F19</f>
        <v>Seinäjoen kaupungin maaseutupalvelut</v>
      </c>
      <c r="E89" s="377"/>
      <c r="F89" s="377"/>
      <c r="G89" s="377"/>
      <c r="H89" s="377"/>
      <c r="I89" s="377"/>
      <c r="J89" s="377"/>
      <c r="K89" s="377"/>
      <c r="L89" s="377"/>
      <c r="M89" s="377"/>
      <c r="N89" s="377"/>
      <c r="O89" s="377"/>
      <c r="P89" s="377"/>
      <c r="Q89" s="377"/>
      <c r="R89" s="377"/>
      <c r="S89" s="375" t="s">
        <v>242</v>
      </c>
      <c r="T89" s="392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27"/>
      <c r="AJ89" s="27"/>
      <c r="AK89" s="28"/>
      <c r="AL89" s="28"/>
      <c r="AM89" s="28"/>
      <c r="AN89" s="28"/>
      <c r="AO89" s="28"/>
    </row>
    <row r="90" spans="1:41" s="2" customFormat="1" x14ac:dyDescent="0.2">
      <c r="B90" s="400"/>
      <c r="C90" s="400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  <c r="R90" s="401"/>
      <c r="S90" s="401"/>
      <c r="T90" s="392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27"/>
      <c r="AJ90" s="27"/>
      <c r="AK90" s="28"/>
      <c r="AL90" s="28"/>
      <c r="AM90" s="28"/>
      <c r="AN90" s="28"/>
      <c r="AO90" s="28"/>
    </row>
    <row r="91" spans="1:41" s="2" customFormat="1" ht="12.6" customHeight="1" x14ac:dyDescent="0.2">
      <c r="B91" s="400"/>
      <c r="C91" s="380" t="s">
        <v>240</v>
      </c>
      <c r="D91" s="94"/>
      <c r="E91" s="94"/>
      <c r="F91" s="94"/>
      <c r="G91" s="94"/>
      <c r="H91" s="9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392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27"/>
      <c r="AJ91" s="27"/>
      <c r="AK91" s="28"/>
      <c r="AL91" s="28"/>
      <c r="AM91" s="28"/>
      <c r="AN91" s="28"/>
      <c r="AO91" s="28"/>
    </row>
    <row r="92" spans="1:41" ht="12.6" customHeight="1" x14ac:dyDescent="0.2">
      <c r="B92" s="402"/>
      <c r="C92" s="94" t="s">
        <v>241</v>
      </c>
      <c r="D92" s="376"/>
      <c r="E92" s="376"/>
      <c r="F92" s="376"/>
      <c r="G92" s="376"/>
      <c r="H92" s="376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391"/>
      <c r="U92" s="399"/>
      <c r="V92" s="399"/>
      <c r="W92" s="399"/>
      <c r="X92" s="399"/>
      <c r="Y92" s="399"/>
      <c r="Z92" s="399"/>
      <c r="AA92" s="399"/>
      <c r="AB92" s="399"/>
      <c r="AC92" s="399"/>
      <c r="AD92" s="399"/>
      <c r="AE92" s="399"/>
      <c r="AF92" s="399"/>
      <c r="AG92" s="399"/>
      <c r="AH92" s="399"/>
      <c r="AI92" s="27"/>
      <c r="AJ92" s="27"/>
      <c r="AK92" s="3"/>
      <c r="AL92" s="3"/>
      <c r="AM92" s="3"/>
      <c r="AN92" s="3"/>
      <c r="AO92" s="3"/>
    </row>
    <row r="93" spans="1:41" ht="12.6" customHeight="1" x14ac:dyDescent="0.2">
      <c r="A93" s="3"/>
      <c r="B93" s="403"/>
      <c r="C93" s="94" t="s">
        <v>254</v>
      </c>
      <c r="D93" s="94"/>
      <c r="E93" s="94"/>
      <c r="F93" s="94"/>
      <c r="G93" s="94"/>
      <c r="H93" s="94"/>
      <c r="I93" s="404"/>
      <c r="J93" s="405"/>
      <c r="K93" s="404"/>
      <c r="L93" s="405"/>
      <c r="M93" s="404"/>
      <c r="N93" s="405"/>
      <c r="O93" s="404"/>
      <c r="P93" s="405"/>
      <c r="Q93" s="404"/>
      <c r="R93" s="405"/>
      <c r="S93" s="404"/>
      <c r="T93" s="405"/>
      <c r="U93" s="405"/>
      <c r="V93" s="406"/>
      <c r="W93" s="390"/>
      <c r="X93" s="390"/>
      <c r="Y93" s="390"/>
      <c r="Z93" s="390"/>
      <c r="AA93" s="390"/>
      <c r="AB93" s="390"/>
      <c r="AC93" s="390"/>
      <c r="AD93" s="390"/>
      <c r="AE93" s="390"/>
      <c r="AF93" s="390"/>
      <c r="AG93" s="390"/>
      <c r="AH93" s="390"/>
      <c r="AI93" s="27"/>
      <c r="AJ93" s="27"/>
      <c r="AK93" s="3"/>
      <c r="AL93" s="3"/>
      <c r="AM93" s="3"/>
      <c r="AN93" s="3"/>
      <c r="AO93" s="3"/>
    </row>
    <row r="94" spans="1:41" s="2" customFormat="1" ht="12.6" customHeight="1" x14ac:dyDescent="0.2">
      <c r="A94" s="28"/>
      <c r="B94" s="407"/>
      <c r="C94" s="888" t="s">
        <v>0</v>
      </c>
      <c r="D94" s="888"/>
      <c r="E94" s="888"/>
      <c r="F94" s="888"/>
      <c r="G94" s="888"/>
      <c r="H94" s="888"/>
      <c r="I94" s="408"/>
      <c r="J94" s="405"/>
      <c r="K94" s="408"/>
      <c r="L94" s="405"/>
      <c r="M94" s="408"/>
      <c r="N94" s="405"/>
      <c r="O94" s="408"/>
      <c r="P94" s="405"/>
      <c r="Q94" s="408"/>
      <c r="R94" s="405"/>
      <c r="S94" s="408"/>
      <c r="T94" s="405"/>
      <c r="U94" s="405"/>
      <c r="V94" s="406"/>
      <c r="W94" s="390"/>
      <c r="X94" s="390"/>
      <c r="Y94" s="390"/>
      <c r="Z94" s="390"/>
      <c r="AA94" s="390"/>
      <c r="AB94" s="390"/>
      <c r="AC94" s="390"/>
      <c r="AD94" s="390"/>
      <c r="AE94" s="390"/>
      <c r="AF94" s="390"/>
      <c r="AG94" s="390"/>
      <c r="AH94" s="390"/>
      <c r="AI94" s="27"/>
      <c r="AJ94" s="27"/>
      <c r="AK94" s="28"/>
      <c r="AL94" s="28"/>
      <c r="AM94" s="28"/>
      <c r="AN94" s="28"/>
      <c r="AO94" s="28"/>
    </row>
    <row r="95" spans="1:41" s="2" customFormat="1" ht="12.6" customHeight="1" x14ac:dyDescent="0.2">
      <c r="A95" s="28"/>
      <c r="B95" s="407"/>
      <c r="C95" s="888"/>
      <c r="D95" s="888"/>
      <c r="E95" s="888"/>
      <c r="F95" s="888"/>
      <c r="G95" s="888"/>
      <c r="H95" s="888"/>
      <c r="I95" s="408"/>
      <c r="J95" s="405"/>
      <c r="K95" s="408"/>
      <c r="L95" s="405"/>
      <c r="M95" s="408"/>
      <c r="N95" s="405"/>
      <c r="O95" s="408"/>
      <c r="P95" s="405"/>
      <c r="Q95" s="408"/>
      <c r="R95" s="405"/>
      <c r="S95" s="408"/>
      <c r="T95" s="405"/>
      <c r="U95" s="405"/>
      <c r="V95" s="406"/>
      <c r="W95" s="390"/>
      <c r="X95" s="390"/>
      <c r="Y95" s="390"/>
      <c r="Z95" s="390"/>
      <c r="AA95" s="390"/>
      <c r="AB95" s="390"/>
      <c r="AC95" s="390"/>
      <c r="AD95" s="390"/>
      <c r="AE95" s="390"/>
      <c r="AF95" s="390"/>
      <c r="AG95" s="390"/>
      <c r="AH95" s="390"/>
      <c r="AI95" s="27"/>
      <c r="AJ95" s="27"/>
      <c r="AK95" s="28"/>
      <c r="AL95" s="28"/>
      <c r="AM95" s="28"/>
      <c r="AN95" s="28"/>
      <c r="AO95" s="28"/>
    </row>
    <row r="96" spans="1:41" x14ac:dyDescent="0.2">
      <c r="A96" s="3"/>
      <c r="B96" s="403"/>
      <c r="C96" s="409"/>
      <c r="D96" s="408"/>
      <c r="E96" s="408"/>
      <c r="F96" s="410"/>
      <c r="G96" s="408"/>
      <c r="H96" s="411"/>
      <c r="I96" s="408"/>
      <c r="J96" s="411"/>
      <c r="K96" s="408"/>
      <c r="L96" s="411"/>
      <c r="M96" s="408"/>
      <c r="N96" s="411"/>
      <c r="O96" s="408"/>
      <c r="P96" s="411"/>
      <c r="Q96" s="408"/>
      <c r="R96" s="411"/>
      <c r="S96" s="408"/>
      <c r="T96" s="411"/>
      <c r="U96" s="411"/>
      <c r="V96" s="406"/>
      <c r="W96" s="412"/>
      <c r="X96" s="412"/>
      <c r="Y96" s="412"/>
      <c r="Z96" s="412"/>
      <c r="AA96" s="412"/>
      <c r="AB96" s="412"/>
      <c r="AC96" s="412"/>
      <c r="AD96" s="390"/>
      <c r="AE96" s="390"/>
      <c r="AF96" s="390"/>
      <c r="AG96" s="390"/>
      <c r="AH96" s="390"/>
      <c r="AI96" s="27"/>
      <c r="AJ96" s="27"/>
      <c r="AK96" s="3"/>
      <c r="AL96" s="3"/>
      <c r="AM96" s="3"/>
      <c r="AN96" s="3"/>
      <c r="AO96" s="3"/>
    </row>
    <row r="97" spans="1:41" s="2" customFormat="1" x14ac:dyDescent="0.2">
      <c r="A97" s="28"/>
      <c r="B97" s="403"/>
      <c r="C97" s="409"/>
      <c r="D97" s="404"/>
      <c r="E97" s="404"/>
      <c r="F97" s="413"/>
      <c r="G97" s="404"/>
      <c r="H97" s="414"/>
      <c r="I97" s="404"/>
      <c r="J97" s="414"/>
      <c r="K97" s="404"/>
      <c r="L97" s="414"/>
      <c r="M97" s="404"/>
      <c r="N97" s="414"/>
      <c r="O97" s="404"/>
      <c r="P97" s="414"/>
      <c r="Q97" s="404"/>
      <c r="R97" s="414"/>
      <c r="S97" s="404"/>
      <c r="T97" s="414"/>
      <c r="U97" s="414"/>
      <c r="V97" s="406"/>
      <c r="W97" s="412"/>
      <c r="X97" s="412"/>
      <c r="Y97" s="412"/>
      <c r="Z97" s="412"/>
      <c r="AA97" s="412"/>
      <c r="AB97" s="412"/>
      <c r="AC97" s="412"/>
      <c r="AD97" s="390"/>
      <c r="AE97" s="390"/>
      <c r="AF97" s="390"/>
      <c r="AG97" s="390"/>
      <c r="AH97" s="390"/>
      <c r="AI97" s="27"/>
      <c r="AJ97" s="27"/>
      <c r="AK97" s="28"/>
      <c r="AL97" s="28"/>
      <c r="AM97" s="28"/>
      <c r="AN97" s="28"/>
      <c r="AO97" s="28"/>
    </row>
    <row r="98" spans="1:41" x14ac:dyDescent="0.2">
      <c r="A98" s="3"/>
      <c r="B98" s="407"/>
      <c r="C98" s="415"/>
      <c r="D98" s="408"/>
      <c r="E98" s="408"/>
      <c r="F98" s="405"/>
      <c r="G98" s="408"/>
      <c r="H98" s="405"/>
      <c r="I98" s="408"/>
      <c r="J98" s="405"/>
      <c r="K98" s="408"/>
      <c r="L98" s="405"/>
      <c r="M98" s="408"/>
      <c r="N98" s="405"/>
      <c r="O98" s="408"/>
      <c r="P98" s="405"/>
      <c r="Q98" s="408"/>
      <c r="R98" s="405"/>
      <c r="S98" s="408"/>
      <c r="T98" s="405"/>
      <c r="U98" s="405"/>
      <c r="V98" s="406"/>
      <c r="W98" s="390"/>
      <c r="X98" s="390"/>
      <c r="Y98" s="390"/>
      <c r="Z98" s="390"/>
      <c r="AA98" s="390"/>
      <c r="AB98" s="390"/>
      <c r="AC98" s="390"/>
      <c r="AD98" s="390"/>
      <c r="AE98" s="390"/>
      <c r="AF98" s="390"/>
      <c r="AG98" s="390"/>
      <c r="AH98" s="390"/>
      <c r="AI98" s="27"/>
      <c r="AJ98" s="27"/>
      <c r="AK98" s="3"/>
      <c r="AL98" s="3"/>
      <c r="AM98" s="3"/>
      <c r="AN98" s="3"/>
      <c r="AO98" s="3"/>
    </row>
    <row r="99" spans="1:41" x14ac:dyDescent="0.2">
      <c r="A99" s="3"/>
      <c r="B99" s="403"/>
      <c r="C99" s="409"/>
      <c r="D99" s="404"/>
      <c r="E99" s="404"/>
      <c r="F99" s="413"/>
      <c r="G99" s="404"/>
      <c r="H99" s="411"/>
      <c r="I99" s="404"/>
      <c r="J99" s="411"/>
      <c r="K99" s="404"/>
      <c r="L99" s="411"/>
      <c r="M99" s="404"/>
      <c r="N99" s="411"/>
      <c r="O99" s="404"/>
      <c r="P99" s="411"/>
      <c r="Q99" s="404"/>
      <c r="R99" s="411"/>
      <c r="S99" s="404"/>
      <c r="T99" s="411"/>
      <c r="U99" s="411"/>
      <c r="V99" s="406"/>
      <c r="W99" s="390"/>
      <c r="X99" s="390"/>
      <c r="Y99" s="390"/>
      <c r="Z99" s="390"/>
      <c r="AA99" s="390"/>
      <c r="AB99" s="390"/>
      <c r="AC99" s="390"/>
      <c r="AD99" s="390"/>
      <c r="AE99" s="390"/>
      <c r="AF99" s="390"/>
      <c r="AG99" s="390"/>
      <c r="AH99" s="390"/>
      <c r="AI99" s="27"/>
      <c r="AJ99" s="27"/>
      <c r="AK99" s="3"/>
      <c r="AL99" s="3"/>
      <c r="AM99" s="3"/>
      <c r="AN99" s="3"/>
      <c r="AO99" s="3"/>
    </row>
    <row r="100" spans="1:41" x14ac:dyDescent="0.2">
      <c r="A100" s="3"/>
      <c r="B100" s="407"/>
      <c r="C100" s="415"/>
      <c r="D100" s="408"/>
      <c r="E100" s="408"/>
      <c r="F100" s="416"/>
      <c r="G100" s="408"/>
      <c r="H100" s="405"/>
      <c r="I100" s="408"/>
      <c r="J100" s="405"/>
      <c r="K100" s="408"/>
      <c r="L100" s="405"/>
      <c r="M100" s="408"/>
      <c r="N100" s="405"/>
      <c r="O100" s="408"/>
      <c r="P100" s="405"/>
      <c r="Q100" s="408"/>
      <c r="R100" s="405"/>
      <c r="S100" s="408"/>
      <c r="T100" s="405"/>
      <c r="U100" s="405"/>
      <c r="V100" s="406"/>
      <c r="W100" s="390"/>
      <c r="X100" s="390"/>
      <c r="Y100" s="390"/>
      <c r="Z100" s="390"/>
      <c r="AA100" s="390"/>
      <c r="AB100" s="390"/>
      <c r="AC100" s="390"/>
      <c r="AD100" s="390"/>
      <c r="AE100" s="390"/>
      <c r="AF100" s="390"/>
      <c r="AG100" s="390"/>
      <c r="AH100" s="390"/>
      <c r="AI100" s="27"/>
      <c r="AJ100" s="27"/>
      <c r="AK100" s="3"/>
      <c r="AL100" s="3"/>
      <c r="AM100" s="3"/>
      <c r="AN100" s="3"/>
      <c r="AO100" s="3"/>
    </row>
    <row r="101" spans="1:41" ht="6.75" customHeight="1" x14ac:dyDescent="0.2">
      <c r="A101" s="3"/>
      <c r="B101" s="404"/>
      <c r="C101" s="409"/>
      <c r="D101" s="404"/>
      <c r="E101" s="404"/>
      <c r="F101" s="417"/>
      <c r="G101" s="404"/>
      <c r="H101" s="417"/>
      <c r="I101" s="404"/>
      <c r="J101" s="417"/>
      <c r="K101" s="404"/>
      <c r="L101" s="417"/>
      <c r="M101" s="404"/>
      <c r="N101" s="417"/>
      <c r="O101" s="404"/>
      <c r="P101" s="417"/>
      <c r="Q101" s="404"/>
      <c r="R101" s="417"/>
      <c r="S101" s="404"/>
      <c r="T101" s="417"/>
      <c r="U101" s="417"/>
      <c r="V101" s="406"/>
      <c r="W101" s="390"/>
      <c r="X101" s="390"/>
      <c r="Y101" s="390"/>
      <c r="Z101" s="390"/>
      <c r="AA101" s="390"/>
      <c r="AB101" s="390"/>
      <c r="AC101" s="390"/>
      <c r="AD101" s="390"/>
      <c r="AE101" s="390"/>
      <c r="AF101" s="390"/>
      <c r="AG101" s="390"/>
      <c r="AH101" s="390"/>
      <c r="AI101" s="27"/>
      <c r="AJ101" s="27"/>
      <c r="AK101" s="3"/>
      <c r="AL101" s="3"/>
      <c r="AM101" s="3"/>
      <c r="AN101" s="3"/>
      <c r="AO101" s="3"/>
    </row>
    <row r="102" spans="1:41" x14ac:dyDescent="0.2">
      <c r="A102" s="3"/>
      <c r="B102" s="404"/>
      <c r="C102" s="409"/>
      <c r="D102" s="418"/>
      <c r="E102" s="418"/>
      <c r="F102" s="417"/>
      <c r="G102" s="418"/>
      <c r="H102" s="419"/>
      <c r="I102" s="418"/>
      <c r="J102" s="419"/>
      <c r="K102" s="418"/>
      <c r="L102" s="419"/>
      <c r="M102" s="418"/>
      <c r="N102" s="419"/>
      <c r="O102" s="418"/>
      <c r="P102" s="419"/>
      <c r="Q102" s="418"/>
      <c r="R102" s="419"/>
      <c r="S102" s="418"/>
      <c r="T102" s="419"/>
      <c r="U102" s="419"/>
      <c r="V102" s="406"/>
      <c r="W102" s="406"/>
      <c r="X102" s="406"/>
      <c r="Y102" s="406"/>
      <c r="Z102" s="406"/>
      <c r="AA102" s="406"/>
      <c r="AB102" s="406"/>
      <c r="AC102" s="406"/>
      <c r="AD102" s="406"/>
      <c r="AE102" s="406"/>
      <c r="AF102" s="406"/>
      <c r="AG102" s="406"/>
      <c r="AH102" s="406"/>
      <c r="AI102" s="11"/>
      <c r="AJ102" s="11"/>
      <c r="AK102" s="3"/>
      <c r="AL102" s="3"/>
      <c r="AM102" s="3"/>
      <c r="AN102" s="3"/>
      <c r="AO102" s="3"/>
    </row>
    <row r="103" spans="1:41" ht="7.5" customHeight="1" x14ac:dyDescent="0.2">
      <c r="A103" s="3"/>
      <c r="B103" s="18"/>
      <c r="C103" s="37"/>
      <c r="D103" s="18"/>
      <c r="E103" s="18"/>
      <c r="F103" s="13"/>
      <c r="G103" s="18"/>
      <c r="H103" s="13"/>
      <c r="I103" s="18"/>
      <c r="J103" s="13"/>
      <c r="K103" s="18"/>
      <c r="L103" s="13"/>
      <c r="M103" s="18"/>
      <c r="N103" s="13"/>
      <c r="O103" s="18"/>
      <c r="P103" s="13"/>
      <c r="Q103" s="18"/>
      <c r="R103" s="13"/>
      <c r="S103" s="18"/>
      <c r="T103" s="13"/>
      <c r="U103" s="13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3"/>
      <c r="AL103" s="3"/>
      <c r="AM103" s="3"/>
      <c r="AN103" s="3"/>
      <c r="AO103" s="3"/>
    </row>
    <row r="104" spans="1:41" ht="13.5" customHeight="1" x14ac:dyDescent="0.2">
      <c r="A104" s="3"/>
      <c r="B104" s="18"/>
      <c r="C104" s="37"/>
      <c r="D104" s="38"/>
      <c r="E104" s="38"/>
      <c r="F104" s="13"/>
      <c r="G104" s="38"/>
      <c r="H104" s="40"/>
      <c r="I104" s="38"/>
      <c r="J104" s="40"/>
      <c r="K104" s="38"/>
      <c r="L104" s="40"/>
      <c r="M104" s="38"/>
      <c r="N104" s="40"/>
      <c r="O104" s="38"/>
      <c r="P104" s="40"/>
      <c r="Q104" s="38"/>
      <c r="R104" s="40"/>
      <c r="S104" s="38"/>
      <c r="T104" s="40"/>
      <c r="U104" s="40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3"/>
      <c r="AL104" s="3"/>
      <c r="AM104" s="3"/>
      <c r="AN104" s="3"/>
      <c r="AO104" s="3"/>
    </row>
    <row r="105" spans="1:41" x14ac:dyDescent="0.2">
      <c r="A105" s="3"/>
      <c r="B105" s="38"/>
      <c r="C105" s="37"/>
      <c r="D105" s="38"/>
      <c r="E105" s="38"/>
      <c r="F105" s="13"/>
      <c r="G105" s="38"/>
      <c r="H105" s="40"/>
      <c r="I105" s="38"/>
      <c r="J105" s="40"/>
      <c r="K105" s="38"/>
      <c r="L105" s="40"/>
      <c r="M105" s="38"/>
      <c r="N105" s="40"/>
      <c r="O105" s="38"/>
      <c r="P105" s="40"/>
      <c r="Q105" s="38"/>
      <c r="R105" s="40"/>
      <c r="S105" s="38"/>
      <c r="T105" s="40"/>
      <c r="U105" s="40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3"/>
      <c r="AL105" s="3"/>
      <c r="AM105" s="3"/>
      <c r="AN105" s="3"/>
      <c r="AO105" s="3"/>
    </row>
    <row r="106" spans="1:41" x14ac:dyDescent="0.2">
      <c r="A106" s="3"/>
      <c r="B106" s="18"/>
      <c r="C106" s="37"/>
      <c r="D106" s="41"/>
      <c r="E106" s="41"/>
      <c r="F106" s="13"/>
      <c r="G106" s="41"/>
      <c r="H106" s="40"/>
      <c r="I106" s="41"/>
      <c r="J106" s="40"/>
      <c r="K106" s="41"/>
      <c r="L106" s="40"/>
      <c r="M106" s="41"/>
      <c r="N106" s="40"/>
      <c r="O106" s="41"/>
      <c r="P106" s="40"/>
      <c r="Q106" s="41"/>
      <c r="R106" s="40"/>
      <c r="S106" s="41"/>
      <c r="T106" s="40"/>
      <c r="U106" s="40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3"/>
      <c r="AL106" s="3"/>
      <c r="AM106" s="3"/>
      <c r="AN106" s="3"/>
      <c r="AO106" s="3"/>
    </row>
    <row r="107" spans="1:41" ht="6" customHeight="1" x14ac:dyDescent="0.2">
      <c r="A107" s="3"/>
      <c r="B107" s="11"/>
      <c r="C107" s="11"/>
      <c r="D107" s="38"/>
      <c r="E107" s="38"/>
      <c r="F107" s="11"/>
      <c r="G107" s="38"/>
      <c r="H107" s="11"/>
      <c r="I107" s="38"/>
      <c r="J107" s="11"/>
      <c r="K107" s="38"/>
      <c r="L107" s="11"/>
      <c r="M107" s="38"/>
      <c r="N107" s="11"/>
      <c r="O107" s="38"/>
      <c r="P107" s="11"/>
      <c r="Q107" s="38"/>
      <c r="R107" s="11"/>
      <c r="S107" s="38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3"/>
      <c r="AL107" s="3"/>
      <c r="AM107" s="3"/>
      <c r="AN107" s="3"/>
      <c r="AO107" s="3"/>
    </row>
    <row r="108" spans="1:41" x14ac:dyDescent="0.2">
      <c r="A108" s="3"/>
      <c r="B108" s="11"/>
      <c r="C108" s="11"/>
      <c r="D108" s="11"/>
      <c r="E108" s="11"/>
      <c r="F108" s="39"/>
      <c r="G108" s="11"/>
      <c r="H108" s="14"/>
      <c r="I108" s="11"/>
      <c r="J108" s="14"/>
      <c r="K108" s="11"/>
      <c r="L108" s="14"/>
      <c r="M108" s="11"/>
      <c r="N108" s="14"/>
      <c r="O108" s="11"/>
      <c r="P108" s="14"/>
      <c r="Q108" s="11"/>
      <c r="R108" s="14"/>
      <c r="S108" s="11"/>
      <c r="T108" s="14"/>
      <c r="U108" s="14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3"/>
      <c r="AL108" s="3"/>
      <c r="AM108" s="3"/>
      <c r="AN108" s="3"/>
      <c r="AO108" s="3"/>
    </row>
    <row r="109" spans="1:41" x14ac:dyDescent="0.2">
      <c r="A109" s="3"/>
      <c r="B109" s="11"/>
      <c r="C109" s="11"/>
      <c r="D109" s="11"/>
      <c r="E109" s="11"/>
      <c r="F109" s="39"/>
      <c r="G109" s="11"/>
      <c r="H109" s="12"/>
      <c r="I109" s="11"/>
      <c r="J109" s="12"/>
      <c r="K109" s="11"/>
      <c r="L109" s="12"/>
      <c r="M109" s="11"/>
      <c r="N109" s="12"/>
      <c r="O109" s="11"/>
      <c r="P109" s="12"/>
      <c r="Q109" s="11"/>
      <c r="R109" s="12"/>
      <c r="S109" s="11"/>
      <c r="T109" s="12"/>
      <c r="U109" s="12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3"/>
      <c r="AL109" s="3"/>
      <c r="AM109" s="3"/>
      <c r="AN109" s="3"/>
      <c r="AO109" s="3"/>
    </row>
    <row r="110" spans="1:41" ht="7.5" customHeight="1" x14ac:dyDescent="0.2">
      <c r="A110" s="3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3"/>
      <c r="AL110" s="3"/>
      <c r="AM110" s="3"/>
      <c r="AN110" s="3"/>
      <c r="AO110" s="3"/>
    </row>
    <row r="111" spans="1:41" x14ac:dyDescent="0.2">
      <c r="A111" s="3"/>
      <c r="B111" s="11"/>
      <c r="C111" s="11"/>
      <c r="D111" s="38"/>
      <c r="E111" s="38"/>
      <c r="F111" s="39"/>
      <c r="G111" s="38"/>
      <c r="H111" s="15"/>
      <c r="I111" s="38"/>
      <c r="J111" s="15"/>
      <c r="K111" s="38"/>
      <c r="L111" s="15"/>
      <c r="M111" s="38"/>
      <c r="N111" s="15"/>
      <c r="O111" s="38"/>
      <c r="P111" s="15"/>
      <c r="Q111" s="38"/>
      <c r="R111" s="15"/>
      <c r="S111" s="38"/>
      <c r="T111" s="15"/>
      <c r="U111" s="15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3"/>
      <c r="AL111" s="3"/>
      <c r="AM111" s="3"/>
      <c r="AN111" s="3"/>
      <c r="AO111" s="3"/>
    </row>
    <row r="112" spans="1:4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:4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:4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:4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:4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:4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:4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4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4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4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4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4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4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4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4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4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4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</sheetData>
  <mergeCells count="18">
    <mergeCell ref="D5:I5"/>
    <mergeCell ref="C94:H95"/>
    <mergeCell ref="U5:Z6"/>
    <mergeCell ref="B5:C5"/>
    <mergeCell ref="B7:C8"/>
    <mergeCell ref="J5:L5"/>
    <mergeCell ref="D7:E7"/>
    <mergeCell ref="F7:G7"/>
    <mergeCell ref="H7:I7"/>
    <mergeCell ref="U55:AA55"/>
    <mergeCell ref="U60:AA60"/>
    <mergeCell ref="U39:AA39"/>
    <mergeCell ref="J7:K7"/>
    <mergeCell ref="L7:M7"/>
    <mergeCell ref="N7:O7"/>
    <mergeCell ref="P7:Q7"/>
    <mergeCell ref="U9:AA9"/>
    <mergeCell ref="R7:S7"/>
  </mergeCells>
  <phoneticPr fontId="5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rowBreaks count="1" manualBreakCount="1">
    <brk id="48" min="1" max="33" man="1"/>
  </rowBreaks>
  <colBreaks count="1" manualBreakCount="1">
    <brk id="19" min="2" max="93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ul4">
    <tabColor theme="6"/>
  </sheetPr>
  <dimension ref="A1:AD318"/>
  <sheetViews>
    <sheetView showGridLines="0" showZeros="0" defaultGridColor="0" colorId="55" zoomScale="115" zoomScaleNormal="115" workbookViewId="0">
      <selection activeCell="D8" sqref="D8"/>
    </sheetView>
  </sheetViews>
  <sheetFormatPr defaultRowHeight="12.75" x14ac:dyDescent="0.2"/>
  <cols>
    <col min="1" max="1" width="8.85546875" customWidth="1"/>
    <col min="2" max="2" width="22.85546875" customWidth="1"/>
    <col min="3" max="3" width="5.85546875" style="43" customWidth="1"/>
    <col min="4" max="11" width="8.140625" customWidth="1"/>
    <col min="12" max="12" width="2.7109375" customWidth="1"/>
  </cols>
  <sheetData>
    <row r="1" spans="1:30" x14ac:dyDescent="0.2">
      <c r="B1" s="897"/>
      <c r="C1" s="897"/>
      <c r="D1" s="897"/>
      <c r="E1" s="897"/>
      <c r="F1" s="897"/>
      <c r="G1" s="897"/>
      <c r="H1" s="897"/>
      <c r="I1" s="897"/>
      <c r="J1" s="897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30" ht="12.75" customHeight="1" x14ac:dyDescent="0.2">
      <c r="B2" s="8"/>
      <c r="C2" s="188"/>
      <c r="D2" s="9"/>
      <c r="E2" s="10"/>
      <c r="F2" s="10"/>
      <c r="G2" s="10"/>
      <c r="H2" s="10"/>
      <c r="I2" s="10"/>
      <c r="J2" s="10"/>
      <c r="K2" s="10"/>
      <c r="L2" s="372"/>
      <c r="M2" s="3"/>
      <c r="N2" s="3"/>
      <c r="O2" s="3"/>
      <c r="P2" s="3"/>
      <c r="Q2" s="3"/>
      <c r="R2" s="3"/>
      <c r="S2" s="5"/>
      <c r="T2" s="5"/>
      <c r="U2" s="3"/>
      <c r="V2" s="3"/>
      <c r="W2" s="3"/>
    </row>
    <row r="3" spans="1:30" ht="10.5" customHeight="1" thickBot="1" x14ac:dyDescent="0.25">
      <c r="B3" s="67" t="s">
        <v>53</v>
      </c>
      <c r="C3" s="189"/>
      <c r="D3" s="67" t="s">
        <v>0</v>
      </c>
      <c r="E3" s="67" t="s">
        <v>54</v>
      </c>
      <c r="F3" s="1"/>
      <c r="G3" s="67" t="s">
        <v>0</v>
      </c>
      <c r="H3" s="67" t="s">
        <v>52</v>
      </c>
      <c r="I3" s="60"/>
      <c r="J3" s="60"/>
      <c r="K3" s="60"/>
      <c r="L3" s="373"/>
      <c r="M3" s="29"/>
      <c r="N3" s="29"/>
      <c r="O3" s="17"/>
      <c r="P3" s="22"/>
      <c r="Q3" s="22"/>
      <c r="R3" s="22"/>
      <c r="S3" s="22"/>
      <c r="T3" s="22"/>
      <c r="U3" s="22"/>
      <c r="V3" s="22"/>
      <c r="W3" s="22"/>
      <c r="X3" s="3"/>
      <c r="Y3" s="3"/>
      <c r="Z3" s="3"/>
      <c r="AA3" s="3"/>
      <c r="AB3" s="3"/>
      <c r="AC3" s="3"/>
      <c r="AD3" s="3"/>
    </row>
    <row r="4" spans="1:30" ht="12.75" customHeight="1" thickBot="1" x14ac:dyDescent="0.3">
      <c r="B4" s="789">
        <f>'T2 Investoinnit, rahoitus'!B3</f>
        <v>0</v>
      </c>
      <c r="C4" s="790"/>
      <c r="D4" s="790"/>
      <c r="E4" s="76">
        <f>'T2 Investoinnit, rahoitus'!E3:G3</f>
        <v>0</v>
      </c>
      <c r="F4" s="77"/>
      <c r="G4" s="77"/>
      <c r="H4" s="795">
        <f>'T2 Investoinnit, rahoitus'!H3:I3</f>
        <v>0</v>
      </c>
      <c r="I4" s="898"/>
      <c r="K4" s="20"/>
      <c r="L4" s="373"/>
      <c r="M4" s="20"/>
      <c r="N4" s="20"/>
      <c r="O4" s="21"/>
      <c r="P4" s="23"/>
      <c r="Q4" s="22"/>
      <c r="R4" s="22"/>
      <c r="S4" s="22"/>
      <c r="T4" s="22"/>
      <c r="U4" s="22"/>
      <c r="V4" s="22"/>
      <c r="W4" s="22"/>
      <c r="X4" s="11"/>
      <c r="Y4" s="11"/>
      <c r="Z4" s="3"/>
      <c r="AA4" s="3"/>
      <c r="AB4" s="3"/>
      <c r="AC4" s="3"/>
      <c r="AD4" s="3"/>
    </row>
    <row r="5" spans="1:30" ht="3" customHeight="1" thickBot="1" x14ac:dyDescent="0.25">
      <c r="B5" s="1"/>
      <c r="C5" s="47"/>
      <c r="L5" s="875"/>
      <c r="M5" s="875"/>
      <c r="N5" s="875"/>
      <c r="O5" s="875"/>
      <c r="P5" s="5"/>
      <c r="Q5" s="5"/>
      <c r="R5" s="5"/>
      <c r="S5" s="5"/>
      <c r="T5" s="5"/>
      <c r="U5" s="5"/>
      <c r="V5" s="5"/>
      <c r="W5" s="5"/>
    </row>
    <row r="6" spans="1:30" ht="11.25" customHeight="1" x14ac:dyDescent="0.2">
      <c r="B6" s="899" t="s">
        <v>102</v>
      </c>
      <c r="C6" s="900"/>
      <c r="D6" s="630" t="s">
        <v>49</v>
      </c>
      <c r="E6" s="631" t="s">
        <v>82</v>
      </c>
      <c r="F6" s="631" t="s">
        <v>9</v>
      </c>
      <c r="G6" s="631" t="s">
        <v>26</v>
      </c>
      <c r="H6" s="631" t="s">
        <v>83</v>
      </c>
      <c r="I6" s="631" t="s">
        <v>84</v>
      </c>
      <c r="J6" s="631" t="s">
        <v>85</v>
      </c>
      <c r="K6" s="630" t="s">
        <v>86</v>
      </c>
      <c r="M6" s="499" t="s">
        <v>256</v>
      </c>
      <c r="N6" s="500"/>
      <c r="O6" s="500"/>
      <c r="P6" s="500"/>
      <c r="Q6" s="500"/>
      <c r="R6" s="500"/>
      <c r="S6" s="500"/>
      <c r="T6" s="500"/>
      <c r="U6" s="500"/>
      <c r="V6" s="501"/>
      <c r="W6" s="3"/>
    </row>
    <row r="7" spans="1:30" ht="11.25" customHeight="1" thickBot="1" x14ac:dyDescent="0.25">
      <c r="B7" s="901"/>
      <c r="C7" s="902"/>
      <c r="D7" s="632">
        <f>'T3 Kustannukset'!D$8</f>
        <v>2015</v>
      </c>
      <c r="E7" s="632">
        <f>'T3 Kustannukset'!F$8</f>
        <v>2016</v>
      </c>
      <c r="F7" s="632">
        <f>'T3 Kustannukset'!H$8</f>
        <v>2017</v>
      </c>
      <c r="G7" s="632">
        <f>'T3 Kustannukset'!J$8</f>
        <v>2018</v>
      </c>
      <c r="H7" s="632">
        <f>'T3 Kustannukset'!L$8</f>
        <v>2019</v>
      </c>
      <c r="I7" s="632">
        <f>'T3 Kustannukset'!N$8</f>
        <v>2020</v>
      </c>
      <c r="J7" s="632">
        <f>'T3 Kustannukset'!P$8</f>
        <v>2021</v>
      </c>
      <c r="K7" s="632">
        <f>'T3 Kustannukset'!R$8</f>
        <v>2022</v>
      </c>
      <c r="L7" s="44"/>
      <c r="M7" s="472"/>
      <c r="N7" s="364"/>
      <c r="O7" s="364"/>
      <c r="P7" s="364"/>
      <c r="Q7" s="364"/>
      <c r="R7" s="364"/>
      <c r="S7" s="364"/>
      <c r="T7" s="364"/>
      <c r="U7" s="364"/>
      <c r="V7" s="473"/>
      <c r="W7" s="3"/>
    </row>
    <row r="8" spans="1:30" ht="11.25" customHeight="1" x14ac:dyDescent="0.2">
      <c r="B8" s="436" t="s">
        <v>97</v>
      </c>
      <c r="C8" s="190" t="s">
        <v>98</v>
      </c>
      <c r="D8" s="218">
        <v>0</v>
      </c>
      <c r="E8" s="219">
        <f t="shared" ref="E8:K8" si="0">E11*E12</f>
        <v>0</v>
      </c>
      <c r="F8" s="219">
        <f t="shared" si="0"/>
        <v>0</v>
      </c>
      <c r="G8" s="219">
        <f t="shared" si="0"/>
        <v>0</v>
      </c>
      <c r="H8" s="219">
        <f t="shared" si="0"/>
        <v>0</v>
      </c>
      <c r="I8" s="219">
        <f t="shared" si="0"/>
        <v>0</v>
      </c>
      <c r="J8" s="219">
        <f t="shared" si="0"/>
        <v>0</v>
      </c>
      <c r="K8" s="435">
        <f t="shared" si="0"/>
        <v>0</v>
      </c>
      <c r="M8" s="472"/>
      <c r="N8" s="364"/>
      <c r="O8" s="364"/>
      <c r="P8" s="364"/>
      <c r="Q8" s="364"/>
      <c r="R8" s="364"/>
      <c r="S8" s="364"/>
      <c r="T8" s="364"/>
      <c r="U8" s="364"/>
      <c r="V8" s="473"/>
      <c r="W8" s="3"/>
    </row>
    <row r="9" spans="1:30" ht="11.25" customHeight="1" x14ac:dyDescent="0.2">
      <c r="B9" s="437" t="s">
        <v>298</v>
      </c>
      <c r="C9" s="191" t="s">
        <v>99</v>
      </c>
      <c r="D9" s="220">
        <v>0</v>
      </c>
      <c r="E9" s="220">
        <f>D9</f>
        <v>0</v>
      </c>
      <c r="F9" s="220">
        <f t="shared" ref="F9:K9" si="1">E9</f>
        <v>0</v>
      </c>
      <c r="G9" s="220">
        <f t="shared" si="1"/>
        <v>0</v>
      </c>
      <c r="H9" s="220">
        <f t="shared" si="1"/>
        <v>0</v>
      </c>
      <c r="I9" s="220">
        <f t="shared" si="1"/>
        <v>0</v>
      </c>
      <c r="J9" s="220">
        <f t="shared" si="1"/>
        <v>0</v>
      </c>
      <c r="K9" s="221">
        <f t="shared" si="1"/>
        <v>0</v>
      </c>
      <c r="M9" s="472"/>
      <c r="N9" s="474"/>
      <c r="O9" s="474"/>
      <c r="P9" s="474"/>
      <c r="Q9" s="474"/>
      <c r="R9" s="474"/>
      <c r="S9" s="364"/>
      <c r="T9" s="364"/>
      <c r="U9" s="364"/>
      <c r="V9" s="473"/>
      <c r="W9" s="3"/>
    </row>
    <row r="10" spans="1:30" ht="11.25" customHeight="1" x14ac:dyDescent="0.2">
      <c r="B10" s="437" t="s">
        <v>299</v>
      </c>
      <c r="C10" s="191" t="s">
        <v>300</v>
      </c>
      <c r="D10" s="106">
        <f>IF(D9=0,0,D11/D9)</f>
        <v>0</v>
      </c>
      <c r="E10" s="105">
        <f>D10</f>
        <v>0</v>
      </c>
      <c r="F10" s="105">
        <f t="shared" ref="F10:K10" si="2">E10</f>
        <v>0</v>
      </c>
      <c r="G10" s="105">
        <f t="shared" si="2"/>
        <v>0</v>
      </c>
      <c r="H10" s="105">
        <f t="shared" si="2"/>
        <v>0</v>
      </c>
      <c r="I10" s="105">
        <f t="shared" si="2"/>
        <v>0</v>
      </c>
      <c r="J10" s="105">
        <f t="shared" si="2"/>
        <v>0</v>
      </c>
      <c r="K10" s="107">
        <f t="shared" si="2"/>
        <v>0</v>
      </c>
      <c r="M10" s="472"/>
      <c r="N10" s="364"/>
      <c r="O10" s="364"/>
      <c r="P10" s="364"/>
      <c r="Q10" s="364"/>
      <c r="R10" s="364"/>
      <c r="S10" s="364"/>
      <c r="T10" s="364"/>
      <c r="U10" s="364"/>
      <c r="V10" s="473"/>
      <c r="W10" s="3"/>
    </row>
    <row r="11" spans="1:30" ht="11.25" customHeight="1" x14ac:dyDescent="0.2">
      <c r="B11" s="437" t="s">
        <v>88</v>
      </c>
      <c r="C11" s="152" t="s">
        <v>300</v>
      </c>
      <c r="D11" s="107">
        <v>0</v>
      </c>
      <c r="E11" s="222">
        <f>E9*E10</f>
        <v>0</v>
      </c>
      <c r="F11" s="222">
        <f t="shared" ref="F11:K11" si="3">F9*F10</f>
        <v>0</v>
      </c>
      <c r="G11" s="222">
        <f t="shared" si="3"/>
        <v>0</v>
      </c>
      <c r="H11" s="222">
        <f t="shared" si="3"/>
        <v>0</v>
      </c>
      <c r="I11" s="222">
        <f t="shared" si="3"/>
        <v>0</v>
      </c>
      <c r="J11" s="222">
        <f t="shared" si="3"/>
        <v>0</v>
      </c>
      <c r="K11" s="222">
        <f t="shared" si="3"/>
        <v>0</v>
      </c>
      <c r="M11" s="472"/>
      <c r="N11" s="364"/>
      <c r="O11" s="364"/>
      <c r="P11" s="364"/>
      <c r="Q11" s="364"/>
      <c r="R11" s="364"/>
      <c r="S11" s="364"/>
      <c r="T11" s="364"/>
      <c r="U11" s="364"/>
      <c r="V11" s="473"/>
      <c r="W11" s="3"/>
    </row>
    <row r="12" spans="1:30" ht="11.25" customHeight="1" x14ac:dyDescent="0.2">
      <c r="B12" s="437" t="s">
        <v>109</v>
      </c>
      <c r="C12" s="152"/>
      <c r="D12" s="223">
        <f>IF(D11=0,0,D8/D11)</f>
        <v>0</v>
      </c>
      <c r="E12" s="383">
        <f>D12</f>
        <v>0</v>
      </c>
      <c r="F12" s="383">
        <f t="shared" ref="F12:K12" si="4">E12</f>
        <v>0</v>
      </c>
      <c r="G12" s="383">
        <f t="shared" si="4"/>
        <v>0</v>
      </c>
      <c r="H12" s="383">
        <f t="shared" si="4"/>
        <v>0</v>
      </c>
      <c r="I12" s="383">
        <f t="shared" si="4"/>
        <v>0</v>
      </c>
      <c r="J12" s="383">
        <f t="shared" si="4"/>
        <v>0</v>
      </c>
      <c r="K12" s="384">
        <f t="shared" si="4"/>
        <v>0</v>
      </c>
      <c r="M12" s="472"/>
      <c r="N12" s="364"/>
      <c r="O12" s="364"/>
      <c r="P12" s="364"/>
      <c r="Q12" s="364"/>
      <c r="R12" s="364"/>
      <c r="S12" s="364"/>
      <c r="T12" s="364"/>
      <c r="U12" s="364"/>
      <c r="V12" s="473"/>
      <c r="W12" s="3"/>
    </row>
    <row r="13" spans="1:30" ht="3" customHeight="1" x14ac:dyDescent="0.2">
      <c r="B13" s="438"/>
      <c r="C13" s="192"/>
      <c r="D13" s="109"/>
      <c r="E13" s="109"/>
      <c r="F13" s="109"/>
      <c r="G13" s="109"/>
      <c r="H13" s="109"/>
      <c r="I13" s="109"/>
      <c r="J13" s="109"/>
      <c r="K13" s="109"/>
      <c r="M13" s="475"/>
      <c r="N13" s="476"/>
      <c r="O13" s="476"/>
      <c r="P13" s="476"/>
      <c r="Q13" s="476"/>
      <c r="R13" s="476"/>
      <c r="S13" s="476"/>
      <c r="T13" s="476"/>
      <c r="U13" s="476"/>
      <c r="V13" s="477"/>
      <c r="W13" s="3"/>
    </row>
    <row r="14" spans="1:30" ht="11.25" customHeight="1" x14ac:dyDescent="0.2">
      <c r="A14" s="182"/>
      <c r="B14" s="439" t="s">
        <v>96</v>
      </c>
      <c r="C14" s="193" t="s">
        <v>98</v>
      </c>
      <c r="D14" s="107">
        <v>0</v>
      </c>
      <c r="E14" s="222">
        <f t="shared" ref="E14:K14" si="5">E17*E18</f>
        <v>0</v>
      </c>
      <c r="F14" s="222">
        <f t="shared" si="5"/>
        <v>0</v>
      </c>
      <c r="G14" s="222">
        <f t="shared" si="5"/>
        <v>0</v>
      </c>
      <c r="H14" s="222">
        <f t="shared" si="5"/>
        <v>0</v>
      </c>
      <c r="I14" s="222">
        <f t="shared" si="5"/>
        <v>0</v>
      </c>
      <c r="J14" s="222">
        <f t="shared" si="5"/>
        <v>0</v>
      </c>
      <c r="K14" s="222">
        <f t="shared" si="5"/>
        <v>0</v>
      </c>
      <c r="M14" s="472"/>
      <c r="N14" s="364"/>
      <c r="O14" s="364"/>
      <c r="P14" s="364"/>
      <c r="Q14" s="364"/>
      <c r="R14" s="364"/>
      <c r="S14" s="364"/>
      <c r="T14" s="364"/>
      <c r="U14" s="364"/>
      <c r="V14" s="473"/>
      <c r="W14" s="3"/>
    </row>
    <row r="15" spans="1:30" ht="11.25" customHeight="1" x14ac:dyDescent="0.2">
      <c r="B15" s="437" t="s">
        <v>95</v>
      </c>
      <c r="C15" s="152" t="s">
        <v>99</v>
      </c>
      <c r="D15" s="221">
        <v>0</v>
      </c>
      <c r="E15" s="105">
        <f t="shared" ref="E15:K15" si="6">D15</f>
        <v>0</v>
      </c>
      <c r="F15" s="105">
        <f t="shared" si="6"/>
        <v>0</v>
      </c>
      <c r="G15" s="105">
        <f t="shared" si="6"/>
        <v>0</v>
      </c>
      <c r="H15" s="105">
        <f t="shared" si="6"/>
        <v>0</v>
      </c>
      <c r="I15" s="105">
        <f t="shared" si="6"/>
        <v>0</v>
      </c>
      <c r="J15" s="105">
        <f t="shared" si="6"/>
        <v>0</v>
      </c>
      <c r="K15" s="107">
        <f t="shared" si="6"/>
        <v>0</v>
      </c>
      <c r="M15" s="472"/>
      <c r="N15" s="364"/>
      <c r="O15" s="364"/>
      <c r="P15" s="364"/>
      <c r="Q15" s="364"/>
      <c r="R15" s="364"/>
      <c r="S15" s="364"/>
      <c r="T15" s="364"/>
      <c r="U15" s="364"/>
      <c r="V15" s="473"/>
      <c r="W15" s="3"/>
    </row>
    <row r="16" spans="1:30" ht="11.25" customHeight="1" x14ac:dyDescent="0.2">
      <c r="A16" s="182"/>
      <c r="B16" s="437" t="s">
        <v>100</v>
      </c>
      <c r="C16" s="152"/>
      <c r="D16" s="222">
        <f>IF(D15=0,0,D17/D15)</f>
        <v>0</v>
      </c>
      <c r="E16" s="385">
        <f>D16</f>
        <v>0</v>
      </c>
      <c r="F16" s="105">
        <f t="shared" ref="F16:K16" si="7">E16</f>
        <v>0</v>
      </c>
      <c r="G16" s="105">
        <f t="shared" si="7"/>
        <v>0</v>
      </c>
      <c r="H16" s="105">
        <f t="shared" si="7"/>
        <v>0</v>
      </c>
      <c r="I16" s="105">
        <f t="shared" si="7"/>
        <v>0</v>
      </c>
      <c r="J16" s="105">
        <f t="shared" si="7"/>
        <v>0</v>
      </c>
      <c r="K16" s="107">
        <f t="shared" si="7"/>
        <v>0</v>
      </c>
      <c r="M16" s="472"/>
      <c r="N16" s="364"/>
      <c r="O16" s="364"/>
      <c r="P16" s="364"/>
      <c r="Q16" s="364"/>
      <c r="R16" s="364"/>
      <c r="S16" s="364"/>
      <c r="T16" s="364"/>
      <c r="U16" s="364"/>
      <c r="V16" s="473"/>
      <c r="W16" s="3"/>
    </row>
    <row r="17" spans="1:23" ht="11.25" customHeight="1" x14ac:dyDescent="0.2">
      <c r="A17" s="388"/>
      <c r="B17" s="437" t="s">
        <v>101</v>
      </c>
      <c r="C17" s="152"/>
      <c r="D17" s="107">
        <v>0</v>
      </c>
      <c r="E17" s="222">
        <f t="shared" ref="E17:K17" si="8">E15*E16</f>
        <v>0</v>
      </c>
      <c r="F17" s="222">
        <f t="shared" si="8"/>
        <v>0</v>
      </c>
      <c r="G17" s="222">
        <f t="shared" si="8"/>
        <v>0</v>
      </c>
      <c r="H17" s="222">
        <f t="shared" si="8"/>
        <v>0</v>
      </c>
      <c r="I17" s="222">
        <f t="shared" si="8"/>
        <v>0</v>
      </c>
      <c r="J17" s="222">
        <f t="shared" si="8"/>
        <v>0</v>
      </c>
      <c r="K17" s="222">
        <f t="shared" si="8"/>
        <v>0</v>
      </c>
      <c r="M17" s="472"/>
      <c r="N17" s="364"/>
      <c r="O17" s="364"/>
      <c r="P17" s="364"/>
      <c r="Q17" s="364"/>
      <c r="R17" s="364"/>
      <c r="S17" s="364"/>
      <c r="T17" s="364"/>
      <c r="U17" s="364"/>
      <c r="V17" s="473"/>
      <c r="W17" s="3"/>
    </row>
    <row r="18" spans="1:23" ht="11.25" customHeight="1" x14ac:dyDescent="0.2">
      <c r="A18" s="182"/>
      <c r="B18" s="440" t="s">
        <v>62</v>
      </c>
      <c r="C18" s="194" t="s">
        <v>98</v>
      </c>
      <c r="D18" s="108">
        <f>IF(D17=0,0,D14/D17)</f>
        <v>0</v>
      </c>
      <c r="E18" s="385">
        <f t="shared" ref="E18:K18" si="9">D18</f>
        <v>0</v>
      </c>
      <c r="F18" s="385">
        <f t="shared" si="9"/>
        <v>0</v>
      </c>
      <c r="G18" s="385">
        <f t="shared" si="9"/>
        <v>0</v>
      </c>
      <c r="H18" s="385">
        <f t="shared" si="9"/>
        <v>0</v>
      </c>
      <c r="I18" s="385">
        <f t="shared" si="9"/>
        <v>0</v>
      </c>
      <c r="J18" s="385">
        <f t="shared" si="9"/>
        <v>0</v>
      </c>
      <c r="K18" s="386">
        <f t="shared" si="9"/>
        <v>0</v>
      </c>
      <c r="M18" s="472"/>
      <c r="N18" s="364"/>
      <c r="O18" s="364"/>
      <c r="P18" s="364"/>
      <c r="Q18" s="364"/>
      <c r="R18" s="364"/>
      <c r="S18" s="364"/>
      <c r="T18" s="364"/>
      <c r="U18" s="364"/>
      <c r="V18" s="473"/>
      <c r="W18" s="3"/>
    </row>
    <row r="19" spans="1:23" ht="3" customHeight="1" x14ac:dyDescent="0.2">
      <c r="A19" s="182"/>
      <c r="B19" s="438"/>
      <c r="C19" s="192"/>
      <c r="D19" s="109"/>
      <c r="E19" s="109"/>
      <c r="F19" s="109"/>
      <c r="G19" s="109"/>
      <c r="H19" s="109"/>
      <c r="I19" s="109"/>
      <c r="J19" s="109"/>
      <c r="K19" s="109"/>
      <c r="M19" s="475"/>
      <c r="N19" s="476"/>
      <c r="O19" s="476"/>
      <c r="P19" s="476"/>
      <c r="Q19" s="476"/>
      <c r="R19" s="476"/>
      <c r="S19" s="476"/>
      <c r="T19" s="476"/>
      <c r="U19" s="476"/>
      <c r="V19" s="477"/>
      <c r="W19" s="3"/>
    </row>
    <row r="20" spans="1:23" ht="11.25" customHeight="1" x14ac:dyDescent="0.2">
      <c r="A20" s="2"/>
      <c r="B20" s="439" t="s">
        <v>87</v>
      </c>
      <c r="C20" s="193" t="s">
        <v>98</v>
      </c>
      <c r="D20" s="107">
        <v>0</v>
      </c>
      <c r="E20" s="222">
        <f t="shared" ref="E20:K20" si="10">E23*E24</f>
        <v>0</v>
      </c>
      <c r="F20" s="222">
        <f t="shared" si="10"/>
        <v>0</v>
      </c>
      <c r="G20" s="222">
        <f t="shared" si="10"/>
        <v>0</v>
      </c>
      <c r="H20" s="222">
        <f t="shared" si="10"/>
        <v>0</v>
      </c>
      <c r="I20" s="222">
        <f t="shared" si="10"/>
        <v>0</v>
      </c>
      <c r="J20" s="222">
        <f t="shared" si="10"/>
        <v>0</v>
      </c>
      <c r="K20" s="222">
        <f t="shared" si="10"/>
        <v>0</v>
      </c>
      <c r="M20" s="472"/>
      <c r="N20" s="364"/>
      <c r="O20" s="364"/>
      <c r="P20" s="364"/>
      <c r="Q20" s="364"/>
      <c r="R20" s="364"/>
      <c r="S20" s="364"/>
      <c r="T20" s="364"/>
      <c r="U20" s="364"/>
      <c r="V20" s="473"/>
      <c r="W20" s="3"/>
    </row>
    <row r="21" spans="1:23" ht="11.25" customHeight="1" x14ac:dyDescent="0.2">
      <c r="A21" s="182"/>
      <c r="B21" s="437" t="s">
        <v>95</v>
      </c>
      <c r="C21" s="152" t="s">
        <v>99</v>
      </c>
      <c r="D21" s="221">
        <v>0</v>
      </c>
      <c r="E21" s="105">
        <f>D21</f>
        <v>0</v>
      </c>
      <c r="F21" s="105">
        <f t="shared" ref="F21:K21" si="11">E21</f>
        <v>0</v>
      </c>
      <c r="G21" s="105">
        <f t="shared" si="11"/>
        <v>0</v>
      </c>
      <c r="H21" s="105">
        <f t="shared" si="11"/>
        <v>0</v>
      </c>
      <c r="I21" s="105">
        <f t="shared" si="11"/>
        <v>0</v>
      </c>
      <c r="J21" s="105">
        <f t="shared" si="11"/>
        <v>0</v>
      </c>
      <c r="K21" s="107">
        <f t="shared" si="11"/>
        <v>0</v>
      </c>
      <c r="M21" s="472"/>
      <c r="N21" s="364"/>
      <c r="O21" s="364"/>
      <c r="P21" s="364"/>
      <c r="Q21" s="364"/>
      <c r="R21" s="364"/>
      <c r="S21" s="364"/>
      <c r="T21" s="364"/>
      <c r="U21" s="364"/>
      <c r="V21" s="473"/>
      <c r="W21" s="3"/>
    </row>
    <row r="22" spans="1:23" ht="11.25" customHeight="1" x14ac:dyDescent="0.2">
      <c r="A22" s="182"/>
      <c r="B22" s="437" t="s">
        <v>100</v>
      </c>
      <c r="C22" s="152"/>
      <c r="D22" s="222">
        <f>IF(D21=0,0,D23/D21)</f>
        <v>0</v>
      </c>
      <c r="E22" s="105">
        <f>D22</f>
        <v>0</v>
      </c>
      <c r="F22" s="105">
        <f t="shared" ref="F22:K22" si="12">E22</f>
        <v>0</v>
      </c>
      <c r="G22" s="105">
        <f t="shared" si="12"/>
        <v>0</v>
      </c>
      <c r="H22" s="105">
        <f t="shared" si="12"/>
        <v>0</v>
      </c>
      <c r="I22" s="105">
        <f t="shared" si="12"/>
        <v>0</v>
      </c>
      <c r="J22" s="105">
        <f t="shared" si="12"/>
        <v>0</v>
      </c>
      <c r="K22" s="107">
        <f t="shared" si="12"/>
        <v>0</v>
      </c>
      <c r="M22" s="472"/>
      <c r="N22" s="364"/>
      <c r="O22" s="364"/>
      <c r="P22" s="364"/>
      <c r="Q22" s="364"/>
      <c r="R22" s="364"/>
      <c r="S22" s="364"/>
      <c r="T22" s="364"/>
      <c r="U22" s="364"/>
      <c r="V22" s="473"/>
      <c r="W22" s="3"/>
    </row>
    <row r="23" spans="1:23" ht="11.25" customHeight="1" x14ac:dyDescent="0.2">
      <c r="B23" s="437" t="s">
        <v>101</v>
      </c>
      <c r="C23" s="152"/>
      <c r="D23" s="107">
        <v>0</v>
      </c>
      <c r="E23" s="222">
        <f t="shared" ref="E23:K23" si="13">E21*E22</f>
        <v>0</v>
      </c>
      <c r="F23" s="222">
        <f t="shared" si="13"/>
        <v>0</v>
      </c>
      <c r="G23" s="222">
        <f t="shared" si="13"/>
        <v>0</v>
      </c>
      <c r="H23" s="222">
        <f t="shared" si="13"/>
        <v>0</v>
      </c>
      <c r="I23" s="222">
        <f t="shared" si="13"/>
        <v>0</v>
      </c>
      <c r="J23" s="222">
        <f t="shared" si="13"/>
        <v>0</v>
      </c>
      <c r="K23" s="222">
        <f t="shared" si="13"/>
        <v>0</v>
      </c>
      <c r="M23" s="472"/>
      <c r="N23" s="364"/>
      <c r="O23" s="364"/>
      <c r="P23" s="364"/>
      <c r="Q23" s="364"/>
      <c r="R23" s="364"/>
      <c r="S23" s="364"/>
      <c r="T23" s="364"/>
      <c r="U23" s="364"/>
      <c r="V23" s="473"/>
      <c r="W23" s="3"/>
    </row>
    <row r="24" spans="1:23" ht="11.25" customHeight="1" x14ac:dyDescent="0.2">
      <c r="A24" s="182"/>
      <c r="B24" s="440" t="s">
        <v>62</v>
      </c>
      <c r="C24" s="194" t="s">
        <v>98</v>
      </c>
      <c r="D24" s="108">
        <f>IF(D23=0,0,D20/D23)</f>
        <v>0</v>
      </c>
      <c r="E24" s="385">
        <f>D24</f>
        <v>0</v>
      </c>
      <c r="F24" s="385">
        <f t="shared" ref="F24:K24" si="14">E24</f>
        <v>0</v>
      </c>
      <c r="G24" s="385">
        <f t="shared" si="14"/>
        <v>0</v>
      </c>
      <c r="H24" s="385">
        <f t="shared" si="14"/>
        <v>0</v>
      </c>
      <c r="I24" s="385">
        <f t="shared" si="14"/>
        <v>0</v>
      </c>
      <c r="J24" s="385">
        <f t="shared" si="14"/>
        <v>0</v>
      </c>
      <c r="K24" s="386">
        <f t="shared" si="14"/>
        <v>0</v>
      </c>
      <c r="M24" s="472"/>
      <c r="N24" s="364"/>
      <c r="O24" s="364"/>
      <c r="P24" s="364"/>
      <c r="Q24" s="364"/>
      <c r="R24" s="364"/>
      <c r="S24" s="364"/>
      <c r="T24" s="364"/>
      <c r="U24" s="364"/>
      <c r="V24" s="473"/>
      <c r="W24" s="3"/>
    </row>
    <row r="25" spans="1:23" ht="3" customHeight="1" x14ac:dyDescent="0.2">
      <c r="A25" s="2"/>
      <c r="B25" s="438"/>
      <c r="C25" s="192"/>
      <c r="D25" s="109"/>
      <c r="E25" s="109"/>
      <c r="F25" s="109"/>
      <c r="G25" s="109"/>
      <c r="H25" s="109"/>
      <c r="I25" s="109"/>
      <c r="J25" s="109"/>
      <c r="K25" s="109"/>
      <c r="M25" s="475"/>
      <c r="N25" s="476"/>
      <c r="O25" s="476"/>
      <c r="P25" s="476"/>
      <c r="Q25" s="476"/>
      <c r="R25" s="476"/>
      <c r="S25" s="476"/>
      <c r="T25" s="476"/>
      <c r="U25" s="476"/>
      <c r="V25" s="477"/>
      <c r="W25" s="3"/>
    </row>
    <row r="26" spans="1:23" ht="11.25" customHeight="1" x14ac:dyDescent="0.2">
      <c r="A26" s="2"/>
      <c r="B26" s="439" t="s">
        <v>0</v>
      </c>
      <c r="C26" s="193" t="s">
        <v>98</v>
      </c>
      <c r="D26" s="107"/>
      <c r="E26" s="222">
        <f t="shared" ref="E26:K26" si="15">E29*E30</f>
        <v>0</v>
      </c>
      <c r="F26" s="222">
        <f t="shared" si="15"/>
        <v>0</v>
      </c>
      <c r="G26" s="222">
        <f t="shared" si="15"/>
        <v>0</v>
      </c>
      <c r="H26" s="222">
        <f t="shared" si="15"/>
        <v>0</v>
      </c>
      <c r="I26" s="222">
        <f t="shared" si="15"/>
        <v>0</v>
      </c>
      <c r="J26" s="222">
        <f t="shared" si="15"/>
        <v>0</v>
      </c>
      <c r="K26" s="222">
        <f t="shared" si="15"/>
        <v>0</v>
      </c>
      <c r="M26" s="472"/>
      <c r="N26" s="364"/>
      <c r="O26" s="364"/>
      <c r="P26" s="364"/>
      <c r="Q26" s="364"/>
      <c r="R26" s="364"/>
      <c r="S26" s="364"/>
      <c r="T26" s="364"/>
      <c r="U26" s="364"/>
      <c r="V26" s="473"/>
      <c r="W26" s="3"/>
    </row>
    <row r="27" spans="1:23" ht="11.25" customHeight="1" x14ac:dyDescent="0.2">
      <c r="A27" s="182"/>
      <c r="B27" s="437" t="s">
        <v>95</v>
      </c>
      <c r="C27" s="152" t="s">
        <v>99</v>
      </c>
      <c r="D27" s="221"/>
      <c r="E27" s="105">
        <f>D27</f>
        <v>0</v>
      </c>
      <c r="F27" s="105">
        <f t="shared" ref="F27:K27" si="16">E27</f>
        <v>0</v>
      </c>
      <c r="G27" s="105">
        <f t="shared" si="16"/>
        <v>0</v>
      </c>
      <c r="H27" s="105">
        <f t="shared" si="16"/>
        <v>0</v>
      </c>
      <c r="I27" s="105">
        <f t="shared" si="16"/>
        <v>0</v>
      </c>
      <c r="J27" s="105">
        <f t="shared" si="16"/>
        <v>0</v>
      </c>
      <c r="K27" s="107">
        <f t="shared" si="16"/>
        <v>0</v>
      </c>
      <c r="M27" s="472"/>
      <c r="N27" s="364"/>
      <c r="O27" s="364"/>
      <c r="P27" s="364"/>
      <c r="Q27" s="364"/>
      <c r="R27" s="364"/>
      <c r="S27" s="364"/>
      <c r="T27" s="364"/>
      <c r="U27" s="364"/>
      <c r="V27" s="473"/>
      <c r="W27" s="3"/>
    </row>
    <row r="28" spans="1:23" ht="11.25" customHeight="1" x14ac:dyDescent="0.2">
      <c r="B28" s="437" t="s">
        <v>100</v>
      </c>
      <c r="C28" s="152"/>
      <c r="D28" s="222">
        <f>IF(D27=0,0,D29/D27)</f>
        <v>0</v>
      </c>
      <c r="E28" s="105">
        <f>D28</f>
        <v>0</v>
      </c>
      <c r="F28" s="105">
        <f t="shared" ref="F28:K28" si="17">E28</f>
        <v>0</v>
      </c>
      <c r="G28" s="105">
        <f t="shared" si="17"/>
        <v>0</v>
      </c>
      <c r="H28" s="105">
        <f t="shared" si="17"/>
        <v>0</v>
      </c>
      <c r="I28" s="105">
        <f t="shared" si="17"/>
        <v>0</v>
      </c>
      <c r="J28" s="105">
        <f t="shared" si="17"/>
        <v>0</v>
      </c>
      <c r="K28" s="107">
        <f t="shared" si="17"/>
        <v>0</v>
      </c>
      <c r="M28" s="472"/>
      <c r="N28" s="364"/>
      <c r="O28" s="364"/>
      <c r="P28" s="364"/>
      <c r="Q28" s="364"/>
      <c r="R28" s="364"/>
      <c r="S28" s="364"/>
      <c r="T28" s="364"/>
      <c r="U28" s="364"/>
      <c r="V28" s="473"/>
      <c r="W28" s="3"/>
    </row>
    <row r="29" spans="1:23" ht="11.25" customHeight="1" x14ac:dyDescent="0.2">
      <c r="A29" s="182"/>
      <c r="B29" s="437" t="s">
        <v>101</v>
      </c>
      <c r="C29" s="152"/>
      <c r="D29" s="107"/>
      <c r="E29" s="222">
        <f t="shared" ref="E29:K29" si="18">E27*E28</f>
        <v>0</v>
      </c>
      <c r="F29" s="222">
        <f t="shared" si="18"/>
        <v>0</v>
      </c>
      <c r="G29" s="222">
        <f t="shared" si="18"/>
        <v>0</v>
      </c>
      <c r="H29" s="222">
        <f t="shared" si="18"/>
        <v>0</v>
      </c>
      <c r="I29" s="222">
        <f t="shared" si="18"/>
        <v>0</v>
      </c>
      <c r="J29" s="222">
        <f t="shared" si="18"/>
        <v>0</v>
      </c>
      <c r="K29" s="222">
        <f t="shared" si="18"/>
        <v>0</v>
      </c>
      <c r="M29" s="472"/>
      <c r="N29" s="364"/>
      <c r="O29" s="364"/>
      <c r="P29" s="364"/>
      <c r="Q29" s="364"/>
      <c r="R29" s="364"/>
      <c r="S29" s="364"/>
      <c r="T29" s="364"/>
      <c r="U29" s="364"/>
      <c r="V29" s="473"/>
      <c r="W29" s="3"/>
    </row>
    <row r="30" spans="1:23" ht="11.25" customHeight="1" x14ac:dyDescent="0.2">
      <c r="A30" s="2"/>
      <c r="B30" s="440" t="s">
        <v>62</v>
      </c>
      <c r="C30" s="194" t="s">
        <v>98</v>
      </c>
      <c r="D30" s="108">
        <f>IF(D29=0,0,D26/D29)</f>
        <v>0</v>
      </c>
      <c r="E30" s="385">
        <f>D30</f>
        <v>0</v>
      </c>
      <c r="F30" s="385">
        <f t="shared" ref="F30:K30" si="19">E30</f>
        <v>0</v>
      </c>
      <c r="G30" s="385">
        <f t="shared" si="19"/>
        <v>0</v>
      </c>
      <c r="H30" s="385">
        <f t="shared" si="19"/>
        <v>0</v>
      </c>
      <c r="I30" s="385">
        <f t="shared" si="19"/>
        <v>0</v>
      </c>
      <c r="J30" s="385">
        <f t="shared" si="19"/>
        <v>0</v>
      </c>
      <c r="K30" s="386">
        <f t="shared" si="19"/>
        <v>0</v>
      </c>
      <c r="M30" s="472"/>
      <c r="N30" s="364"/>
      <c r="O30" s="364"/>
      <c r="P30" s="364"/>
      <c r="Q30" s="364"/>
      <c r="R30" s="364"/>
      <c r="S30" s="364"/>
      <c r="T30" s="364"/>
      <c r="U30" s="364"/>
      <c r="V30" s="473"/>
      <c r="W30" s="3"/>
    </row>
    <row r="31" spans="1:23" ht="3" customHeight="1" x14ac:dyDescent="0.2">
      <c r="B31" s="438"/>
      <c r="C31" s="192"/>
      <c r="D31" s="109"/>
      <c r="E31" s="109"/>
      <c r="F31" s="109"/>
      <c r="G31" s="109"/>
      <c r="H31" s="109"/>
      <c r="I31" s="109"/>
      <c r="J31" s="109"/>
      <c r="K31" s="109"/>
      <c r="M31" s="475"/>
      <c r="N31" s="476"/>
      <c r="O31" s="476"/>
      <c r="P31" s="476"/>
      <c r="Q31" s="476"/>
      <c r="R31" s="476"/>
      <c r="S31" s="476"/>
      <c r="T31" s="476"/>
      <c r="U31" s="476"/>
      <c r="V31" s="477"/>
      <c r="W31" s="3"/>
    </row>
    <row r="32" spans="1:23" ht="11.25" customHeight="1" x14ac:dyDescent="0.2">
      <c r="A32" s="182"/>
      <c r="B32" s="439">
        <v>0</v>
      </c>
      <c r="C32" s="193" t="s">
        <v>98</v>
      </c>
      <c r="D32" s="107"/>
      <c r="E32" s="222">
        <f t="shared" ref="E32:K32" si="20">E35*E36</f>
        <v>0</v>
      </c>
      <c r="F32" s="222">
        <f t="shared" si="20"/>
        <v>0</v>
      </c>
      <c r="G32" s="222">
        <f t="shared" si="20"/>
        <v>0</v>
      </c>
      <c r="H32" s="222">
        <f t="shared" si="20"/>
        <v>0</v>
      </c>
      <c r="I32" s="222">
        <f t="shared" si="20"/>
        <v>0</v>
      </c>
      <c r="J32" s="222">
        <f t="shared" si="20"/>
        <v>0</v>
      </c>
      <c r="K32" s="222">
        <f t="shared" si="20"/>
        <v>0</v>
      </c>
      <c r="M32" s="472"/>
      <c r="N32" s="364"/>
      <c r="O32" s="364"/>
      <c r="P32" s="364"/>
      <c r="Q32" s="364"/>
      <c r="R32" s="364"/>
      <c r="S32" s="364"/>
      <c r="T32" s="364"/>
      <c r="U32" s="364"/>
      <c r="V32" s="473"/>
      <c r="W32" s="3"/>
    </row>
    <row r="33" spans="1:23" ht="11.25" customHeight="1" x14ac:dyDescent="0.2">
      <c r="B33" s="437" t="s">
        <v>95</v>
      </c>
      <c r="C33" s="152" t="s">
        <v>99</v>
      </c>
      <c r="D33" s="221"/>
      <c r="E33" s="105">
        <f>D33</f>
        <v>0</v>
      </c>
      <c r="F33" s="105">
        <f t="shared" ref="F33:K33" si="21">E33</f>
        <v>0</v>
      </c>
      <c r="G33" s="105">
        <f t="shared" si="21"/>
        <v>0</v>
      </c>
      <c r="H33" s="105">
        <f t="shared" si="21"/>
        <v>0</v>
      </c>
      <c r="I33" s="105">
        <f t="shared" si="21"/>
        <v>0</v>
      </c>
      <c r="J33" s="105">
        <f t="shared" si="21"/>
        <v>0</v>
      </c>
      <c r="K33" s="107">
        <f t="shared" si="21"/>
        <v>0</v>
      </c>
      <c r="M33" s="472"/>
      <c r="N33" s="364"/>
      <c r="O33" s="364"/>
      <c r="P33" s="364"/>
      <c r="Q33" s="364"/>
      <c r="R33" s="364"/>
      <c r="S33" s="364"/>
      <c r="T33" s="364"/>
      <c r="U33" s="364"/>
      <c r="V33" s="473"/>
      <c r="W33" s="3"/>
    </row>
    <row r="34" spans="1:23" ht="11.25" customHeight="1" x14ac:dyDescent="0.2">
      <c r="A34" s="182"/>
      <c r="B34" s="437" t="s">
        <v>100</v>
      </c>
      <c r="C34" s="152"/>
      <c r="D34" s="222">
        <f>IF(D33=0,0,D35/D33)</f>
        <v>0</v>
      </c>
      <c r="E34" s="105">
        <f>D34</f>
        <v>0</v>
      </c>
      <c r="F34" s="105">
        <f t="shared" ref="F34:K34" si="22">E34</f>
        <v>0</v>
      </c>
      <c r="G34" s="105">
        <f t="shared" si="22"/>
        <v>0</v>
      </c>
      <c r="H34" s="105">
        <f t="shared" si="22"/>
        <v>0</v>
      </c>
      <c r="I34" s="105">
        <f t="shared" si="22"/>
        <v>0</v>
      </c>
      <c r="J34" s="105">
        <f t="shared" si="22"/>
        <v>0</v>
      </c>
      <c r="K34" s="107">
        <f t="shared" si="22"/>
        <v>0</v>
      </c>
      <c r="M34" s="472"/>
      <c r="N34" s="364"/>
      <c r="O34" s="364"/>
      <c r="P34" s="364"/>
      <c r="Q34" s="364"/>
      <c r="R34" s="364"/>
      <c r="S34" s="364"/>
      <c r="T34" s="364"/>
      <c r="U34" s="364"/>
      <c r="V34" s="473"/>
      <c r="W34" s="3"/>
    </row>
    <row r="35" spans="1:23" ht="11.25" customHeight="1" x14ac:dyDescent="0.2">
      <c r="B35" s="437" t="s">
        <v>101</v>
      </c>
      <c r="C35" s="152"/>
      <c r="D35" s="107"/>
      <c r="E35" s="222">
        <f t="shared" ref="E35:K35" si="23">E33*E34</f>
        <v>0</v>
      </c>
      <c r="F35" s="222">
        <f t="shared" si="23"/>
        <v>0</v>
      </c>
      <c r="G35" s="222">
        <f t="shared" si="23"/>
        <v>0</v>
      </c>
      <c r="H35" s="222">
        <f t="shared" si="23"/>
        <v>0</v>
      </c>
      <c r="I35" s="222">
        <f t="shared" si="23"/>
        <v>0</v>
      </c>
      <c r="J35" s="222">
        <f t="shared" si="23"/>
        <v>0</v>
      </c>
      <c r="K35" s="222">
        <f t="shared" si="23"/>
        <v>0</v>
      </c>
      <c r="M35" s="472"/>
      <c r="N35" s="364"/>
      <c r="O35" s="364"/>
      <c r="P35" s="364"/>
      <c r="Q35" s="364"/>
      <c r="R35" s="364"/>
      <c r="S35" s="364"/>
      <c r="T35" s="364"/>
      <c r="U35" s="364"/>
      <c r="V35" s="473"/>
      <c r="W35" s="3"/>
    </row>
    <row r="36" spans="1:23" ht="11.25" customHeight="1" x14ac:dyDescent="0.2">
      <c r="B36" s="440" t="s">
        <v>62</v>
      </c>
      <c r="C36" s="194" t="s">
        <v>98</v>
      </c>
      <c r="D36" s="108">
        <f>IF(D35=0,0,D32/D35)</f>
        <v>0</v>
      </c>
      <c r="E36" s="385">
        <v>0</v>
      </c>
      <c r="F36" s="385">
        <f t="shared" ref="F36:K36" si="24">E36</f>
        <v>0</v>
      </c>
      <c r="G36" s="385">
        <f t="shared" si="24"/>
        <v>0</v>
      </c>
      <c r="H36" s="385">
        <f t="shared" si="24"/>
        <v>0</v>
      </c>
      <c r="I36" s="385">
        <f t="shared" si="24"/>
        <v>0</v>
      </c>
      <c r="J36" s="385">
        <f t="shared" si="24"/>
        <v>0</v>
      </c>
      <c r="K36" s="386">
        <f t="shared" si="24"/>
        <v>0</v>
      </c>
      <c r="M36" s="472"/>
      <c r="N36" s="364"/>
      <c r="O36" s="364"/>
      <c r="P36" s="364"/>
      <c r="Q36" s="364"/>
      <c r="R36" s="364"/>
      <c r="S36" s="364"/>
      <c r="T36" s="364"/>
      <c r="U36" s="364"/>
      <c r="V36" s="473"/>
      <c r="W36" s="3"/>
    </row>
    <row r="37" spans="1:23" ht="3" customHeight="1" x14ac:dyDescent="0.2">
      <c r="A37" s="157"/>
      <c r="B37" s="438"/>
      <c r="C37" s="192"/>
      <c r="D37" s="109"/>
      <c r="E37" s="109"/>
      <c r="F37" s="109"/>
      <c r="G37" s="109"/>
      <c r="H37" s="109"/>
      <c r="I37" s="109"/>
      <c r="J37" s="109"/>
      <c r="K37" s="109"/>
      <c r="M37" s="475"/>
      <c r="N37" s="476"/>
      <c r="O37" s="476"/>
      <c r="P37" s="476"/>
      <c r="Q37" s="476"/>
      <c r="R37" s="476"/>
      <c r="S37" s="476"/>
      <c r="T37" s="476"/>
      <c r="U37" s="476"/>
      <c r="V37" s="477"/>
      <c r="W37" s="3"/>
    </row>
    <row r="38" spans="1:23" ht="11.25" customHeight="1" x14ac:dyDescent="0.2">
      <c r="A38" s="157"/>
      <c r="B38" s="439">
        <v>0</v>
      </c>
      <c r="C38" s="193" t="s">
        <v>98</v>
      </c>
      <c r="D38" s="107"/>
      <c r="E38" s="222">
        <f t="shared" ref="E38:K38" si="25">E41*E42</f>
        <v>0</v>
      </c>
      <c r="F38" s="222">
        <f t="shared" si="25"/>
        <v>0</v>
      </c>
      <c r="G38" s="222">
        <f t="shared" si="25"/>
        <v>0</v>
      </c>
      <c r="H38" s="222">
        <f t="shared" si="25"/>
        <v>0</v>
      </c>
      <c r="I38" s="222">
        <f t="shared" si="25"/>
        <v>0</v>
      </c>
      <c r="J38" s="222">
        <f t="shared" si="25"/>
        <v>0</v>
      </c>
      <c r="K38" s="222">
        <f t="shared" si="25"/>
        <v>0</v>
      </c>
      <c r="M38" s="472"/>
      <c r="N38" s="364"/>
      <c r="O38" s="364"/>
      <c r="P38" s="364"/>
      <c r="Q38" s="364"/>
      <c r="R38" s="364"/>
      <c r="S38" s="364"/>
      <c r="T38" s="364"/>
      <c r="U38" s="364"/>
      <c r="V38" s="473"/>
      <c r="W38" s="3"/>
    </row>
    <row r="39" spans="1:23" ht="11.25" customHeight="1" x14ac:dyDescent="0.2">
      <c r="B39" s="437" t="s">
        <v>95</v>
      </c>
      <c r="C39" s="152" t="s">
        <v>99</v>
      </c>
      <c r="D39" s="220"/>
      <c r="E39" s="105">
        <f>D39</f>
        <v>0</v>
      </c>
      <c r="F39" s="105">
        <f t="shared" ref="F39:K39" si="26">E39</f>
        <v>0</v>
      </c>
      <c r="G39" s="105">
        <f t="shared" si="26"/>
        <v>0</v>
      </c>
      <c r="H39" s="105">
        <f t="shared" si="26"/>
        <v>0</v>
      </c>
      <c r="I39" s="105">
        <f t="shared" si="26"/>
        <v>0</v>
      </c>
      <c r="J39" s="105">
        <f t="shared" si="26"/>
        <v>0</v>
      </c>
      <c r="K39" s="107">
        <f t="shared" si="26"/>
        <v>0</v>
      </c>
      <c r="M39" s="472"/>
      <c r="N39" s="364"/>
      <c r="O39" s="364"/>
      <c r="P39" s="364"/>
      <c r="Q39" s="364"/>
      <c r="R39" s="364"/>
      <c r="S39" s="364"/>
      <c r="T39" s="364"/>
      <c r="U39" s="364"/>
      <c r="V39" s="473"/>
      <c r="W39" s="3"/>
    </row>
    <row r="40" spans="1:23" ht="11.25" customHeight="1" x14ac:dyDescent="0.2">
      <c r="B40" s="437" t="s">
        <v>100</v>
      </c>
      <c r="C40" s="152"/>
      <c r="D40" s="106">
        <f>IF(D39=0,0,D41/D39)</f>
        <v>0</v>
      </c>
      <c r="E40" s="105">
        <f>D40</f>
        <v>0</v>
      </c>
      <c r="F40" s="105">
        <f t="shared" ref="F40:K40" si="27">E40</f>
        <v>0</v>
      </c>
      <c r="G40" s="105">
        <f t="shared" si="27"/>
        <v>0</v>
      </c>
      <c r="H40" s="105">
        <f t="shared" si="27"/>
        <v>0</v>
      </c>
      <c r="I40" s="105">
        <f t="shared" si="27"/>
        <v>0</v>
      </c>
      <c r="J40" s="105">
        <f t="shared" si="27"/>
        <v>0</v>
      </c>
      <c r="K40" s="107">
        <f t="shared" si="27"/>
        <v>0</v>
      </c>
      <c r="M40" s="472"/>
      <c r="N40" s="364"/>
      <c r="O40" s="364"/>
      <c r="P40" s="364"/>
      <c r="Q40" s="364"/>
      <c r="R40" s="364"/>
      <c r="S40" s="364"/>
      <c r="T40" s="364"/>
      <c r="U40" s="364"/>
      <c r="V40" s="473"/>
      <c r="W40" s="3"/>
    </row>
    <row r="41" spans="1:23" ht="11.25" customHeight="1" x14ac:dyDescent="0.2">
      <c r="B41" s="437" t="s">
        <v>101</v>
      </c>
      <c r="C41" s="152"/>
      <c r="D41" s="107"/>
      <c r="E41" s="222">
        <f t="shared" ref="E41:K41" si="28">E39*E40</f>
        <v>0</v>
      </c>
      <c r="F41" s="222">
        <f t="shared" si="28"/>
        <v>0</v>
      </c>
      <c r="G41" s="222">
        <f t="shared" si="28"/>
        <v>0</v>
      </c>
      <c r="H41" s="222">
        <f t="shared" si="28"/>
        <v>0</v>
      </c>
      <c r="I41" s="222">
        <f t="shared" si="28"/>
        <v>0</v>
      </c>
      <c r="J41" s="222">
        <f t="shared" si="28"/>
        <v>0</v>
      </c>
      <c r="K41" s="222">
        <f t="shared" si="28"/>
        <v>0</v>
      </c>
      <c r="M41" s="472"/>
      <c r="N41" s="364"/>
      <c r="O41" s="364"/>
      <c r="P41" s="364"/>
      <c r="Q41" s="364"/>
      <c r="R41" s="364"/>
      <c r="S41" s="364"/>
      <c r="T41" s="364"/>
      <c r="U41" s="364"/>
      <c r="V41" s="473"/>
      <c r="W41" s="3"/>
    </row>
    <row r="42" spans="1:23" ht="11.25" customHeight="1" thickBot="1" x14ac:dyDescent="0.25">
      <c r="B42" s="440" t="s">
        <v>62</v>
      </c>
      <c r="C42" s="194" t="s">
        <v>98</v>
      </c>
      <c r="D42" s="108">
        <f>IF(D41=0,0,D38/D41)</f>
        <v>0</v>
      </c>
      <c r="E42" s="385">
        <v>0</v>
      </c>
      <c r="F42" s="385">
        <f t="shared" ref="F42:K42" si="29">E42</f>
        <v>0</v>
      </c>
      <c r="G42" s="385">
        <f t="shared" si="29"/>
        <v>0</v>
      </c>
      <c r="H42" s="385">
        <f t="shared" si="29"/>
        <v>0</v>
      </c>
      <c r="I42" s="385">
        <f t="shared" si="29"/>
        <v>0</v>
      </c>
      <c r="J42" s="385">
        <f t="shared" si="29"/>
        <v>0</v>
      </c>
      <c r="K42" s="387">
        <f t="shared" si="29"/>
        <v>0</v>
      </c>
      <c r="M42" s="472"/>
      <c r="N42" s="364"/>
      <c r="O42" s="364"/>
      <c r="P42" s="364"/>
      <c r="Q42" s="364"/>
      <c r="R42" s="364"/>
      <c r="S42" s="364"/>
      <c r="T42" s="364"/>
      <c r="U42" s="364"/>
      <c r="V42" s="473"/>
      <c r="W42" s="3"/>
    </row>
    <row r="43" spans="1:23" ht="11.25" customHeight="1" x14ac:dyDescent="0.2">
      <c r="B43" s="441" t="s">
        <v>108</v>
      </c>
      <c r="C43" s="195"/>
      <c r="D43" s="224">
        <f>D8+D14+D20+D26+D38+D32</f>
        <v>0</v>
      </c>
      <c r="E43" s="224">
        <f ca="1">IF(Ohjeet!$H67&gt;Ohjeet!$H21,0,E8+E14+E20+E26+E38+E32)</f>
        <v>0</v>
      </c>
      <c r="F43" s="224">
        <f ca="1">IF(Ohjeet!$H67&gt;Ohjeet!$H21,0,F8+F14+F20+F26+F38+F32)</f>
        <v>0</v>
      </c>
      <c r="G43" s="224">
        <f ca="1">IF(Ohjeet!$H67&gt;Ohjeet!$H21,0,G8+G14+G20+G26+G38+G32)</f>
        <v>0</v>
      </c>
      <c r="H43" s="224">
        <f ca="1">IF(Ohjeet!$H67&gt;Ohjeet!$H21,0,H8+H14+H20+H26+H38+H32)</f>
        <v>0</v>
      </c>
      <c r="I43" s="224">
        <f ca="1">IF(Ohjeet!$H67&gt;Ohjeet!$H21,0,I8+I14+I20+I26+I38+I32)</f>
        <v>0</v>
      </c>
      <c r="J43" s="224">
        <f ca="1">IF(Ohjeet!$H67&gt;Ohjeet!$H21,0,J8+J14+J20+J26+J38+J32)</f>
        <v>0</v>
      </c>
      <c r="K43" s="224">
        <f ca="1">IF(Ohjeet!$H67&gt;Ohjeet!$H21,0,K8+K14+K20+K26+K38+K32)</f>
        <v>0</v>
      </c>
      <c r="L43" s="3"/>
      <c r="M43" s="472"/>
      <c r="N43" s="364"/>
      <c r="O43" s="364"/>
      <c r="P43" s="364"/>
      <c r="Q43" s="364"/>
      <c r="R43" s="364"/>
      <c r="S43" s="364"/>
      <c r="T43" s="364"/>
      <c r="U43" s="364"/>
      <c r="V43" s="473"/>
      <c r="W43" s="3"/>
    </row>
    <row r="44" spans="1:23" ht="4.5" customHeight="1" thickBot="1" x14ac:dyDescent="0.25">
      <c r="A44" s="3"/>
      <c r="B44" s="442"/>
      <c r="C44" s="196"/>
      <c r="D44" s="443"/>
      <c r="E44" s="443"/>
      <c r="F44" s="444"/>
      <c r="G44" s="444"/>
      <c r="H44" s="444"/>
      <c r="I44" s="444"/>
      <c r="J44" s="444"/>
      <c r="K44" s="444"/>
      <c r="L44" s="3"/>
      <c r="M44" s="461"/>
      <c r="N44" s="5"/>
      <c r="O44" s="5"/>
      <c r="P44" s="5"/>
      <c r="Q44" s="5"/>
      <c r="R44" s="5"/>
      <c r="S44" s="5"/>
      <c r="T44" s="5"/>
      <c r="U44" s="5"/>
      <c r="V44" s="462"/>
      <c r="W44" s="3"/>
    </row>
    <row r="45" spans="1:23" ht="11.25" customHeight="1" x14ac:dyDescent="0.2">
      <c r="A45" s="3"/>
      <c r="B45" s="899" t="s">
        <v>103</v>
      </c>
      <c r="C45" s="900"/>
      <c r="D45" s="633" t="str">
        <f t="shared" ref="D45:K46" si="30">D6</f>
        <v>Tot.</v>
      </c>
      <c r="E45" s="633" t="str">
        <f t="shared" si="30"/>
        <v xml:space="preserve">1. VUOSI </v>
      </c>
      <c r="F45" s="633" t="str">
        <f t="shared" si="30"/>
        <v xml:space="preserve">2. VUOSI </v>
      </c>
      <c r="G45" s="633" t="str">
        <f t="shared" si="30"/>
        <v xml:space="preserve">3. VUOSI </v>
      </c>
      <c r="H45" s="633" t="str">
        <f t="shared" si="30"/>
        <v xml:space="preserve">4. VUOSI </v>
      </c>
      <c r="I45" s="633" t="str">
        <f t="shared" si="30"/>
        <v xml:space="preserve">5. VUOSI </v>
      </c>
      <c r="J45" s="633" t="str">
        <f t="shared" si="30"/>
        <v xml:space="preserve">6. VUOSI </v>
      </c>
      <c r="K45" s="633" t="str">
        <f t="shared" si="30"/>
        <v xml:space="preserve">7. VUOSI </v>
      </c>
      <c r="L45" s="3"/>
      <c r="M45" s="499" t="s">
        <v>257</v>
      </c>
      <c r="N45" s="500"/>
      <c r="O45" s="500"/>
      <c r="P45" s="500"/>
      <c r="Q45" s="500"/>
      <c r="R45" s="500"/>
      <c r="S45" s="500"/>
      <c r="T45" s="500"/>
      <c r="U45" s="500"/>
      <c r="V45" s="501"/>
      <c r="W45" s="3"/>
    </row>
    <row r="46" spans="1:23" ht="11.25" customHeight="1" x14ac:dyDescent="0.2">
      <c r="A46" s="3"/>
      <c r="B46" s="903"/>
      <c r="C46" s="904"/>
      <c r="D46" s="634">
        <f t="shared" si="30"/>
        <v>2015</v>
      </c>
      <c r="E46" s="634">
        <f t="shared" si="30"/>
        <v>2016</v>
      </c>
      <c r="F46" s="634">
        <f t="shared" si="30"/>
        <v>2017</v>
      </c>
      <c r="G46" s="634">
        <f t="shared" si="30"/>
        <v>2018</v>
      </c>
      <c r="H46" s="634">
        <f t="shared" si="30"/>
        <v>2019</v>
      </c>
      <c r="I46" s="634">
        <f t="shared" si="30"/>
        <v>2020</v>
      </c>
      <c r="J46" s="634">
        <f t="shared" si="30"/>
        <v>2021</v>
      </c>
      <c r="K46" s="634">
        <f t="shared" si="30"/>
        <v>2022</v>
      </c>
      <c r="L46" s="3"/>
      <c r="M46" s="467"/>
      <c r="N46" s="466"/>
      <c r="O46" s="466"/>
      <c r="P46" s="466"/>
      <c r="Q46" s="466"/>
      <c r="R46" s="466"/>
      <c r="S46" s="466"/>
      <c r="T46" s="466"/>
      <c r="U46" s="466"/>
      <c r="V46" s="468"/>
      <c r="W46" s="3"/>
    </row>
    <row r="47" spans="1:23" ht="11.25" customHeight="1" x14ac:dyDescent="0.2">
      <c r="A47" s="182"/>
      <c r="B47" s="599" t="s">
        <v>104</v>
      </c>
      <c r="C47" s="600" t="s">
        <v>98</v>
      </c>
      <c r="D47" s="229">
        <v>0</v>
      </c>
      <c r="E47" s="227">
        <f>E50*E51</f>
        <v>0</v>
      </c>
      <c r="F47" s="227">
        <f t="shared" ref="F47:K47" si="31">F50*F51</f>
        <v>0</v>
      </c>
      <c r="G47" s="227">
        <f t="shared" si="31"/>
        <v>0</v>
      </c>
      <c r="H47" s="227">
        <f t="shared" si="31"/>
        <v>0</v>
      </c>
      <c r="I47" s="227">
        <f t="shared" si="31"/>
        <v>0</v>
      </c>
      <c r="J47" s="227">
        <f t="shared" si="31"/>
        <v>0</v>
      </c>
      <c r="K47" s="227">
        <f t="shared" si="31"/>
        <v>0</v>
      </c>
      <c r="L47" s="3"/>
      <c r="M47" s="467"/>
      <c r="N47" s="466"/>
      <c r="O47" s="466"/>
      <c r="P47" s="466"/>
      <c r="Q47" s="466"/>
      <c r="R47" s="466"/>
      <c r="S47" s="466"/>
      <c r="T47" s="466"/>
      <c r="U47" s="466"/>
      <c r="V47" s="468"/>
      <c r="W47" s="3"/>
    </row>
    <row r="48" spans="1:23" ht="11.25" customHeight="1" x14ac:dyDescent="0.2">
      <c r="A48" s="182"/>
      <c r="B48" s="591" t="s">
        <v>285</v>
      </c>
      <c r="C48" s="601"/>
      <c r="D48" s="628">
        <v>0</v>
      </c>
      <c r="E48" s="628">
        <f>D48</f>
        <v>0</v>
      </c>
      <c r="F48" s="628">
        <f t="shared" ref="F48:K48" si="32">E48</f>
        <v>0</v>
      </c>
      <c r="G48" s="628">
        <f t="shared" si="32"/>
        <v>0</v>
      </c>
      <c r="H48" s="628">
        <f t="shared" si="32"/>
        <v>0</v>
      </c>
      <c r="I48" s="628">
        <f t="shared" si="32"/>
        <v>0</v>
      </c>
      <c r="J48" s="628">
        <f t="shared" si="32"/>
        <v>0</v>
      </c>
      <c r="K48" s="628">
        <f t="shared" si="32"/>
        <v>0</v>
      </c>
      <c r="L48" s="3"/>
      <c r="M48" s="467"/>
      <c r="N48" s="466"/>
      <c r="O48" s="466"/>
      <c r="P48" s="466"/>
      <c r="Q48" s="466"/>
      <c r="R48" s="466"/>
      <c r="S48" s="466"/>
      <c r="T48" s="466"/>
      <c r="U48" s="466"/>
      <c r="V48" s="468"/>
      <c r="W48" s="3"/>
    </row>
    <row r="49" spans="1:23" ht="11.25" customHeight="1" x14ac:dyDescent="0.2">
      <c r="A49" s="182"/>
      <c r="B49" s="591" t="s">
        <v>286</v>
      </c>
      <c r="C49" s="601"/>
      <c r="D49" s="237">
        <f>IF(D50=0,0,D50/D48)</f>
        <v>0</v>
      </c>
      <c r="E49" s="229">
        <f>D49</f>
        <v>0</v>
      </c>
      <c r="F49" s="229">
        <f t="shared" ref="F49:K49" si="33">E49</f>
        <v>0</v>
      </c>
      <c r="G49" s="229">
        <f t="shared" si="33"/>
        <v>0</v>
      </c>
      <c r="H49" s="229">
        <f t="shared" si="33"/>
        <v>0</v>
      </c>
      <c r="I49" s="229">
        <f t="shared" si="33"/>
        <v>0</v>
      </c>
      <c r="J49" s="229">
        <f t="shared" si="33"/>
        <v>0</v>
      </c>
      <c r="K49" s="229">
        <f t="shared" si="33"/>
        <v>0</v>
      </c>
      <c r="L49" s="3"/>
      <c r="M49" s="467"/>
      <c r="N49" s="466"/>
      <c r="O49" s="466"/>
      <c r="P49" s="466"/>
      <c r="Q49" s="466"/>
      <c r="R49" s="466"/>
      <c r="S49" s="466"/>
      <c r="T49" s="466"/>
      <c r="U49" s="466"/>
      <c r="V49" s="468"/>
      <c r="W49" s="3"/>
    </row>
    <row r="50" spans="1:23" ht="11.25" customHeight="1" x14ac:dyDescent="0.2">
      <c r="B50" s="592" t="s">
        <v>13</v>
      </c>
      <c r="C50" s="593" t="s">
        <v>105</v>
      </c>
      <c r="D50" s="229">
        <v>0</v>
      </c>
      <c r="E50" s="227">
        <f>E48*E49</f>
        <v>0</v>
      </c>
      <c r="F50" s="227">
        <f t="shared" ref="F50:K50" si="34">E50</f>
        <v>0</v>
      </c>
      <c r="G50" s="227">
        <f t="shared" si="34"/>
        <v>0</v>
      </c>
      <c r="H50" s="227">
        <f t="shared" si="34"/>
        <v>0</v>
      </c>
      <c r="I50" s="227">
        <f t="shared" si="34"/>
        <v>0</v>
      </c>
      <c r="J50" s="227">
        <f t="shared" si="34"/>
        <v>0</v>
      </c>
      <c r="K50" s="227">
        <f t="shared" si="34"/>
        <v>0</v>
      </c>
      <c r="L50" s="3"/>
      <c r="M50" s="467"/>
      <c r="N50" s="466"/>
      <c r="O50" s="466"/>
      <c r="P50" s="466"/>
      <c r="Q50" s="466"/>
      <c r="R50" s="466"/>
      <c r="S50" s="466"/>
      <c r="T50" s="466"/>
      <c r="U50" s="466"/>
      <c r="V50" s="468"/>
      <c r="W50" s="3"/>
    </row>
    <row r="51" spans="1:23" ht="11.25" customHeight="1" x14ac:dyDescent="0.2">
      <c r="A51" s="182"/>
      <c r="B51" s="905" t="s">
        <v>106</v>
      </c>
      <c r="C51" s="905"/>
      <c r="D51" s="594">
        <f>IF(D50=0,0,D47/D50)</f>
        <v>0</v>
      </c>
      <c r="E51" s="595">
        <f>D51</f>
        <v>0</v>
      </c>
      <c r="F51" s="595">
        <f t="shared" ref="F51:K51" si="35">E51</f>
        <v>0</v>
      </c>
      <c r="G51" s="595">
        <f t="shared" si="35"/>
        <v>0</v>
      </c>
      <c r="H51" s="595">
        <f t="shared" si="35"/>
        <v>0</v>
      </c>
      <c r="I51" s="595">
        <f t="shared" si="35"/>
        <v>0</v>
      </c>
      <c r="J51" s="595">
        <f t="shared" si="35"/>
        <v>0</v>
      </c>
      <c r="K51" s="595">
        <f t="shared" si="35"/>
        <v>0</v>
      </c>
      <c r="L51" s="3"/>
      <c r="M51" s="467"/>
      <c r="N51" s="466"/>
      <c r="O51" s="466"/>
      <c r="P51" s="466"/>
      <c r="Q51" s="466"/>
      <c r="R51" s="466"/>
      <c r="S51" s="466"/>
      <c r="T51" s="466"/>
      <c r="U51" s="466"/>
      <c r="V51" s="468"/>
      <c r="W51" s="3"/>
    </row>
    <row r="52" spans="1:23" ht="3" customHeight="1" x14ac:dyDescent="0.2">
      <c r="A52" s="388"/>
      <c r="B52" s="596"/>
      <c r="C52" s="597"/>
      <c r="D52" s="598"/>
      <c r="E52" s="598"/>
      <c r="F52" s="598"/>
      <c r="G52" s="598"/>
      <c r="H52" s="598"/>
      <c r="I52" s="598"/>
      <c r="J52" s="598"/>
      <c r="K52" s="598"/>
      <c r="L52" s="3"/>
      <c r="M52" s="469"/>
      <c r="N52" s="470"/>
      <c r="O52" s="470"/>
      <c r="P52" s="470"/>
      <c r="Q52" s="470"/>
      <c r="R52" s="470"/>
      <c r="S52" s="470"/>
      <c r="T52" s="470"/>
      <c r="U52" s="470"/>
      <c r="V52" s="471"/>
      <c r="W52" s="3"/>
    </row>
    <row r="53" spans="1:23" ht="11.25" customHeight="1" x14ac:dyDescent="0.2">
      <c r="A53" s="182"/>
      <c r="B53" s="599" t="s">
        <v>156</v>
      </c>
      <c r="C53" s="600" t="s">
        <v>98</v>
      </c>
      <c r="D53" s="229">
        <v>0</v>
      </c>
      <c r="E53" s="227">
        <f t="shared" ref="E53:K53" si="36">E56*E57</f>
        <v>0</v>
      </c>
      <c r="F53" s="227">
        <f t="shared" si="36"/>
        <v>0</v>
      </c>
      <c r="G53" s="227">
        <f t="shared" si="36"/>
        <v>0</v>
      </c>
      <c r="H53" s="227">
        <f t="shared" si="36"/>
        <v>0</v>
      </c>
      <c r="I53" s="227">
        <f t="shared" si="36"/>
        <v>0</v>
      </c>
      <c r="J53" s="227">
        <f t="shared" si="36"/>
        <v>0</v>
      </c>
      <c r="K53" s="227">
        <f t="shared" si="36"/>
        <v>0</v>
      </c>
      <c r="L53" s="3"/>
      <c r="M53" s="467"/>
      <c r="N53" s="466"/>
      <c r="O53" s="466"/>
      <c r="P53" s="466"/>
      <c r="Q53" s="466"/>
      <c r="R53" s="466"/>
      <c r="S53" s="466"/>
      <c r="T53" s="466"/>
      <c r="U53" s="466"/>
      <c r="V53" s="468"/>
      <c r="W53" s="3"/>
    </row>
    <row r="54" spans="1:23" ht="11.25" customHeight="1" x14ac:dyDescent="0.2">
      <c r="A54" s="182"/>
      <c r="B54" s="591" t="s">
        <v>285</v>
      </c>
      <c r="C54" s="601"/>
      <c r="D54" s="628">
        <v>0</v>
      </c>
      <c r="E54" s="628">
        <f>D54</f>
        <v>0</v>
      </c>
      <c r="F54" s="628">
        <f t="shared" ref="F54:K54" si="37">E54</f>
        <v>0</v>
      </c>
      <c r="G54" s="628">
        <f t="shared" si="37"/>
        <v>0</v>
      </c>
      <c r="H54" s="628">
        <f t="shared" si="37"/>
        <v>0</v>
      </c>
      <c r="I54" s="628">
        <f t="shared" si="37"/>
        <v>0</v>
      </c>
      <c r="J54" s="628">
        <f t="shared" si="37"/>
        <v>0</v>
      </c>
      <c r="K54" s="628">
        <f t="shared" si="37"/>
        <v>0</v>
      </c>
      <c r="L54" s="3"/>
      <c r="M54" s="467"/>
      <c r="N54" s="466"/>
      <c r="O54" s="466"/>
      <c r="P54" s="466"/>
      <c r="Q54" s="466"/>
      <c r="R54" s="466"/>
      <c r="S54" s="466"/>
      <c r="T54" s="466"/>
      <c r="U54" s="466"/>
      <c r="V54" s="468"/>
      <c r="W54" s="3"/>
    </row>
    <row r="55" spans="1:23" ht="11.25" customHeight="1" x14ac:dyDescent="0.2">
      <c r="A55" s="182"/>
      <c r="B55" s="591" t="s">
        <v>286</v>
      </c>
      <c r="C55" s="601"/>
      <c r="D55" s="237">
        <f>IF(D56=0,0,D56/D54)</f>
        <v>0</v>
      </c>
      <c r="E55" s="229">
        <f>D55</f>
        <v>0</v>
      </c>
      <c r="F55" s="229">
        <f>E55</f>
        <v>0</v>
      </c>
      <c r="G55" s="229">
        <f t="shared" ref="G55:K57" si="38">F55</f>
        <v>0</v>
      </c>
      <c r="H55" s="229">
        <f t="shared" si="38"/>
        <v>0</v>
      </c>
      <c r="I55" s="229">
        <f t="shared" si="38"/>
        <v>0</v>
      </c>
      <c r="J55" s="229">
        <f t="shared" si="38"/>
        <v>0</v>
      </c>
      <c r="K55" s="229">
        <f t="shared" si="38"/>
        <v>0</v>
      </c>
      <c r="L55" s="3"/>
      <c r="M55" s="467"/>
      <c r="N55" s="466"/>
      <c r="O55" s="466"/>
      <c r="P55" s="466"/>
      <c r="Q55" s="466"/>
      <c r="R55" s="466"/>
      <c r="S55" s="466"/>
      <c r="T55" s="466"/>
      <c r="U55" s="466"/>
      <c r="V55" s="468"/>
      <c r="W55" s="3"/>
    </row>
    <row r="56" spans="1:23" ht="11.25" customHeight="1" x14ac:dyDescent="0.2">
      <c r="A56" s="182"/>
      <c r="B56" s="592" t="s">
        <v>13</v>
      </c>
      <c r="C56" s="593" t="s">
        <v>105</v>
      </c>
      <c r="D56" s="229">
        <v>0</v>
      </c>
      <c r="E56" s="227">
        <f>E54*E55</f>
        <v>0</v>
      </c>
      <c r="F56" s="227">
        <f>E56</f>
        <v>0</v>
      </c>
      <c r="G56" s="227">
        <f t="shared" si="38"/>
        <v>0</v>
      </c>
      <c r="H56" s="227">
        <f t="shared" si="38"/>
        <v>0</v>
      </c>
      <c r="I56" s="227">
        <f t="shared" si="38"/>
        <v>0</v>
      </c>
      <c r="J56" s="227">
        <f t="shared" si="38"/>
        <v>0</v>
      </c>
      <c r="K56" s="227">
        <f t="shared" si="38"/>
        <v>0</v>
      </c>
      <c r="L56" s="3"/>
      <c r="M56" s="467"/>
      <c r="N56" s="466"/>
      <c r="O56" s="466"/>
      <c r="P56" s="466"/>
      <c r="Q56" s="466"/>
      <c r="R56" s="466"/>
      <c r="S56" s="466"/>
      <c r="T56" s="466"/>
      <c r="U56" s="466"/>
      <c r="V56" s="468"/>
      <c r="W56" s="3"/>
    </row>
    <row r="57" spans="1:23" ht="11.25" customHeight="1" x14ac:dyDescent="0.2">
      <c r="B57" s="905" t="s">
        <v>106</v>
      </c>
      <c r="C57" s="905"/>
      <c r="D57" s="594">
        <f>IF(D56=0,0,D53/D56)</f>
        <v>0</v>
      </c>
      <c r="E57" s="595">
        <f>D57</f>
        <v>0</v>
      </c>
      <c r="F57" s="595">
        <f>E57</f>
        <v>0</v>
      </c>
      <c r="G57" s="595">
        <f t="shared" si="38"/>
        <v>0</v>
      </c>
      <c r="H57" s="595">
        <f t="shared" si="38"/>
        <v>0</v>
      </c>
      <c r="I57" s="595">
        <f t="shared" si="38"/>
        <v>0</v>
      </c>
      <c r="J57" s="595">
        <f t="shared" si="38"/>
        <v>0</v>
      </c>
      <c r="K57" s="595">
        <f t="shared" si="38"/>
        <v>0</v>
      </c>
      <c r="L57" s="3"/>
      <c r="M57" s="467"/>
      <c r="N57" s="466"/>
      <c r="O57" s="466"/>
      <c r="P57" s="466"/>
      <c r="Q57" s="466"/>
      <c r="R57" s="466"/>
      <c r="S57" s="466"/>
      <c r="T57" s="466"/>
      <c r="U57" s="466"/>
      <c r="V57" s="468"/>
      <c r="W57" s="3"/>
    </row>
    <row r="58" spans="1:23" ht="3" customHeight="1" x14ac:dyDescent="0.2">
      <c r="A58" s="182"/>
      <c r="B58" s="596"/>
      <c r="C58" s="597"/>
      <c r="D58" s="598"/>
      <c r="E58" s="598"/>
      <c r="F58" s="598"/>
      <c r="G58" s="598"/>
      <c r="H58" s="598"/>
      <c r="I58" s="598"/>
      <c r="J58" s="598"/>
      <c r="K58" s="598"/>
      <c r="L58" s="3"/>
      <c r="M58" s="469"/>
      <c r="N58" s="470"/>
      <c r="O58" s="470"/>
      <c r="P58" s="470"/>
      <c r="Q58" s="470"/>
      <c r="R58" s="470"/>
      <c r="S58" s="470"/>
      <c r="T58" s="470"/>
      <c r="U58" s="470"/>
      <c r="V58" s="471"/>
      <c r="W58" s="3"/>
    </row>
    <row r="59" spans="1:23" ht="11.25" customHeight="1" x14ac:dyDescent="0.2">
      <c r="A59" s="2"/>
      <c r="B59" s="599" t="s">
        <v>157</v>
      </c>
      <c r="C59" s="600" t="s">
        <v>98</v>
      </c>
      <c r="D59" s="229">
        <v>0</v>
      </c>
      <c r="E59" s="227">
        <f t="shared" ref="E59:K59" si="39">E62*E63</f>
        <v>0</v>
      </c>
      <c r="F59" s="227">
        <f t="shared" si="39"/>
        <v>0</v>
      </c>
      <c r="G59" s="227">
        <f t="shared" si="39"/>
        <v>0</v>
      </c>
      <c r="H59" s="227">
        <f t="shared" si="39"/>
        <v>0</v>
      </c>
      <c r="I59" s="227">
        <f t="shared" si="39"/>
        <v>0</v>
      </c>
      <c r="J59" s="227">
        <f t="shared" si="39"/>
        <v>0</v>
      </c>
      <c r="K59" s="227">
        <f t="shared" si="39"/>
        <v>0</v>
      </c>
      <c r="L59" s="3"/>
      <c r="M59" s="467"/>
      <c r="N59" s="466"/>
      <c r="O59" s="466"/>
      <c r="P59" s="466"/>
      <c r="Q59" s="466"/>
      <c r="R59" s="466"/>
      <c r="S59" s="466"/>
      <c r="T59" s="466"/>
      <c r="U59" s="466"/>
      <c r="V59" s="468"/>
      <c r="W59" s="3"/>
    </row>
    <row r="60" spans="1:23" ht="11.25" customHeight="1" x14ac:dyDescent="0.2">
      <c r="A60" s="2"/>
      <c r="B60" s="591" t="s">
        <v>285</v>
      </c>
      <c r="C60" s="601"/>
      <c r="D60" s="628">
        <v>0</v>
      </c>
      <c r="E60" s="628">
        <f>D60</f>
        <v>0</v>
      </c>
      <c r="F60" s="628">
        <f t="shared" ref="F60:K60" si="40">E60</f>
        <v>0</v>
      </c>
      <c r="G60" s="628">
        <f t="shared" si="40"/>
        <v>0</v>
      </c>
      <c r="H60" s="628">
        <f t="shared" si="40"/>
        <v>0</v>
      </c>
      <c r="I60" s="628">
        <f t="shared" si="40"/>
        <v>0</v>
      </c>
      <c r="J60" s="628">
        <f t="shared" si="40"/>
        <v>0</v>
      </c>
      <c r="K60" s="628">
        <f t="shared" si="40"/>
        <v>0</v>
      </c>
      <c r="L60" s="3"/>
      <c r="M60" s="467"/>
      <c r="N60" s="466"/>
      <c r="O60" s="466"/>
      <c r="P60" s="466"/>
      <c r="Q60" s="466"/>
      <c r="R60" s="466"/>
      <c r="S60" s="466"/>
      <c r="T60" s="466"/>
      <c r="U60" s="466"/>
      <c r="V60" s="468"/>
      <c r="W60" s="3"/>
    </row>
    <row r="61" spans="1:23" ht="11.25" customHeight="1" x14ac:dyDescent="0.2">
      <c r="A61" s="2"/>
      <c r="B61" s="591" t="s">
        <v>286</v>
      </c>
      <c r="C61" s="601"/>
      <c r="D61" s="237">
        <f>IF(D62=0,0,D62/D60)</f>
        <v>0</v>
      </c>
      <c r="E61" s="229">
        <f>D61</f>
        <v>0</v>
      </c>
      <c r="F61" s="229">
        <f t="shared" ref="F61:K61" si="41">E61</f>
        <v>0</v>
      </c>
      <c r="G61" s="229">
        <f t="shared" si="41"/>
        <v>0</v>
      </c>
      <c r="H61" s="229">
        <f t="shared" si="41"/>
        <v>0</v>
      </c>
      <c r="I61" s="229">
        <f t="shared" si="41"/>
        <v>0</v>
      </c>
      <c r="J61" s="229">
        <f t="shared" si="41"/>
        <v>0</v>
      </c>
      <c r="K61" s="229">
        <f t="shared" si="41"/>
        <v>0</v>
      </c>
      <c r="L61" s="3"/>
      <c r="M61" s="467"/>
      <c r="N61" s="466"/>
      <c r="O61" s="466"/>
      <c r="P61" s="466"/>
      <c r="Q61" s="466"/>
      <c r="R61" s="466"/>
      <c r="S61" s="466"/>
      <c r="T61" s="466"/>
      <c r="U61" s="466"/>
      <c r="V61" s="468"/>
      <c r="W61" s="3"/>
    </row>
    <row r="62" spans="1:23" ht="11.25" customHeight="1" x14ac:dyDescent="0.2">
      <c r="A62" s="2"/>
      <c r="B62" s="592" t="s">
        <v>13</v>
      </c>
      <c r="C62" s="593" t="s">
        <v>105</v>
      </c>
      <c r="D62" s="229">
        <v>0</v>
      </c>
      <c r="E62" s="227">
        <f>E60*E61</f>
        <v>0</v>
      </c>
      <c r="F62" s="227">
        <f t="shared" ref="F62:K63" si="42">E62</f>
        <v>0</v>
      </c>
      <c r="G62" s="227">
        <f t="shared" si="42"/>
        <v>0</v>
      </c>
      <c r="H62" s="227">
        <f t="shared" si="42"/>
        <v>0</v>
      </c>
      <c r="I62" s="227">
        <f t="shared" si="42"/>
        <v>0</v>
      </c>
      <c r="J62" s="227">
        <f t="shared" si="42"/>
        <v>0</v>
      </c>
      <c r="K62" s="227">
        <f t="shared" si="42"/>
        <v>0</v>
      </c>
      <c r="L62" s="3"/>
      <c r="M62" s="467"/>
      <c r="N62" s="466"/>
      <c r="O62" s="466"/>
      <c r="P62" s="466"/>
      <c r="Q62" s="466"/>
      <c r="R62" s="466"/>
      <c r="S62" s="466"/>
      <c r="T62" s="466"/>
      <c r="U62" s="466"/>
      <c r="V62" s="468"/>
      <c r="W62" s="3"/>
    </row>
    <row r="63" spans="1:23" ht="11.25" customHeight="1" x14ac:dyDescent="0.2">
      <c r="A63" s="182"/>
      <c r="B63" s="905" t="s">
        <v>106</v>
      </c>
      <c r="C63" s="905"/>
      <c r="D63" s="594">
        <f>IF(D62=0,0,D59/D62)</f>
        <v>0</v>
      </c>
      <c r="E63" s="595">
        <f>D63</f>
        <v>0</v>
      </c>
      <c r="F63" s="595">
        <f t="shared" si="42"/>
        <v>0</v>
      </c>
      <c r="G63" s="595">
        <f t="shared" si="42"/>
        <v>0</v>
      </c>
      <c r="H63" s="595">
        <f t="shared" si="42"/>
        <v>0</v>
      </c>
      <c r="I63" s="595">
        <f t="shared" si="42"/>
        <v>0</v>
      </c>
      <c r="J63" s="595">
        <f t="shared" si="42"/>
        <v>0</v>
      </c>
      <c r="K63" s="595">
        <f t="shared" si="42"/>
        <v>0</v>
      </c>
      <c r="L63" s="3"/>
      <c r="M63" s="467"/>
      <c r="N63" s="466"/>
      <c r="O63" s="466"/>
      <c r="P63" s="466"/>
      <c r="Q63" s="466"/>
      <c r="R63" s="466"/>
      <c r="S63" s="466"/>
      <c r="T63" s="466"/>
      <c r="U63" s="466"/>
      <c r="V63" s="468"/>
      <c r="W63" s="3"/>
    </row>
    <row r="64" spans="1:23" ht="3" customHeight="1" x14ac:dyDescent="0.2">
      <c r="B64" s="596"/>
      <c r="C64" s="597"/>
      <c r="D64" s="598"/>
      <c r="E64" s="598"/>
      <c r="F64" s="598"/>
      <c r="G64" s="598"/>
      <c r="H64" s="598"/>
      <c r="I64" s="598"/>
      <c r="J64" s="598"/>
      <c r="K64" s="598"/>
      <c r="L64" s="3"/>
      <c r="M64" s="469"/>
      <c r="N64" s="470"/>
      <c r="O64" s="470"/>
      <c r="P64" s="470"/>
      <c r="Q64" s="470"/>
      <c r="R64" s="470"/>
      <c r="S64" s="470"/>
      <c r="T64" s="470"/>
      <c r="U64" s="470"/>
      <c r="V64" s="471"/>
      <c r="W64" s="3"/>
    </row>
    <row r="65" spans="1:23" ht="11.25" customHeight="1" x14ac:dyDescent="0.2">
      <c r="A65" s="182"/>
      <c r="B65" s="599" t="s">
        <v>158</v>
      </c>
      <c r="C65" s="600" t="s">
        <v>98</v>
      </c>
      <c r="D65" s="229">
        <v>0</v>
      </c>
      <c r="E65" s="227">
        <f t="shared" ref="E65:K65" si="43">E68*E69</f>
        <v>0</v>
      </c>
      <c r="F65" s="227">
        <f t="shared" si="43"/>
        <v>0</v>
      </c>
      <c r="G65" s="227">
        <f t="shared" si="43"/>
        <v>0</v>
      </c>
      <c r="H65" s="227">
        <f t="shared" si="43"/>
        <v>0</v>
      </c>
      <c r="I65" s="227">
        <f t="shared" si="43"/>
        <v>0</v>
      </c>
      <c r="J65" s="227">
        <f t="shared" si="43"/>
        <v>0</v>
      </c>
      <c r="K65" s="227">
        <f t="shared" si="43"/>
        <v>0</v>
      </c>
      <c r="L65" s="3"/>
      <c r="M65" s="467"/>
      <c r="N65" s="466"/>
      <c r="O65" s="466"/>
      <c r="P65" s="466"/>
      <c r="Q65" s="466"/>
      <c r="R65" s="466"/>
      <c r="S65" s="466"/>
      <c r="T65" s="466"/>
      <c r="U65" s="466"/>
      <c r="V65" s="468"/>
      <c r="W65" s="3"/>
    </row>
    <row r="66" spans="1:23" ht="11.25" customHeight="1" x14ac:dyDescent="0.2">
      <c r="A66" s="182"/>
      <c r="B66" s="591" t="s">
        <v>285</v>
      </c>
      <c r="C66" s="601"/>
      <c r="D66" s="628">
        <v>0</v>
      </c>
      <c r="E66" s="628">
        <f>D66</f>
        <v>0</v>
      </c>
      <c r="F66" s="628">
        <f t="shared" ref="F66:K66" si="44">E66</f>
        <v>0</v>
      </c>
      <c r="G66" s="628">
        <f t="shared" si="44"/>
        <v>0</v>
      </c>
      <c r="H66" s="628">
        <f t="shared" si="44"/>
        <v>0</v>
      </c>
      <c r="I66" s="628">
        <f t="shared" si="44"/>
        <v>0</v>
      </c>
      <c r="J66" s="628">
        <f t="shared" si="44"/>
        <v>0</v>
      </c>
      <c r="K66" s="628">
        <f t="shared" si="44"/>
        <v>0</v>
      </c>
      <c r="L66" s="3"/>
      <c r="M66" s="467"/>
      <c r="N66" s="466"/>
      <c r="O66" s="466"/>
      <c r="P66" s="466"/>
      <c r="Q66" s="466"/>
      <c r="R66" s="466"/>
      <c r="S66" s="466"/>
      <c r="T66" s="466"/>
      <c r="U66" s="466"/>
      <c r="V66" s="468"/>
      <c r="W66" s="3"/>
    </row>
    <row r="67" spans="1:23" ht="11.25" customHeight="1" x14ac:dyDescent="0.2">
      <c r="A67" s="182"/>
      <c r="B67" s="591" t="s">
        <v>286</v>
      </c>
      <c r="C67" s="601"/>
      <c r="D67" s="237">
        <f>IF(D68=0,0,D68/D66)</f>
        <v>0</v>
      </c>
      <c r="E67" s="229">
        <f>D67</f>
        <v>0</v>
      </c>
      <c r="F67" s="229">
        <f>E67</f>
        <v>0</v>
      </c>
      <c r="G67" s="229">
        <f t="shared" ref="G67:K69" si="45">F67</f>
        <v>0</v>
      </c>
      <c r="H67" s="229">
        <f t="shared" si="45"/>
        <v>0</v>
      </c>
      <c r="I67" s="229">
        <f t="shared" si="45"/>
        <v>0</v>
      </c>
      <c r="J67" s="229">
        <f t="shared" si="45"/>
        <v>0</v>
      </c>
      <c r="K67" s="229">
        <f t="shared" si="45"/>
        <v>0</v>
      </c>
      <c r="L67" s="3"/>
      <c r="M67" s="467"/>
      <c r="N67" s="466"/>
      <c r="O67" s="466"/>
      <c r="P67" s="466"/>
      <c r="Q67" s="466"/>
      <c r="R67" s="466"/>
      <c r="S67" s="466"/>
      <c r="T67" s="466"/>
      <c r="U67" s="466"/>
      <c r="V67" s="468"/>
      <c r="W67" s="3"/>
    </row>
    <row r="68" spans="1:23" ht="11.25" customHeight="1" x14ac:dyDescent="0.2">
      <c r="A68" s="2"/>
      <c r="B68" s="592" t="s">
        <v>13</v>
      </c>
      <c r="C68" s="593" t="s">
        <v>105</v>
      </c>
      <c r="D68" s="229">
        <v>0</v>
      </c>
      <c r="E68" s="227">
        <f>E66*E67</f>
        <v>0</v>
      </c>
      <c r="F68" s="227">
        <f>E68</f>
        <v>0</v>
      </c>
      <c r="G68" s="227">
        <f t="shared" si="45"/>
        <v>0</v>
      </c>
      <c r="H68" s="227">
        <f t="shared" si="45"/>
        <v>0</v>
      </c>
      <c r="I68" s="227">
        <f t="shared" si="45"/>
        <v>0</v>
      </c>
      <c r="J68" s="227">
        <f t="shared" si="45"/>
        <v>0</v>
      </c>
      <c r="K68" s="227">
        <f t="shared" si="45"/>
        <v>0</v>
      </c>
      <c r="L68" s="3"/>
      <c r="M68" s="467"/>
      <c r="N68" s="466"/>
      <c r="O68" s="466"/>
      <c r="P68" s="466"/>
      <c r="Q68" s="466"/>
      <c r="R68" s="466"/>
      <c r="S68" s="466"/>
      <c r="T68" s="466"/>
      <c r="U68" s="466"/>
      <c r="V68" s="468"/>
      <c r="W68" s="3"/>
    </row>
    <row r="69" spans="1:23" ht="11.25" customHeight="1" x14ac:dyDescent="0.2">
      <c r="B69" s="905" t="s">
        <v>106</v>
      </c>
      <c r="C69" s="905"/>
      <c r="D69" s="594">
        <f>IF(D68=0,0,D65/D68)</f>
        <v>0</v>
      </c>
      <c r="E69" s="595">
        <f>D69</f>
        <v>0</v>
      </c>
      <c r="F69" s="595">
        <f>E69</f>
        <v>0</v>
      </c>
      <c r="G69" s="595">
        <f t="shared" si="45"/>
        <v>0</v>
      </c>
      <c r="H69" s="595">
        <f t="shared" si="45"/>
        <v>0</v>
      </c>
      <c r="I69" s="595">
        <f t="shared" si="45"/>
        <v>0</v>
      </c>
      <c r="J69" s="595">
        <f t="shared" si="45"/>
        <v>0</v>
      </c>
      <c r="K69" s="595">
        <f t="shared" si="45"/>
        <v>0</v>
      </c>
      <c r="L69" s="3"/>
      <c r="M69" s="467"/>
      <c r="N69" s="466"/>
      <c r="O69" s="466"/>
      <c r="P69" s="466"/>
      <c r="Q69" s="466"/>
      <c r="R69" s="466"/>
      <c r="S69" s="466"/>
      <c r="T69" s="466"/>
      <c r="U69" s="466"/>
      <c r="V69" s="468"/>
      <c r="W69" s="3"/>
    </row>
    <row r="70" spans="1:23" ht="3" customHeight="1" x14ac:dyDescent="0.2">
      <c r="A70" s="182"/>
      <c r="B70" s="596"/>
      <c r="C70" s="597"/>
      <c r="D70" s="598"/>
      <c r="E70" s="598"/>
      <c r="F70" s="598"/>
      <c r="G70" s="598"/>
      <c r="H70" s="598"/>
      <c r="I70" s="598"/>
      <c r="J70" s="598"/>
      <c r="K70" s="598"/>
      <c r="L70" s="3"/>
      <c r="M70" s="469"/>
      <c r="N70" s="470"/>
      <c r="O70" s="470"/>
      <c r="P70" s="470"/>
      <c r="Q70" s="470"/>
      <c r="R70" s="470"/>
      <c r="S70" s="470"/>
      <c r="T70" s="470"/>
      <c r="U70" s="470"/>
      <c r="V70" s="471"/>
      <c r="W70" s="3"/>
    </row>
    <row r="71" spans="1:23" ht="11.25" customHeight="1" x14ac:dyDescent="0.2">
      <c r="B71" s="599" t="s">
        <v>159</v>
      </c>
      <c r="C71" s="600" t="s">
        <v>98</v>
      </c>
      <c r="D71" s="229">
        <v>0</v>
      </c>
      <c r="E71" s="227">
        <f t="shared" ref="E71:K71" si="46">E74*E75</f>
        <v>0</v>
      </c>
      <c r="F71" s="227">
        <f t="shared" si="46"/>
        <v>0</v>
      </c>
      <c r="G71" s="227">
        <f t="shared" si="46"/>
        <v>0</v>
      </c>
      <c r="H71" s="227">
        <f t="shared" si="46"/>
        <v>0</v>
      </c>
      <c r="I71" s="227">
        <f t="shared" si="46"/>
        <v>0</v>
      </c>
      <c r="J71" s="227">
        <f t="shared" si="46"/>
        <v>0</v>
      </c>
      <c r="K71" s="227">
        <f t="shared" si="46"/>
        <v>0</v>
      </c>
      <c r="L71" s="3"/>
      <c r="M71" s="467"/>
      <c r="N71" s="466"/>
      <c r="O71" s="466"/>
      <c r="P71" s="466"/>
      <c r="Q71" s="466"/>
      <c r="R71" s="466"/>
      <c r="S71" s="466"/>
      <c r="T71" s="466"/>
      <c r="U71" s="466"/>
      <c r="V71" s="468"/>
      <c r="W71" s="3"/>
    </row>
    <row r="72" spans="1:23" ht="11.25" customHeight="1" x14ac:dyDescent="0.2">
      <c r="B72" s="591" t="s">
        <v>285</v>
      </c>
      <c r="C72" s="601"/>
      <c r="D72" s="628">
        <v>0</v>
      </c>
      <c r="E72" s="628">
        <f>D72</f>
        <v>0</v>
      </c>
      <c r="F72" s="628">
        <f t="shared" ref="F72:K72" si="47">E72</f>
        <v>0</v>
      </c>
      <c r="G72" s="628">
        <f t="shared" si="47"/>
        <v>0</v>
      </c>
      <c r="H72" s="628">
        <f t="shared" si="47"/>
        <v>0</v>
      </c>
      <c r="I72" s="628">
        <f t="shared" si="47"/>
        <v>0</v>
      </c>
      <c r="J72" s="628">
        <f t="shared" si="47"/>
        <v>0</v>
      </c>
      <c r="K72" s="628">
        <f t="shared" si="47"/>
        <v>0</v>
      </c>
      <c r="L72" s="3"/>
      <c r="M72" s="467"/>
      <c r="N72" s="466"/>
      <c r="O72" s="466"/>
      <c r="P72" s="466"/>
      <c r="Q72" s="466"/>
      <c r="R72" s="466"/>
      <c r="S72" s="466"/>
      <c r="T72" s="466"/>
      <c r="U72" s="466"/>
      <c r="V72" s="468"/>
      <c r="W72" s="3"/>
    </row>
    <row r="73" spans="1:23" ht="11.25" customHeight="1" x14ac:dyDescent="0.2">
      <c r="B73" s="591" t="s">
        <v>286</v>
      </c>
      <c r="C73" s="601"/>
      <c r="D73" s="237">
        <f>IF(D74=0,0,D74/D72)</f>
        <v>0</v>
      </c>
      <c r="E73" s="229">
        <f>D73</f>
        <v>0</v>
      </c>
      <c r="F73" s="229">
        <f t="shared" ref="F73:K73" si="48">E73</f>
        <v>0</v>
      </c>
      <c r="G73" s="229">
        <f t="shared" si="48"/>
        <v>0</v>
      </c>
      <c r="H73" s="229">
        <f t="shared" si="48"/>
        <v>0</v>
      </c>
      <c r="I73" s="229">
        <f t="shared" si="48"/>
        <v>0</v>
      </c>
      <c r="J73" s="229">
        <f t="shared" si="48"/>
        <v>0</v>
      </c>
      <c r="K73" s="229">
        <f t="shared" si="48"/>
        <v>0</v>
      </c>
      <c r="L73" s="3"/>
      <c r="M73" s="467"/>
      <c r="N73" s="466"/>
      <c r="O73" s="466"/>
      <c r="P73" s="466"/>
      <c r="Q73" s="466"/>
      <c r="R73" s="466"/>
      <c r="S73" s="466"/>
      <c r="T73" s="466"/>
      <c r="U73" s="466"/>
      <c r="V73" s="468"/>
      <c r="W73" s="3"/>
    </row>
    <row r="74" spans="1:23" ht="11.25" customHeight="1" x14ac:dyDescent="0.2">
      <c r="A74" s="182"/>
      <c r="B74" s="592" t="s">
        <v>13</v>
      </c>
      <c r="C74" s="593" t="s">
        <v>105</v>
      </c>
      <c r="D74" s="229">
        <v>0</v>
      </c>
      <c r="E74" s="227">
        <f>E72*E73</f>
        <v>0</v>
      </c>
      <c r="F74" s="227">
        <f t="shared" ref="F74:K75" si="49">E74</f>
        <v>0</v>
      </c>
      <c r="G74" s="227">
        <f t="shared" si="49"/>
        <v>0</v>
      </c>
      <c r="H74" s="227">
        <f t="shared" si="49"/>
        <v>0</v>
      </c>
      <c r="I74" s="227">
        <f t="shared" si="49"/>
        <v>0</v>
      </c>
      <c r="J74" s="227">
        <f t="shared" si="49"/>
        <v>0</v>
      </c>
      <c r="K74" s="227">
        <f t="shared" si="49"/>
        <v>0</v>
      </c>
      <c r="L74" s="3"/>
      <c r="M74" s="467"/>
      <c r="N74" s="466"/>
      <c r="O74" s="466"/>
      <c r="P74" s="466"/>
      <c r="Q74" s="466"/>
      <c r="R74" s="466"/>
      <c r="S74" s="466"/>
      <c r="T74" s="466"/>
      <c r="U74" s="466"/>
      <c r="V74" s="468"/>
      <c r="W74" s="3"/>
    </row>
    <row r="75" spans="1:23" ht="11.25" customHeight="1" x14ac:dyDescent="0.2">
      <c r="B75" s="905" t="s">
        <v>106</v>
      </c>
      <c r="C75" s="905"/>
      <c r="D75" s="594">
        <f>IF(D74=0,0,D71/D74)</f>
        <v>0</v>
      </c>
      <c r="E75" s="595">
        <f>D75</f>
        <v>0</v>
      </c>
      <c r="F75" s="595">
        <f t="shared" si="49"/>
        <v>0</v>
      </c>
      <c r="G75" s="595">
        <f t="shared" si="49"/>
        <v>0</v>
      </c>
      <c r="H75" s="595">
        <f t="shared" si="49"/>
        <v>0</v>
      </c>
      <c r="I75" s="595">
        <f t="shared" si="49"/>
        <v>0</v>
      </c>
      <c r="J75" s="595">
        <f t="shared" si="49"/>
        <v>0</v>
      </c>
      <c r="K75" s="595">
        <f t="shared" si="49"/>
        <v>0</v>
      </c>
      <c r="L75" s="3"/>
      <c r="M75" s="467"/>
      <c r="N75" s="466"/>
      <c r="O75" s="466"/>
      <c r="P75" s="466"/>
      <c r="Q75" s="466"/>
      <c r="R75" s="466"/>
      <c r="S75" s="466"/>
      <c r="T75" s="466"/>
      <c r="U75" s="466"/>
      <c r="V75" s="468"/>
      <c r="W75" s="3"/>
    </row>
    <row r="76" spans="1:23" ht="11.25" customHeight="1" x14ac:dyDescent="0.2">
      <c r="B76" s="602" t="s">
        <v>107</v>
      </c>
      <c r="C76" s="600"/>
      <c r="D76" s="603">
        <f ca="1">IF(Ohjeet!$H67&gt;Ohjeet!$H21,0,D47+D53+D59+D65+D71)</f>
        <v>0</v>
      </c>
      <c r="E76" s="603">
        <f ca="1">IF(Ohjeet!$H67&gt;Ohjeet!$H21,0,E47+E53+E59+E65+E71)</f>
        <v>0</v>
      </c>
      <c r="F76" s="603">
        <f ca="1">IF(Ohjeet!$H67&gt;Ohjeet!$H21,0,F47+F53+F59+F65+F71)</f>
        <v>0</v>
      </c>
      <c r="G76" s="603">
        <f ca="1">IF(Ohjeet!$H67&gt;Ohjeet!$H21,0,G47+G53+G59+G65+G71)</f>
        <v>0</v>
      </c>
      <c r="H76" s="603">
        <f ca="1">IF(Ohjeet!$H67&gt;Ohjeet!$H21,0,H47+H53+H59+H65+H71)</f>
        <v>0</v>
      </c>
      <c r="I76" s="603">
        <f ca="1">IF(Ohjeet!$H67&gt;Ohjeet!$H21,0,I47+I53+I59+I65+I71)</f>
        <v>0</v>
      </c>
      <c r="J76" s="603">
        <f ca="1">IF(Ohjeet!$H67&gt;Ohjeet!$H21,0,J47+J53+J59+J65+J71)</f>
        <v>0</v>
      </c>
      <c r="K76" s="603">
        <f ca="1">IF(Ohjeet!$H67&gt;Ohjeet!$H21,0,K47+K53+K59+K65+K71)</f>
        <v>0</v>
      </c>
      <c r="L76" s="3"/>
      <c r="M76" s="467"/>
      <c r="N76" s="466"/>
      <c r="O76" s="466"/>
      <c r="P76" s="466"/>
      <c r="Q76" s="466"/>
      <c r="R76" s="466"/>
      <c r="S76" s="466"/>
      <c r="T76" s="466"/>
      <c r="U76" s="466"/>
      <c r="V76" s="468"/>
      <c r="W76" s="3"/>
    </row>
    <row r="77" spans="1:23" ht="4.5" customHeight="1" thickBot="1" x14ac:dyDescent="0.25">
      <c r="B77" s="606"/>
      <c r="C77" s="607"/>
      <c r="D77" s="606"/>
      <c r="E77" s="606"/>
      <c r="F77" s="606"/>
      <c r="G77" s="606"/>
      <c r="H77" s="606"/>
      <c r="I77" s="606"/>
      <c r="J77" s="606"/>
      <c r="K77" s="606"/>
      <c r="L77" s="3"/>
      <c r="M77" s="463"/>
      <c r="N77" s="464"/>
      <c r="O77" s="464"/>
      <c r="P77" s="464"/>
      <c r="Q77" s="464"/>
      <c r="R77" s="464"/>
      <c r="S77" s="464"/>
      <c r="T77" s="464"/>
      <c r="U77" s="464"/>
      <c r="V77" s="465"/>
      <c r="W77" s="3"/>
    </row>
    <row r="78" spans="1:23" ht="11.25" customHeight="1" thickBot="1" x14ac:dyDescent="0.25">
      <c r="B78" s="906" t="s">
        <v>144</v>
      </c>
      <c r="C78" s="907"/>
      <c r="D78" s="604">
        <f t="shared" ref="D78:K78" ca="1" si="50">D43+D76</f>
        <v>0</v>
      </c>
      <c r="E78" s="604">
        <f t="shared" ca="1" si="50"/>
        <v>0</v>
      </c>
      <c r="F78" s="604">
        <f t="shared" ca="1" si="50"/>
        <v>0</v>
      </c>
      <c r="G78" s="604">
        <f t="shared" ca="1" si="50"/>
        <v>0</v>
      </c>
      <c r="H78" s="604">
        <f t="shared" ca="1" si="50"/>
        <v>0</v>
      </c>
      <c r="I78" s="604">
        <f t="shared" ca="1" si="50"/>
        <v>0</v>
      </c>
      <c r="J78" s="604">
        <f t="shared" ca="1" si="50"/>
        <v>0</v>
      </c>
      <c r="K78" s="605">
        <f t="shared" ca="1" si="50"/>
        <v>0</v>
      </c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">
      <c r="A79" s="3"/>
      <c r="B79" s="445" t="str">
        <f>'T2 Investoinnit, rahoitus'!C148</f>
        <v>Palvelun tarjoaa:</v>
      </c>
      <c r="C79" s="446" t="str">
        <f>Ohjeet!F19</f>
        <v>Seinäjoen kaupungin maaseutupalvelut</v>
      </c>
      <c r="D79" s="447"/>
      <c r="E79" s="447"/>
      <c r="F79" s="447"/>
      <c r="G79" s="447"/>
      <c r="H79" s="448"/>
      <c r="I79" s="448"/>
      <c r="J79" s="448"/>
      <c r="K79" s="267" t="s">
        <v>242</v>
      </c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">
      <c r="A80" s="3"/>
      <c r="B80" s="3"/>
      <c r="C80" s="197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">
      <c r="A81" s="3"/>
      <c r="B81" s="611" t="s">
        <v>287</v>
      </c>
      <c r="C81" s="612"/>
      <c r="D81" s="629">
        <f>D72+D66+D60+D54+D48</f>
        <v>0</v>
      </c>
      <c r="E81" s="629">
        <f t="shared" ref="E81:K81" si="51">E72+E66+E60+E54+E48</f>
        <v>0</v>
      </c>
      <c r="F81" s="629">
        <f t="shared" si="51"/>
        <v>0</v>
      </c>
      <c r="G81" s="629">
        <f t="shared" si="51"/>
        <v>0</v>
      </c>
      <c r="H81" s="629">
        <f t="shared" si="51"/>
        <v>0</v>
      </c>
      <c r="I81" s="629">
        <f t="shared" si="51"/>
        <v>0</v>
      </c>
      <c r="J81" s="629">
        <f t="shared" si="51"/>
        <v>0</v>
      </c>
      <c r="K81" s="629">
        <f t="shared" si="51"/>
        <v>0</v>
      </c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">
      <c r="A82" s="3"/>
      <c r="B82" s="380" t="s">
        <v>240</v>
      </c>
      <c r="C82" s="19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">
      <c r="A83" s="3"/>
      <c r="B83" s="157" t="s">
        <v>241</v>
      </c>
      <c r="C83" s="19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">
      <c r="A84" s="3"/>
      <c r="B84" s="157" t="s">
        <v>254</v>
      </c>
      <c r="C84" s="19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">
      <c r="A85" s="3"/>
      <c r="B85" s="3"/>
      <c r="C85" s="19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">
      <c r="A86" s="3"/>
      <c r="B86" s="3"/>
      <c r="C86" s="19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">
      <c r="A87" s="3"/>
      <c r="B87" s="3"/>
      <c r="C87" s="19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">
      <c r="A88" s="3"/>
      <c r="B88" s="3"/>
      <c r="C88" s="197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">
      <c r="A89" s="3"/>
      <c r="B89" s="3"/>
      <c r="C89" s="197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">
      <c r="A90" s="3"/>
      <c r="B90" s="3"/>
      <c r="C90" s="197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">
      <c r="A91" s="3"/>
      <c r="B91" s="3"/>
      <c r="C91" s="197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">
      <c r="A92" s="3"/>
      <c r="B92" s="3"/>
      <c r="C92" s="197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">
      <c r="A93" s="3"/>
      <c r="B93" s="3"/>
      <c r="C93" s="197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">
      <c r="A94" s="3"/>
      <c r="B94" s="3"/>
      <c r="C94" s="197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">
      <c r="A95" s="3"/>
      <c r="B95" s="3"/>
      <c r="C95" s="197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">
      <c r="A96" s="3"/>
      <c r="B96" s="3"/>
      <c r="C96" s="197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">
      <c r="A97" s="3"/>
      <c r="B97" s="3"/>
      <c r="C97" s="197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">
      <c r="A98" s="3"/>
      <c r="B98" s="3"/>
      <c r="C98" s="197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">
      <c r="A99" s="3"/>
      <c r="B99" s="3"/>
      <c r="C99" s="197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">
      <c r="A100" s="3"/>
      <c r="B100" s="3"/>
      <c r="C100" s="197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">
      <c r="A101" s="3"/>
      <c r="B101" s="3"/>
      <c r="C101" s="197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">
      <c r="A102" s="3"/>
      <c r="B102" s="3"/>
      <c r="C102" s="197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">
      <c r="A103" s="3"/>
      <c r="B103" s="3"/>
      <c r="C103" s="197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">
      <c r="A104" s="3"/>
      <c r="B104" s="3"/>
      <c r="C104" s="197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">
      <c r="A105" s="3"/>
      <c r="B105" s="3"/>
      <c r="C105" s="197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">
      <c r="A106" s="3"/>
      <c r="B106" s="3"/>
      <c r="C106" s="197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">
      <c r="A107" s="3"/>
      <c r="B107" s="3"/>
      <c r="C107" s="197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">
      <c r="A108" s="3"/>
      <c r="B108" s="3"/>
      <c r="C108" s="197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">
      <c r="A109" s="3"/>
      <c r="B109" s="3"/>
      <c r="C109" s="197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">
      <c r="A110" s="3"/>
      <c r="B110" s="3"/>
      <c r="C110" s="197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">
      <c r="A111" s="3"/>
      <c r="B111" s="3"/>
      <c r="C111" s="197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">
      <c r="A112" s="3"/>
      <c r="B112" s="3"/>
      <c r="C112" s="197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">
      <c r="A113" s="3"/>
      <c r="B113" s="3"/>
      <c r="C113" s="197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">
      <c r="A114" s="3"/>
      <c r="B114" s="3"/>
      <c r="C114" s="197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">
      <c r="A115" s="3"/>
      <c r="B115" s="3"/>
      <c r="C115" s="197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">
      <c r="A116" s="3"/>
      <c r="B116" s="3"/>
      <c r="C116" s="197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">
      <c r="A117" s="3"/>
      <c r="B117" s="3"/>
      <c r="C117" s="197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23" x14ac:dyDescent="0.2">
      <c r="A118" s="3"/>
      <c r="B118" s="3"/>
      <c r="C118" s="197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23" x14ac:dyDescent="0.2">
      <c r="A119" s="3"/>
      <c r="B119" s="3"/>
      <c r="C119" s="197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23" x14ac:dyDescent="0.2">
      <c r="A120" s="3"/>
      <c r="B120" s="3"/>
      <c r="C120" s="197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23" x14ac:dyDescent="0.2">
      <c r="A121" s="3"/>
      <c r="B121" s="3"/>
      <c r="C121" s="197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23" x14ac:dyDescent="0.2">
      <c r="A122" s="3"/>
      <c r="B122" s="3"/>
      <c r="C122" s="197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23" x14ac:dyDescent="0.2">
      <c r="A123" s="3"/>
      <c r="B123" s="3"/>
      <c r="C123" s="197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23" x14ac:dyDescent="0.2">
      <c r="A124" s="3"/>
      <c r="B124" s="3"/>
      <c r="C124" s="197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23" x14ac:dyDescent="0.2">
      <c r="A125" s="3"/>
      <c r="B125" s="3"/>
      <c r="C125" s="197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23" x14ac:dyDescent="0.2">
      <c r="A126" s="3"/>
      <c r="B126" s="3"/>
      <c r="C126" s="197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23" x14ac:dyDescent="0.2">
      <c r="A127" s="3"/>
      <c r="B127" s="3"/>
      <c r="C127" s="197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23" x14ac:dyDescent="0.2">
      <c r="A128" s="3"/>
      <c r="B128" s="3"/>
      <c r="C128" s="197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197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197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197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197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197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197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197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197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197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197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197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197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197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197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197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197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197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197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197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197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197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197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197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197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197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197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197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197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197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197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197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197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197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197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197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197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197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197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197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197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197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197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197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197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197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197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197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197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197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197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197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197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197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197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197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197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197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197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197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197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197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197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197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197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197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197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197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197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197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x14ac:dyDescent="0.2">
      <c r="A198" s="3"/>
      <c r="B198" s="3"/>
      <c r="C198" s="197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x14ac:dyDescent="0.2">
      <c r="A199" s="3"/>
      <c r="B199" s="3"/>
      <c r="C199" s="197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x14ac:dyDescent="0.2">
      <c r="A200" s="3"/>
      <c r="B200" s="3"/>
      <c r="C200" s="197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x14ac:dyDescent="0.2">
      <c r="A201" s="3"/>
      <c r="B201" s="3"/>
      <c r="C201" s="197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x14ac:dyDescent="0.2">
      <c r="A202" s="3"/>
      <c r="B202" s="3"/>
      <c r="C202" s="197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x14ac:dyDescent="0.2">
      <c r="A203" s="3"/>
      <c r="B203" s="3"/>
      <c r="C203" s="197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x14ac:dyDescent="0.2">
      <c r="A204" s="3"/>
      <c r="B204" s="3"/>
      <c r="C204" s="197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x14ac:dyDescent="0.2">
      <c r="A205" s="3"/>
      <c r="B205" s="3"/>
      <c r="C205" s="197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x14ac:dyDescent="0.2">
      <c r="A206" s="3"/>
      <c r="B206" s="3"/>
      <c r="C206" s="197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x14ac:dyDescent="0.2">
      <c r="A207" s="3"/>
      <c r="B207" s="3"/>
      <c r="C207" s="197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x14ac:dyDescent="0.2">
      <c r="A208" s="3"/>
      <c r="B208" s="3"/>
      <c r="C208" s="197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x14ac:dyDescent="0.2">
      <c r="A209" s="3"/>
      <c r="B209" s="3"/>
      <c r="C209" s="197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x14ac:dyDescent="0.2">
      <c r="A210" s="3"/>
      <c r="B210" s="3"/>
      <c r="C210" s="197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x14ac:dyDescent="0.2">
      <c r="A211" s="3"/>
      <c r="B211" s="3"/>
      <c r="C211" s="197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x14ac:dyDescent="0.2">
      <c r="A212" s="3"/>
      <c r="B212" s="3"/>
      <c r="C212" s="197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x14ac:dyDescent="0.2">
      <c r="A213" s="3"/>
      <c r="B213" s="3"/>
      <c r="C213" s="197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x14ac:dyDescent="0.2">
      <c r="A214" s="3"/>
      <c r="B214" s="3"/>
      <c r="C214" s="197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x14ac:dyDescent="0.2">
      <c r="A215" s="3"/>
      <c r="B215" s="3"/>
      <c r="C215" s="197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x14ac:dyDescent="0.2">
      <c r="A216" s="3"/>
      <c r="B216" s="3"/>
      <c r="C216" s="197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x14ac:dyDescent="0.2">
      <c r="A217" s="3"/>
      <c r="B217" s="3"/>
      <c r="C217" s="197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x14ac:dyDescent="0.2">
      <c r="A218" s="3"/>
      <c r="B218" s="3"/>
      <c r="C218" s="197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x14ac:dyDescent="0.2">
      <c r="A219" s="3"/>
      <c r="B219" s="3"/>
      <c r="C219" s="197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x14ac:dyDescent="0.2">
      <c r="A220" s="3"/>
      <c r="B220" s="3"/>
      <c r="C220" s="197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x14ac:dyDescent="0.2">
      <c r="A221" s="3"/>
      <c r="B221" s="3"/>
      <c r="C221" s="197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x14ac:dyDescent="0.2">
      <c r="A222" s="3"/>
      <c r="B222" s="3"/>
      <c r="C222" s="197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x14ac:dyDescent="0.2">
      <c r="A223" s="3"/>
      <c r="B223" s="3"/>
      <c r="C223" s="197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x14ac:dyDescent="0.2">
      <c r="A224" s="3"/>
      <c r="B224" s="3"/>
      <c r="C224" s="197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x14ac:dyDescent="0.2">
      <c r="A225" s="3"/>
      <c r="B225" s="3"/>
      <c r="C225" s="197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x14ac:dyDescent="0.2">
      <c r="A226" s="3"/>
      <c r="B226" s="3"/>
      <c r="C226" s="197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x14ac:dyDescent="0.2">
      <c r="A227" s="3"/>
      <c r="B227" s="3"/>
      <c r="C227" s="197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x14ac:dyDescent="0.2">
      <c r="A228" s="3"/>
      <c r="B228" s="3"/>
      <c r="C228" s="197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x14ac:dyDescent="0.2">
      <c r="A229" s="3"/>
      <c r="B229" s="3"/>
      <c r="C229" s="197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x14ac:dyDescent="0.2">
      <c r="A230" s="3"/>
      <c r="B230" s="3"/>
      <c r="C230" s="197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x14ac:dyDescent="0.2">
      <c r="A231" s="3"/>
      <c r="B231" s="3"/>
      <c r="C231" s="197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x14ac:dyDescent="0.2">
      <c r="A232" s="3"/>
      <c r="B232" s="3"/>
      <c r="C232" s="197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x14ac:dyDescent="0.2">
      <c r="A233" s="3"/>
      <c r="B233" s="3"/>
      <c r="C233" s="197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x14ac:dyDescent="0.2">
      <c r="A234" s="3"/>
      <c r="B234" s="3"/>
      <c r="C234" s="197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x14ac:dyDescent="0.2">
      <c r="A235" s="3"/>
      <c r="B235" s="3"/>
      <c r="C235" s="197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x14ac:dyDescent="0.2">
      <c r="A236" s="3"/>
      <c r="B236" s="3"/>
      <c r="C236" s="197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x14ac:dyDescent="0.2">
      <c r="A237" s="3"/>
      <c r="B237" s="3"/>
      <c r="C237" s="197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x14ac:dyDescent="0.2">
      <c r="A238" s="3"/>
      <c r="B238" s="3"/>
      <c r="C238" s="197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x14ac:dyDescent="0.2">
      <c r="A239" s="3"/>
      <c r="B239" s="3"/>
      <c r="C239" s="197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x14ac:dyDescent="0.2">
      <c r="A240" s="3"/>
      <c r="B240" s="3"/>
      <c r="C240" s="197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x14ac:dyDescent="0.2">
      <c r="A241" s="3"/>
      <c r="B241" s="3"/>
      <c r="C241" s="197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x14ac:dyDescent="0.2">
      <c r="A242" s="3"/>
      <c r="B242" s="3"/>
      <c r="C242" s="197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x14ac:dyDescent="0.2">
      <c r="A243" s="3"/>
      <c r="B243" s="3"/>
      <c r="C243" s="197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x14ac:dyDescent="0.2">
      <c r="A244" s="3"/>
      <c r="B244" s="3"/>
      <c r="C244" s="197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x14ac:dyDescent="0.2">
      <c r="A245" s="3"/>
      <c r="B245" s="3"/>
      <c r="C245" s="197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x14ac:dyDescent="0.2">
      <c r="A246" s="3"/>
      <c r="B246" s="3"/>
      <c r="C246" s="197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x14ac:dyDescent="0.2">
      <c r="A247" s="3"/>
      <c r="B247" s="3"/>
      <c r="C247" s="197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x14ac:dyDescent="0.2">
      <c r="A248" s="3"/>
      <c r="B248" s="3"/>
      <c r="C248" s="197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x14ac:dyDescent="0.2">
      <c r="A249" s="3"/>
      <c r="B249" s="3"/>
      <c r="C249" s="197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x14ac:dyDescent="0.2">
      <c r="A250" s="3"/>
      <c r="B250" s="3"/>
      <c r="C250" s="197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x14ac:dyDescent="0.2">
      <c r="A251" s="3"/>
      <c r="B251" s="3"/>
      <c r="C251" s="197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x14ac:dyDescent="0.2">
      <c r="A252" s="3"/>
      <c r="B252" s="3"/>
      <c r="C252" s="197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x14ac:dyDescent="0.2">
      <c r="A253" s="3"/>
      <c r="B253" s="3"/>
      <c r="C253" s="197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x14ac:dyDescent="0.2">
      <c r="A254" s="3"/>
      <c r="B254" s="3"/>
      <c r="C254" s="197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x14ac:dyDescent="0.2">
      <c r="A255" s="3"/>
      <c r="B255" s="3"/>
      <c r="C255" s="197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x14ac:dyDescent="0.2">
      <c r="A256" s="3"/>
      <c r="B256" s="3"/>
      <c r="C256" s="197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x14ac:dyDescent="0.2">
      <c r="A257" s="3"/>
      <c r="B257" s="3"/>
      <c r="C257" s="197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x14ac:dyDescent="0.2">
      <c r="A258" s="3"/>
      <c r="B258" s="3"/>
      <c r="C258" s="197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x14ac:dyDescent="0.2">
      <c r="A259" s="3"/>
      <c r="B259" s="3"/>
      <c r="C259" s="197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x14ac:dyDescent="0.2">
      <c r="A260" s="3"/>
      <c r="B260" s="3"/>
      <c r="C260" s="197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x14ac:dyDescent="0.2">
      <c r="A261" s="3"/>
      <c r="B261" s="3"/>
      <c r="C261" s="197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x14ac:dyDescent="0.2">
      <c r="A262" s="3"/>
      <c r="B262" s="3"/>
      <c r="C262" s="197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x14ac:dyDescent="0.2">
      <c r="A263" s="3"/>
      <c r="B263" s="3"/>
      <c r="C263" s="197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x14ac:dyDescent="0.2">
      <c r="A264" s="3"/>
      <c r="B264" s="3"/>
      <c r="C264" s="197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x14ac:dyDescent="0.2">
      <c r="A265" s="3"/>
      <c r="B265" s="3"/>
      <c r="C265" s="197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x14ac:dyDescent="0.2">
      <c r="A266" s="3"/>
      <c r="B266" s="3"/>
      <c r="C266" s="197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x14ac:dyDescent="0.2">
      <c r="A267" s="3"/>
      <c r="B267" s="3"/>
      <c r="C267" s="197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x14ac:dyDescent="0.2">
      <c r="A268" s="3"/>
      <c r="B268" s="3"/>
      <c r="C268" s="197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x14ac:dyDescent="0.2">
      <c r="A269" s="3"/>
      <c r="B269" s="3"/>
      <c r="C269" s="197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x14ac:dyDescent="0.2">
      <c r="A270" s="3"/>
      <c r="B270" s="3"/>
      <c r="C270" s="197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x14ac:dyDescent="0.2">
      <c r="A271" s="3"/>
      <c r="B271" s="3"/>
      <c r="C271" s="197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x14ac:dyDescent="0.2">
      <c r="A272" s="3"/>
      <c r="B272" s="3"/>
      <c r="C272" s="197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x14ac:dyDescent="0.2">
      <c r="A273" s="3"/>
      <c r="B273" s="3"/>
      <c r="C273" s="197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x14ac:dyDescent="0.2">
      <c r="A274" s="3"/>
      <c r="B274" s="3"/>
      <c r="C274" s="197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x14ac:dyDescent="0.2">
      <c r="A275" s="3"/>
      <c r="B275" s="3"/>
      <c r="C275" s="197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x14ac:dyDescent="0.2">
      <c r="A276" s="3"/>
      <c r="B276" s="3"/>
      <c r="C276" s="197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x14ac:dyDescent="0.2">
      <c r="A277" s="3"/>
      <c r="B277" s="3"/>
      <c r="C277" s="197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x14ac:dyDescent="0.2">
      <c r="A278" s="3"/>
      <c r="B278" s="3"/>
      <c r="C278" s="197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x14ac:dyDescent="0.2">
      <c r="A279" s="3"/>
      <c r="B279" s="3"/>
      <c r="C279" s="197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x14ac:dyDescent="0.2">
      <c r="A280" s="3"/>
      <c r="B280" s="3"/>
      <c r="C280" s="197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x14ac:dyDescent="0.2">
      <c r="A281" s="3"/>
      <c r="B281" s="3"/>
      <c r="C281" s="197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x14ac:dyDescent="0.2">
      <c r="A282" s="3"/>
      <c r="B282" s="3"/>
      <c r="C282" s="197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x14ac:dyDescent="0.2">
      <c r="A283" s="3"/>
      <c r="B283" s="3"/>
      <c r="C283" s="197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x14ac:dyDescent="0.2">
      <c r="A284" s="3"/>
      <c r="B284" s="3"/>
      <c r="C284" s="197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x14ac:dyDescent="0.2">
      <c r="A285" s="3"/>
      <c r="B285" s="3"/>
      <c r="C285" s="197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x14ac:dyDescent="0.2">
      <c r="A286" s="3"/>
      <c r="B286" s="3"/>
      <c r="C286" s="197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x14ac:dyDescent="0.2">
      <c r="A287" s="3"/>
      <c r="B287" s="3"/>
      <c r="C287" s="197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x14ac:dyDescent="0.2">
      <c r="A288" s="3"/>
      <c r="B288" s="3"/>
      <c r="C288" s="197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x14ac:dyDescent="0.2">
      <c r="A289" s="3"/>
      <c r="B289" s="3"/>
      <c r="C289" s="197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x14ac:dyDescent="0.2">
      <c r="A290" s="3"/>
      <c r="B290" s="3"/>
      <c r="C290" s="197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x14ac:dyDescent="0.2">
      <c r="A291" s="3"/>
      <c r="B291" s="3"/>
      <c r="C291" s="197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x14ac:dyDescent="0.2">
      <c r="A292" s="3"/>
      <c r="B292" s="3"/>
      <c r="C292" s="197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x14ac:dyDescent="0.2">
      <c r="A293" s="3"/>
      <c r="B293" s="3"/>
      <c r="C293" s="197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x14ac:dyDescent="0.2">
      <c r="A294" s="3"/>
      <c r="B294" s="3"/>
      <c r="C294" s="197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x14ac:dyDescent="0.2">
      <c r="A295" s="3"/>
      <c r="B295" s="3"/>
      <c r="C295" s="197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x14ac:dyDescent="0.2">
      <c r="A296" s="3"/>
      <c r="B296" s="3"/>
      <c r="C296" s="197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x14ac:dyDescent="0.2">
      <c r="A297" s="3"/>
      <c r="B297" s="3"/>
      <c r="C297" s="197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x14ac:dyDescent="0.2">
      <c r="A298" s="3"/>
      <c r="B298" s="3"/>
      <c r="C298" s="197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x14ac:dyDescent="0.2">
      <c r="A299" s="3"/>
      <c r="B299" s="3"/>
      <c r="C299" s="197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x14ac:dyDescent="0.2">
      <c r="A300" s="3"/>
      <c r="B300" s="3"/>
      <c r="C300" s="197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x14ac:dyDescent="0.2">
      <c r="A301" s="3"/>
      <c r="B301" s="3"/>
      <c r="C301" s="197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x14ac:dyDescent="0.2">
      <c r="A302" s="3"/>
      <c r="B302" s="3"/>
      <c r="C302" s="197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x14ac:dyDescent="0.2">
      <c r="A303" s="3"/>
      <c r="B303" s="3"/>
      <c r="C303" s="197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x14ac:dyDescent="0.2">
      <c r="A304" s="3"/>
      <c r="B304" s="3"/>
      <c r="C304" s="197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x14ac:dyDescent="0.2">
      <c r="A305" s="3"/>
      <c r="B305" s="3"/>
      <c r="C305" s="197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x14ac:dyDescent="0.2">
      <c r="A306" s="3"/>
      <c r="B306" s="3"/>
      <c r="C306" s="197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x14ac:dyDescent="0.2">
      <c r="A307" s="3"/>
      <c r="B307" s="3"/>
      <c r="C307" s="197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x14ac:dyDescent="0.2">
      <c r="A308" s="3"/>
      <c r="B308" s="3"/>
      <c r="C308" s="197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x14ac:dyDescent="0.2">
      <c r="A309" s="3"/>
      <c r="B309" s="3"/>
      <c r="C309" s="197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x14ac:dyDescent="0.2">
      <c r="A310" s="3"/>
      <c r="B310" s="3"/>
      <c r="C310" s="197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x14ac:dyDescent="0.2">
      <c r="A311" s="3"/>
      <c r="B311" s="3"/>
      <c r="C311" s="197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x14ac:dyDescent="0.2">
      <c r="A312" s="3"/>
      <c r="B312" s="3"/>
      <c r="C312" s="197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x14ac:dyDescent="0.2">
      <c r="A313" s="3"/>
      <c r="B313" s="3"/>
      <c r="C313" s="197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x14ac:dyDescent="0.2">
      <c r="A314" s="3"/>
      <c r="B314" s="3"/>
      <c r="C314" s="197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x14ac:dyDescent="0.2">
      <c r="A315" s="3"/>
      <c r="B315" s="3"/>
      <c r="C315" s="197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x14ac:dyDescent="0.2">
      <c r="A316" s="3"/>
      <c r="B316" s="3"/>
      <c r="C316" s="197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x14ac:dyDescent="0.2">
      <c r="A317" s="3"/>
      <c r="B317" s="3"/>
      <c r="C317" s="197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x14ac:dyDescent="0.2">
      <c r="A318" s="3"/>
      <c r="B318" s="3"/>
      <c r="C318" s="197"/>
      <c r="D318" s="3"/>
      <c r="E318" s="3"/>
      <c r="F318" s="3"/>
      <c r="G318" s="3"/>
      <c r="H318" s="3"/>
      <c r="I318" s="3"/>
      <c r="J318" s="3"/>
      <c r="K318" s="3"/>
      <c r="L318" s="3"/>
      <c r="M318" s="3"/>
    </row>
  </sheetData>
  <sheetProtection password="9675" sheet="1" objects="1" scenarios="1"/>
  <mergeCells count="12">
    <mergeCell ref="B69:C69"/>
    <mergeCell ref="B75:C75"/>
    <mergeCell ref="B78:C78"/>
    <mergeCell ref="B51:C51"/>
    <mergeCell ref="B57:C57"/>
    <mergeCell ref="B63:C63"/>
    <mergeCell ref="B1:J1"/>
    <mergeCell ref="B4:D4"/>
    <mergeCell ref="H4:I4"/>
    <mergeCell ref="B6:C7"/>
    <mergeCell ref="B45:C46"/>
    <mergeCell ref="L5:O5"/>
  </mergeCells>
  <phoneticPr fontId="5" type="noConversion"/>
  <printOptions horizontalCentered="1"/>
  <pageMargins left="0.25" right="0.25" top="0.75" bottom="0.75" header="0.3" footer="0.3"/>
  <pageSetup paperSize="9" scale="95" orientation="portrait" r:id="rId1"/>
  <headerFooter alignWithMargins="0"/>
  <colBreaks count="1" manualBreakCount="1">
    <brk id="11" max="78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zoomScale="115" zoomScaleNormal="115" workbookViewId="0">
      <selection activeCell="B14" sqref="B14"/>
    </sheetView>
  </sheetViews>
  <sheetFormatPr defaultRowHeight="12.75" x14ac:dyDescent="0.2"/>
  <cols>
    <col min="2" max="2" width="27.7109375" customWidth="1"/>
  </cols>
  <sheetData>
    <row r="1" spans="2:10" ht="13.5" thickBot="1" x14ac:dyDescent="0.25"/>
    <row r="2" spans="2:10" ht="15.75" customHeight="1" x14ac:dyDescent="0.2">
      <c r="B2" s="908"/>
      <c r="C2" s="63" t="s">
        <v>49</v>
      </c>
      <c r="D2" s="78" t="s">
        <v>82</v>
      </c>
      <c r="E2" s="78" t="s">
        <v>9</v>
      </c>
      <c r="F2" s="78" t="s">
        <v>26</v>
      </c>
      <c r="G2" s="78" t="s">
        <v>83</v>
      </c>
      <c r="H2" s="78" t="s">
        <v>84</v>
      </c>
      <c r="I2" s="78" t="s">
        <v>85</v>
      </c>
      <c r="J2" s="78" t="s">
        <v>86</v>
      </c>
    </row>
    <row r="3" spans="2:10" ht="13.5" thickBot="1" x14ac:dyDescent="0.25">
      <c r="B3" s="909"/>
      <c r="C3" s="64">
        <f>'T3 Kustannukset'!D$8</f>
        <v>2015</v>
      </c>
      <c r="D3" s="64">
        <f>'T3 Kustannukset'!F$8</f>
        <v>2016</v>
      </c>
      <c r="E3" s="64">
        <f>'T3 Kustannukset'!H$8</f>
        <v>2017</v>
      </c>
      <c r="F3" s="64">
        <f>'T3 Kustannukset'!J$8</f>
        <v>2018</v>
      </c>
      <c r="G3" s="64">
        <f>'T3 Kustannukset'!L$8</f>
        <v>2019</v>
      </c>
      <c r="H3" s="64">
        <f>'T3 Kustannukset'!N$8</f>
        <v>2020</v>
      </c>
      <c r="I3" s="64">
        <f>'T3 Kustannukset'!P$8</f>
        <v>2021</v>
      </c>
      <c r="J3" s="64">
        <f>'T3 Kustannukset'!R$8</f>
        <v>2022</v>
      </c>
    </row>
    <row r="4" spans="2:10" x14ac:dyDescent="0.2">
      <c r="B4" s="58" t="s">
        <v>140</v>
      </c>
      <c r="C4" s="42">
        <f>'T4 Tuotanto'!D43</f>
        <v>0</v>
      </c>
      <c r="D4" s="42">
        <f ca="1">'T4 Tuotanto'!E43</f>
        <v>0</v>
      </c>
      <c r="E4" s="42">
        <f ca="1">'T4 Tuotanto'!F43</f>
        <v>0</v>
      </c>
      <c r="F4" s="42">
        <f ca="1">'T4 Tuotanto'!G43</f>
        <v>0</v>
      </c>
      <c r="G4" s="42">
        <f ca="1">'T4 Tuotanto'!H43</f>
        <v>0</v>
      </c>
      <c r="H4" s="42">
        <f ca="1">'T4 Tuotanto'!I43</f>
        <v>0</v>
      </c>
      <c r="I4" s="42">
        <f ca="1">'T4 Tuotanto'!J43</f>
        <v>0</v>
      </c>
      <c r="J4" s="42">
        <f ca="1">'T4 Tuotanto'!K43</f>
        <v>0</v>
      </c>
    </row>
    <row r="5" spans="2:10" x14ac:dyDescent="0.2">
      <c r="B5" t="s">
        <v>138</v>
      </c>
      <c r="C5" s="42">
        <f>+'T1 Taloussuunnitelma'!E$29</f>
        <v>0</v>
      </c>
      <c r="D5" s="42">
        <f>+'T1 Taloussuunnitelma'!G$29</f>
        <v>0</v>
      </c>
      <c r="E5" s="42">
        <f>+'T1 Taloussuunnitelma'!I$29</f>
        <v>0</v>
      </c>
      <c r="F5" s="42">
        <f>+'T1 Taloussuunnitelma'!K$29</f>
        <v>0</v>
      </c>
      <c r="G5" s="42">
        <f>+'T1 Taloussuunnitelma'!M$29</f>
        <v>0</v>
      </c>
      <c r="H5" s="42">
        <f>+'T1 Taloussuunnitelma'!O$29</f>
        <v>0</v>
      </c>
      <c r="I5" s="42">
        <f>+'T1 Taloussuunnitelma'!Q$29</f>
        <v>0</v>
      </c>
      <c r="J5" s="42">
        <f>+'T1 Taloussuunnitelma'!S$29</f>
        <v>0</v>
      </c>
    </row>
    <row r="6" spans="2:10" x14ac:dyDescent="0.2">
      <c r="B6" t="s">
        <v>139</v>
      </c>
      <c r="C6" s="42">
        <f ca="1">'T4 Tuotanto'!D76</f>
        <v>0</v>
      </c>
      <c r="D6" s="42">
        <f ca="1">'T4 Tuotanto'!E76</f>
        <v>0</v>
      </c>
      <c r="E6" s="42">
        <f ca="1">'T4 Tuotanto'!F76</f>
        <v>0</v>
      </c>
      <c r="F6" s="42">
        <f ca="1">'T4 Tuotanto'!G76</f>
        <v>0</v>
      </c>
      <c r="G6" s="42">
        <f ca="1">'T4 Tuotanto'!H76</f>
        <v>0</v>
      </c>
      <c r="H6" s="42">
        <f ca="1">'T4 Tuotanto'!I76</f>
        <v>0</v>
      </c>
      <c r="I6" s="42">
        <f ca="1">'T4 Tuotanto'!J76</f>
        <v>0</v>
      </c>
      <c r="J6" s="42">
        <f ca="1">'T4 Tuotanto'!K76</f>
        <v>0</v>
      </c>
    </row>
    <row r="7" spans="2:10" x14ac:dyDescent="0.2">
      <c r="B7" t="s">
        <v>114</v>
      </c>
      <c r="C7" s="42">
        <f>'T1 Taloussuunnitelma'!E$31</f>
        <v>0</v>
      </c>
      <c r="D7" s="42">
        <f>'T1 Taloussuunnitelma'!G$31</f>
        <v>0</v>
      </c>
      <c r="E7" s="42">
        <f>'T1 Taloussuunnitelma'!I$31</f>
        <v>0</v>
      </c>
      <c r="F7" s="42">
        <f>'T1 Taloussuunnitelma'!K$31</f>
        <v>0</v>
      </c>
      <c r="G7" s="42">
        <f>'T1 Taloussuunnitelma'!M$31</f>
        <v>0</v>
      </c>
      <c r="H7" s="42">
        <f>'T1 Taloussuunnitelma'!O$31</f>
        <v>0</v>
      </c>
      <c r="I7" s="42">
        <f>'T1 Taloussuunnitelma'!Q$31</f>
        <v>0</v>
      </c>
      <c r="J7" s="42">
        <f>'T1 Taloussuunnitelma'!S$31</f>
        <v>0</v>
      </c>
    </row>
    <row r="8" spans="2:10" x14ac:dyDescent="0.2">
      <c r="B8" t="s">
        <v>141</v>
      </c>
      <c r="C8" s="42">
        <v>0</v>
      </c>
      <c r="D8" s="42">
        <v>0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</row>
    <row r="9" spans="2:10" x14ac:dyDescent="0.2">
      <c r="B9" t="s">
        <v>142</v>
      </c>
      <c r="C9" s="42">
        <v>0</v>
      </c>
      <c r="D9" s="42">
        <v>0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2">
        <v>0</v>
      </c>
    </row>
    <row r="10" spans="2:10" x14ac:dyDescent="0.2">
      <c r="B10" s="1" t="s">
        <v>149</v>
      </c>
      <c r="C10" s="19">
        <f ca="1">SUM(C4:C9)</f>
        <v>0</v>
      </c>
      <c r="D10" s="19">
        <f t="shared" ref="D10:J10" ca="1" si="0">SUM(D4:D9)</f>
        <v>0</v>
      </c>
      <c r="E10" s="19">
        <f t="shared" ca="1" si="0"/>
        <v>0</v>
      </c>
      <c r="F10" s="19">
        <f t="shared" ca="1" si="0"/>
        <v>0</v>
      </c>
      <c r="G10" s="19">
        <f t="shared" ca="1" si="0"/>
        <v>0</v>
      </c>
      <c r="H10" s="19">
        <f t="shared" ca="1" si="0"/>
        <v>0</v>
      </c>
      <c r="I10" s="19">
        <f t="shared" ca="1" si="0"/>
        <v>0</v>
      </c>
      <c r="J10" s="19">
        <f t="shared" ca="1" si="0"/>
        <v>0</v>
      </c>
    </row>
    <row r="11" spans="2:10" x14ac:dyDescent="0.2">
      <c r="B11" s="1" t="s">
        <v>150</v>
      </c>
      <c r="C11" s="42">
        <f ca="1">'T1 Taloussuunnitelma'!E$41</f>
        <v>0</v>
      </c>
      <c r="D11" s="42">
        <f ca="1">'T1 Taloussuunnitelma'!G$41</f>
        <v>0</v>
      </c>
      <c r="E11" s="42">
        <f ca="1">'T1 Taloussuunnitelma'!I$41</f>
        <v>0</v>
      </c>
      <c r="F11" s="42">
        <f ca="1">'T1 Taloussuunnitelma'!K$41</f>
        <v>0</v>
      </c>
      <c r="G11" s="42">
        <f ca="1">'T1 Taloussuunnitelma'!M$41</f>
        <v>0</v>
      </c>
      <c r="H11" s="42">
        <f ca="1">'T1 Taloussuunnitelma'!O$41</f>
        <v>0</v>
      </c>
      <c r="I11" s="42">
        <f ca="1">'T1 Taloussuunnitelma'!Q$41</f>
        <v>0</v>
      </c>
      <c r="J11" s="42">
        <f ca="1">'T1 Taloussuunnitelma'!S$41</f>
        <v>0</v>
      </c>
    </row>
    <row r="12" spans="2:10" x14ac:dyDescent="0.2">
      <c r="B12" s="1" t="s">
        <v>151</v>
      </c>
      <c r="C12" s="42">
        <f ca="1">'T3 Kustannukset'!D87</f>
        <v>0</v>
      </c>
      <c r="D12" s="42">
        <f ca="1">'T3 Kustannukset'!F87</f>
        <v>0</v>
      </c>
      <c r="E12" s="42">
        <f ca="1">'T3 Kustannukset'!H87</f>
        <v>0</v>
      </c>
      <c r="F12" s="42">
        <f ca="1">'T3 Kustannukset'!J87</f>
        <v>0</v>
      </c>
      <c r="G12" s="42">
        <f ca="1">'T3 Kustannukset'!L87</f>
        <v>0</v>
      </c>
      <c r="H12" s="42">
        <f ca="1">'T3 Kustannukset'!N87</f>
        <v>0</v>
      </c>
      <c r="I12" s="42">
        <f ca="1">'T3 Kustannukset'!P87</f>
        <v>0</v>
      </c>
      <c r="J12" s="42">
        <f ca="1">'T3 Kustannukset'!R87</f>
        <v>0</v>
      </c>
    </row>
    <row r="13" spans="2:10" x14ac:dyDescent="0.2">
      <c r="B13" s="1" t="s">
        <v>200</v>
      </c>
      <c r="C13" s="42">
        <f>'T1 Taloussuunnitelma'!E43</f>
        <v>0</v>
      </c>
      <c r="D13" s="42">
        <f>'T1 Taloussuunnitelma'!G43</f>
        <v>0</v>
      </c>
      <c r="E13" s="42">
        <f>'T1 Taloussuunnitelma'!I43</f>
        <v>0</v>
      </c>
      <c r="F13" s="42">
        <f>'T1 Taloussuunnitelma'!K43</f>
        <v>0</v>
      </c>
      <c r="G13" s="42">
        <f>'T1 Taloussuunnitelma'!M43</f>
        <v>0</v>
      </c>
      <c r="H13" s="42">
        <f>'T1 Taloussuunnitelma'!O43</f>
        <v>0</v>
      </c>
      <c r="I13" s="42">
        <f>'T1 Taloussuunnitelma'!Q43</f>
        <v>0</v>
      </c>
      <c r="J13" s="42">
        <f>'T1 Taloussuunnitelma'!S43</f>
        <v>0</v>
      </c>
    </row>
    <row r="14" spans="2:10" x14ac:dyDescent="0.2">
      <c r="B14" s="1" t="s">
        <v>148</v>
      </c>
      <c r="C14" s="42">
        <f ca="1">'T1 Taloussuunnitelma'!E39</f>
        <v>0</v>
      </c>
      <c r="D14" s="42">
        <f ca="1">'T1 Taloussuunnitelma'!G39</f>
        <v>0</v>
      </c>
      <c r="E14" s="42">
        <f ca="1">'T1 Taloussuunnitelma'!I39</f>
        <v>0</v>
      </c>
      <c r="F14" s="42">
        <f ca="1">'T1 Taloussuunnitelma'!K39</f>
        <v>0</v>
      </c>
      <c r="G14" s="42">
        <f ca="1">'T1 Taloussuunnitelma'!M39</f>
        <v>0</v>
      </c>
      <c r="H14" s="42">
        <f ca="1">'T1 Taloussuunnitelma'!O39</f>
        <v>0</v>
      </c>
      <c r="I14" s="42">
        <f ca="1">'T1 Taloussuunnitelma'!Q39</f>
        <v>0</v>
      </c>
      <c r="J14" s="42">
        <f ca="1">'T1 Taloussuunnitelma'!S39</f>
        <v>0</v>
      </c>
    </row>
  </sheetData>
  <sheetProtection password="9675" sheet="1" objects="1" scenarios="1" selectLockedCells="1" selectUnlockedCells="1"/>
  <mergeCells count="1">
    <mergeCell ref="B2:B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85"/>
  <sheetViews>
    <sheetView workbookViewId="0">
      <selection activeCell="F44" sqref="F44"/>
    </sheetView>
  </sheetViews>
  <sheetFormatPr defaultRowHeight="12.75" x14ac:dyDescent="0.2"/>
  <cols>
    <col min="3" max="3" width="29.28515625" customWidth="1"/>
    <col min="4" max="4" width="30.42578125" customWidth="1"/>
    <col min="5" max="5" width="8.5703125" customWidth="1"/>
    <col min="6" max="7" width="9.7109375" bestFit="1" customWidth="1"/>
    <col min="8" max="8" width="10.85546875" customWidth="1"/>
    <col min="9" max="9" width="10.7109375" customWidth="1"/>
  </cols>
  <sheetData>
    <row r="2" spans="1:13" ht="15.75" x14ac:dyDescent="0.25">
      <c r="B2" s="48" t="s">
        <v>186</v>
      </c>
      <c r="E2" s="215" t="s">
        <v>49</v>
      </c>
    </row>
    <row r="3" spans="1:13" x14ac:dyDescent="0.2">
      <c r="D3" s="212" t="s">
        <v>174</v>
      </c>
      <c r="E3" s="214">
        <f>'T1 Taloussuunnitelma'!E8:F8</f>
        <v>2015</v>
      </c>
      <c r="F3" s="213">
        <f>'T2 Investoinnit, rahoitus'!F6</f>
        <v>2016</v>
      </c>
      <c r="G3" s="213">
        <f>'T2 Investoinnit, rahoitus'!G6</f>
        <v>2017</v>
      </c>
      <c r="H3" s="213">
        <f>'T2 Investoinnit, rahoitus'!H6</f>
        <v>2018</v>
      </c>
      <c r="I3" s="213">
        <f>'T2 Investoinnit, rahoitus'!I6</f>
        <v>2019</v>
      </c>
      <c r="J3" s="213">
        <f>'T2 Investoinnit, rahoitus'!J6</f>
        <v>2020</v>
      </c>
      <c r="K3" s="213">
        <f>'T2 Investoinnit, rahoitus'!K6</f>
        <v>2021</v>
      </c>
      <c r="L3" s="213">
        <f>'T2 Investoinnit, rahoitus'!L6</f>
        <v>2022</v>
      </c>
    </row>
    <row r="4" spans="1:13" x14ac:dyDescent="0.2">
      <c r="A4" s="2" t="s">
        <v>178</v>
      </c>
      <c r="B4" s="910" t="str">
        <f>'T2 Investoinnit, rahoitus'!C52</f>
        <v xml:space="preserve"> Annuiteettilaina/osamaksurahoitus 1</v>
      </c>
      <c r="C4" s="911"/>
      <c r="D4" s="51" t="s">
        <v>177</v>
      </c>
      <c r="E4" s="51"/>
      <c r="F4" s="205">
        <f>'T2 Investoinnit, rahoitus'!F52</f>
        <v>0</v>
      </c>
      <c r="G4" s="205">
        <f>'T2 Investoinnit, rahoitus'!G52</f>
        <v>0</v>
      </c>
      <c r="H4" s="205">
        <f>'T2 Investoinnit, rahoitus'!H52</f>
        <v>0</v>
      </c>
      <c r="I4" s="205">
        <f>'T2 Investoinnit, rahoitus'!I52</f>
        <v>0</v>
      </c>
      <c r="J4" s="205">
        <f>'T2 Investoinnit, rahoitus'!J52</f>
        <v>0</v>
      </c>
      <c r="K4" s="205">
        <f>'T2 Investoinnit, rahoitus'!K52</f>
        <v>0</v>
      </c>
      <c r="L4" s="205">
        <f>'T2 Investoinnit, rahoitus'!L52</f>
        <v>0</v>
      </c>
    </row>
    <row r="5" spans="1:13" x14ac:dyDescent="0.2">
      <c r="D5" s="206" t="s">
        <v>29</v>
      </c>
      <c r="E5" s="206"/>
      <c r="F5" s="50">
        <f>'T2 Investoinnit, rahoitus'!F54/12</f>
        <v>0</v>
      </c>
      <c r="G5" s="50">
        <f>'T2 Investoinnit, rahoitus'!G54/12</f>
        <v>0</v>
      </c>
      <c r="H5" s="50">
        <f>'T2 Investoinnit, rahoitus'!H54/12</f>
        <v>0</v>
      </c>
      <c r="I5" s="50">
        <f>'T2 Investoinnit, rahoitus'!I54/12</f>
        <v>0</v>
      </c>
      <c r="J5" s="50">
        <f>'T2 Investoinnit, rahoitus'!J54/12</f>
        <v>0</v>
      </c>
      <c r="K5" s="50">
        <f>'T2 Investoinnit, rahoitus'!K54/12</f>
        <v>0</v>
      </c>
      <c r="L5" s="50">
        <f>'T2 Investoinnit, rahoitus'!L54/12</f>
        <v>0</v>
      </c>
    </row>
    <row r="6" spans="1:13" x14ac:dyDescent="0.2">
      <c r="D6" s="51" t="s">
        <v>30</v>
      </c>
      <c r="E6" s="51"/>
      <c r="F6" s="209">
        <f>'T2 Investoinnit, rahoitus'!F53</f>
        <v>0</v>
      </c>
      <c r="G6" s="55">
        <f>'T2 Investoinnit, rahoitus'!G53</f>
        <v>0</v>
      </c>
      <c r="H6" s="55">
        <f>'T2 Investoinnit, rahoitus'!H53</f>
        <v>0</v>
      </c>
      <c r="I6" s="55">
        <f>'T2 Investoinnit, rahoitus'!I53</f>
        <v>0</v>
      </c>
      <c r="J6" s="55">
        <f>'T2 Investoinnit, rahoitus'!J53</f>
        <v>0</v>
      </c>
      <c r="K6" s="55">
        <f>'T2 Investoinnit, rahoitus'!K53</f>
        <v>0</v>
      </c>
      <c r="L6" s="55">
        <f>'T2 Investoinnit, rahoitus'!L53</f>
        <v>0</v>
      </c>
    </row>
    <row r="7" spans="1:13" x14ac:dyDescent="0.2">
      <c r="D7" s="51" t="s">
        <v>27</v>
      </c>
      <c r="E7" s="51"/>
      <c r="F7" s="210">
        <f>'T2 Investoinnit, rahoitus'!F52</f>
        <v>0</v>
      </c>
      <c r="G7" s="52">
        <f t="shared" ref="G7:L7" si="0">IF(F14&gt;0,F7,G4)</f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</row>
    <row r="8" spans="1:13" x14ac:dyDescent="0.2">
      <c r="D8" s="51" t="s">
        <v>31</v>
      </c>
      <c r="E8" s="51"/>
      <c r="F8" s="211">
        <f>F9*12</f>
        <v>0</v>
      </c>
      <c r="G8" s="207">
        <f>G9*12</f>
        <v>0</v>
      </c>
      <c r="H8" s="207">
        <f>IF(G14&lt;G9,G14,H9*12)</f>
        <v>0</v>
      </c>
      <c r="I8" s="207">
        <f>IF(H14&lt;H9,H14,I9*12)</f>
        <v>0</v>
      </c>
      <c r="J8" s="207">
        <f>IF(I14&lt;I9,I14,J9*12)</f>
        <v>0</v>
      </c>
      <c r="K8" s="207">
        <f>IF(J14&lt;J9,J14,K9*12)</f>
        <v>0</v>
      </c>
      <c r="L8" s="207">
        <f>IF(K14&lt;K9,K14,L9*12)</f>
        <v>0</v>
      </c>
    </row>
    <row r="9" spans="1:13" x14ac:dyDescent="0.2">
      <c r="D9" s="208" t="s">
        <v>176</v>
      </c>
      <c r="E9" s="208"/>
      <c r="F9" s="211">
        <f t="shared" ref="F9:L9" si="1">IF(F5=0,0,-PMT(F5,F6,F7))</f>
        <v>0</v>
      </c>
      <c r="G9" s="207">
        <f t="shared" si="1"/>
        <v>0</v>
      </c>
      <c r="H9" s="207">
        <f t="shared" si="1"/>
        <v>0</v>
      </c>
      <c r="I9" s="207">
        <f t="shared" si="1"/>
        <v>0</v>
      </c>
      <c r="J9" s="207">
        <f t="shared" si="1"/>
        <v>0</v>
      </c>
      <c r="K9" s="207">
        <f t="shared" si="1"/>
        <v>0</v>
      </c>
      <c r="L9" s="207">
        <f t="shared" si="1"/>
        <v>0</v>
      </c>
    </row>
    <row r="10" spans="1:13" x14ac:dyDescent="0.2">
      <c r="D10" s="53" t="s">
        <v>35</v>
      </c>
      <c r="E10" s="51"/>
      <c r="F10" s="4">
        <f>IF(F4&gt;0,7,0)</f>
        <v>0</v>
      </c>
      <c r="G10" s="4">
        <f t="shared" ref="G10:L10" si="2">IF(F10&gt;0,F10+12,IF(G4&gt;0,7,0))</f>
        <v>0</v>
      </c>
      <c r="H10" s="4">
        <f t="shared" si="2"/>
        <v>0</v>
      </c>
      <c r="I10" s="4">
        <f t="shared" si="2"/>
        <v>0</v>
      </c>
      <c r="J10" s="4">
        <f t="shared" si="2"/>
        <v>0</v>
      </c>
      <c r="K10" s="4">
        <f t="shared" si="2"/>
        <v>0</v>
      </c>
      <c r="L10" s="4">
        <f t="shared" si="2"/>
        <v>0</v>
      </c>
    </row>
    <row r="11" spans="1:13" x14ac:dyDescent="0.2">
      <c r="D11" s="53" t="s">
        <v>36</v>
      </c>
      <c r="E11" s="51"/>
      <c r="F11" s="211">
        <f>IF(F10&lt;F6,-IPMT(F5,F10,F6,F7),0)</f>
        <v>0</v>
      </c>
      <c r="G11" s="207">
        <f t="shared" ref="G11:L11" si="3">IF(G10&lt;G6,-IPMT(G5,G10,G6,G7),0)</f>
        <v>0</v>
      </c>
      <c r="H11" s="207">
        <f t="shared" si="3"/>
        <v>0</v>
      </c>
      <c r="I11" s="207">
        <f t="shared" si="3"/>
        <v>0</v>
      </c>
      <c r="J11" s="207">
        <f t="shared" si="3"/>
        <v>0</v>
      </c>
      <c r="K11" s="207">
        <f t="shared" si="3"/>
        <v>0</v>
      </c>
      <c r="L11" s="207">
        <f t="shared" si="3"/>
        <v>0</v>
      </c>
    </row>
    <row r="12" spans="1:13" x14ac:dyDescent="0.2">
      <c r="D12" s="53" t="s">
        <v>37</v>
      </c>
      <c r="E12" s="51"/>
      <c r="F12" s="211">
        <f>12*F11</f>
        <v>0</v>
      </c>
      <c r="G12" s="207">
        <f t="shared" ref="G12:L12" si="4">12*G11</f>
        <v>0</v>
      </c>
      <c r="H12" s="207">
        <f t="shared" si="4"/>
        <v>0</v>
      </c>
      <c r="I12" s="207">
        <f t="shared" si="4"/>
        <v>0</v>
      </c>
      <c r="J12" s="207">
        <f t="shared" si="4"/>
        <v>0</v>
      </c>
      <c r="K12" s="207">
        <f t="shared" si="4"/>
        <v>0</v>
      </c>
      <c r="L12" s="207">
        <f t="shared" si="4"/>
        <v>0</v>
      </c>
      <c r="M12" s="46">
        <f>SUM(F12:L12)</f>
        <v>0</v>
      </c>
    </row>
    <row r="13" spans="1:13" x14ac:dyDescent="0.2">
      <c r="D13" s="54" t="s">
        <v>38</v>
      </c>
      <c r="E13" s="49"/>
      <c r="F13" s="211">
        <f t="shared" ref="F13:L13" si="5">IF(F12=0,0,F8-F12)</f>
        <v>0</v>
      </c>
      <c r="G13" s="207">
        <f t="shared" si="5"/>
        <v>0</v>
      </c>
      <c r="H13" s="207">
        <f t="shared" si="5"/>
        <v>0</v>
      </c>
      <c r="I13" s="207">
        <f t="shared" si="5"/>
        <v>0</v>
      </c>
      <c r="J13" s="207">
        <f t="shared" si="5"/>
        <v>0</v>
      </c>
      <c r="K13" s="207">
        <f t="shared" si="5"/>
        <v>0</v>
      </c>
      <c r="L13" s="207">
        <f t="shared" si="5"/>
        <v>0</v>
      </c>
    </row>
    <row r="14" spans="1:13" x14ac:dyDescent="0.2">
      <c r="D14" s="53" t="s">
        <v>175</v>
      </c>
      <c r="E14" s="51"/>
      <c r="F14" s="211">
        <f>IF(F11=0,0,F7-F13)</f>
        <v>0</v>
      </c>
      <c r="G14" s="207">
        <f t="shared" ref="G14:L14" si="6">IF(G11=0,0,IF(F14+G4-G13&lt;0,0,F14+G4-G13))</f>
        <v>0</v>
      </c>
      <c r="H14" s="207">
        <f t="shared" si="6"/>
        <v>0</v>
      </c>
      <c r="I14" s="207">
        <f t="shared" si="6"/>
        <v>0</v>
      </c>
      <c r="J14" s="207">
        <f t="shared" si="6"/>
        <v>0</v>
      </c>
      <c r="K14" s="207">
        <f t="shared" si="6"/>
        <v>0</v>
      </c>
      <c r="L14" s="207">
        <f t="shared" si="6"/>
        <v>0</v>
      </c>
    </row>
    <row r="15" spans="1:13" x14ac:dyDescent="0.2">
      <c r="A15" s="2" t="s">
        <v>178</v>
      </c>
      <c r="B15" s="910" t="str">
        <f>'T2 Investoinnit, rahoitus'!C59</f>
        <v xml:space="preserve"> Annuiteettilaina/osamaksurahoitus 2</v>
      </c>
      <c r="C15" s="911"/>
      <c r="D15" s="51" t="s">
        <v>177</v>
      </c>
      <c r="E15" s="51"/>
      <c r="F15" s="205">
        <f>'T2 Investoinnit, rahoitus'!F59</f>
        <v>0</v>
      </c>
      <c r="G15" s="205">
        <f>'T2 Investoinnit, rahoitus'!G59</f>
        <v>0</v>
      </c>
      <c r="H15" s="205">
        <f>'T2 Investoinnit, rahoitus'!H59</f>
        <v>0</v>
      </c>
      <c r="I15" s="205">
        <f>'T2 Investoinnit, rahoitus'!I59</f>
        <v>0</v>
      </c>
      <c r="J15" s="205">
        <f>'T2 Investoinnit, rahoitus'!J59</f>
        <v>0</v>
      </c>
      <c r="K15" s="205">
        <f>'T2 Investoinnit, rahoitus'!K59</f>
        <v>0</v>
      </c>
      <c r="L15" s="205">
        <f>'T2 Investoinnit, rahoitus'!L59</f>
        <v>0</v>
      </c>
    </row>
    <row r="16" spans="1:13" x14ac:dyDescent="0.2">
      <c r="D16" s="206" t="s">
        <v>29</v>
      </c>
      <c r="E16" s="206"/>
      <c r="F16" s="50">
        <f>'T2 Investoinnit, rahoitus'!F61/12</f>
        <v>0</v>
      </c>
      <c r="G16" s="50">
        <f>'T2 Investoinnit, rahoitus'!G61/12</f>
        <v>0</v>
      </c>
      <c r="H16" s="50">
        <f>'T2 Investoinnit, rahoitus'!H61/12</f>
        <v>0</v>
      </c>
      <c r="I16" s="50">
        <f>'T2 Investoinnit, rahoitus'!I61/12</f>
        <v>0</v>
      </c>
      <c r="J16" s="50">
        <f>'T2 Investoinnit, rahoitus'!J61/12</f>
        <v>0</v>
      </c>
      <c r="K16" s="50">
        <f>'T2 Investoinnit, rahoitus'!K61/12</f>
        <v>0</v>
      </c>
      <c r="L16" s="50">
        <f>'T2 Investoinnit, rahoitus'!L61/12</f>
        <v>0</v>
      </c>
    </row>
    <row r="17" spans="1:12" x14ac:dyDescent="0.2">
      <c r="D17" s="51" t="s">
        <v>30</v>
      </c>
      <c r="E17" s="51"/>
      <c r="F17" s="205">
        <f>'T2 Investoinnit, rahoitus'!F60</f>
        <v>0</v>
      </c>
      <c r="G17" s="205">
        <f>'T2 Investoinnit, rahoitus'!G60</f>
        <v>0</v>
      </c>
      <c r="H17" s="205">
        <f>'T2 Investoinnit, rahoitus'!H60</f>
        <v>0</v>
      </c>
      <c r="I17" s="205">
        <f>'T2 Investoinnit, rahoitus'!I60</f>
        <v>0</v>
      </c>
      <c r="J17" s="205">
        <f>'T2 Investoinnit, rahoitus'!J60</f>
        <v>0</v>
      </c>
      <c r="K17" s="205">
        <f>'T2 Investoinnit, rahoitus'!K60</f>
        <v>0</v>
      </c>
      <c r="L17" s="205">
        <f>'T2 Investoinnit, rahoitus'!L60</f>
        <v>0</v>
      </c>
    </row>
    <row r="18" spans="1:12" x14ac:dyDescent="0.2">
      <c r="D18" s="51" t="s">
        <v>27</v>
      </c>
      <c r="E18" s="51"/>
      <c r="F18" s="210">
        <f>'T2 Investoinnit, rahoitus'!F59</f>
        <v>0</v>
      </c>
      <c r="G18" s="52">
        <f t="shared" ref="G18:L18" si="7">IF(F25&gt;0,F18,G15)</f>
        <v>0</v>
      </c>
      <c r="H18" s="52">
        <f t="shared" si="7"/>
        <v>0</v>
      </c>
      <c r="I18" s="52">
        <f t="shared" si="7"/>
        <v>0</v>
      </c>
      <c r="J18" s="52">
        <f t="shared" si="7"/>
        <v>0</v>
      </c>
      <c r="K18" s="52">
        <f t="shared" si="7"/>
        <v>0</v>
      </c>
      <c r="L18" s="52">
        <f t="shared" si="7"/>
        <v>0</v>
      </c>
    </row>
    <row r="19" spans="1:12" x14ac:dyDescent="0.2">
      <c r="D19" s="51" t="s">
        <v>31</v>
      </c>
      <c r="E19" s="51"/>
      <c r="F19" s="211">
        <f>F20*12</f>
        <v>0</v>
      </c>
      <c r="G19" s="207">
        <f>G20*12</f>
        <v>0</v>
      </c>
      <c r="H19" s="207">
        <f>IF(G25&lt;G20,G25,H20*12)</f>
        <v>0</v>
      </c>
      <c r="I19" s="207">
        <f>IF(H25&lt;H20,H25,I20*12)</f>
        <v>0</v>
      </c>
      <c r="J19" s="207">
        <f>IF(I25&lt;I20,I25,J20*12)</f>
        <v>0</v>
      </c>
      <c r="K19" s="207">
        <f>IF(J25&lt;J20,J25,K20*12)</f>
        <v>0</v>
      </c>
      <c r="L19" s="207">
        <f>IF(K25&lt;K20,K25,L20*12)</f>
        <v>0</v>
      </c>
    </row>
    <row r="20" spans="1:12" x14ac:dyDescent="0.2">
      <c r="D20" s="208" t="s">
        <v>176</v>
      </c>
      <c r="E20" s="208"/>
      <c r="F20" s="211">
        <f t="shared" ref="F20:L20" si="8">IF(F16=0,0,-PMT(F16,F17,F18))</f>
        <v>0</v>
      </c>
      <c r="G20" s="207">
        <f t="shared" si="8"/>
        <v>0</v>
      </c>
      <c r="H20" s="207">
        <f t="shared" si="8"/>
        <v>0</v>
      </c>
      <c r="I20" s="207">
        <f t="shared" si="8"/>
        <v>0</v>
      </c>
      <c r="J20" s="207">
        <f t="shared" si="8"/>
        <v>0</v>
      </c>
      <c r="K20" s="207">
        <f t="shared" si="8"/>
        <v>0</v>
      </c>
      <c r="L20" s="207">
        <f t="shared" si="8"/>
        <v>0</v>
      </c>
    </row>
    <row r="21" spans="1:12" x14ac:dyDescent="0.2">
      <c r="D21" s="53" t="s">
        <v>35</v>
      </c>
      <c r="E21" s="51"/>
      <c r="F21" s="4">
        <f>IF(F15&gt;0,7,0)</f>
        <v>0</v>
      </c>
      <c r="G21" s="4">
        <f t="shared" ref="G21:L21" si="9">IF(F21&gt;0,F21+12,IF(G15&gt;0,7,0))</f>
        <v>0</v>
      </c>
      <c r="H21" s="4">
        <f t="shared" si="9"/>
        <v>0</v>
      </c>
      <c r="I21" s="4">
        <f t="shared" si="9"/>
        <v>0</v>
      </c>
      <c r="J21" s="4">
        <f t="shared" si="9"/>
        <v>0</v>
      </c>
      <c r="K21" s="4">
        <f t="shared" si="9"/>
        <v>0</v>
      </c>
      <c r="L21" s="4">
        <f t="shared" si="9"/>
        <v>0</v>
      </c>
    </row>
    <row r="22" spans="1:12" x14ac:dyDescent="0.2">
      <c r="D22" s="53" t="s">
        <v>36</v>
      </c>
      <c r="E22" s="51"/>
      <c r="F22" s="211">
        <f t="shared" ref="F22:L22" si="10">IF(F21&lt;F17,-IPMT(F16,F21,F17,F18),0)</f>
        <v>0</v>
      </c>
      <c r="G22" s="207">
        <f t="shared" si="10"/>
        <v>0</v>
      </c>
      <c r="H22" s="207">
        <f t="shared" si="10"/>
        <v>0</v>
      </c>
      <c r="I22" s="207">
        <f t="shared" si="10"/>
        <v>0</v>
      </c>
      <c r="J22" s="207">
        <f t="shared" si="10"/>
        <v>0</v>
      </c>
      <c r="K22" s="207">
        <f t="shared" si="10"/>
        <v>0</v>
      </c>
      <c r="L22" s="207">
        <f t="shared" si="10"/>
        <v>0</v>
      </c>
    </row>
    <row r="23" spans="1:12" x14ac:dyDescent="0.2">
      <c r="D23" s="53" t="s">
        <v>37</v>
      </c>
      <c r="E23" s="51"/>
      <c r="F23" s="211">
        <f t="shared" ref="F23:L23" si="11">12*F22</f>
        <v>0</v>
      </c>
      <c r="G23" s="207">
        <f t="shared" si="11"/>
        <v>0</v>
      </c>
      <c r="H23" s="207">
        <f t="shared" si="11"/>
        <v>0</v>
      </c>
      <c r="I23" s="207">
        <f t="shared" si="11"/>
        <v>0</v>
      </c>
      <c r="J23" s="207">
        <f t="shared" si="11"/>
        <v>0</v>
      </c>
      <c r="K23" s="207">
        <f t="shared" si="11"/>
        <v>0</v>
      </c>
      <c r="L23" s="207">
        <f t="shared" si="11"/>
        <v>0</v>
      </c>
    </row>
    <row r="24" spans="1:12" x14ac:dyDescent="0.2">
      <c r="D24" s="54" t="s">
        <v>38</v>
      </c>
      <c r="E24" s="49"/>
      <c r="F24" s="211">
        <f t="shared" ref="F24:L24" si="12">IF(F23=0,0,F19-F23)</f>
        <v>0</v>
      </c>
      <c r="G24" s="207">
        <f t="shared" si="12"/>
        <v>0</v>
      </c>
      <c r="H24" s="207">
        <f t="shared" si="12"/>
        <v>0</v>
      </c>
      <c r="I24" s="207">
        <f t="shared" si="12"/>
        <v>0</v>
      </c>
      <c r="J24" s="207">
        <f t="shared" si="12"/>
        <v>0</v>
      </c>
      <c r="K24" s="207">
        <f t="shared" si="12"/>
        <v>0</v>
      </c>
      <c r="L24" s="207">
        <f t="shared" si="12"/>
        <v>0</v>
      </c>
    </row>
    <row r="25" spans="1:12" x14ac:dyDescent="0.2">
      <c r="D25" s="53" t="s">
        <v>175</v>
      </c>
      <c r="E25" s="51"/>
      <c r="F25" s="211">
        <f>IF(F22=0,0,F18-F24)</f>
        <v>0</v>
      </c>
      <c r="G25" s="207">
        <f t="shared" ref="G25:L25" si="13">IF(G22=0,0,IF(F25+G15-G24&lt;0,0,F25+G15-G24))</f>
        <v>0</v>
      </c>
      <c r="H25" s="207">
        <f t="shared" si="13"/>
        <v>0</v>
      </c>
      <c r="I25" s="207">
        <f t="shared" si="13"/>
        <v>0</v>
      </c>
      <c r="J25" s="207">
        <f t="shared" si="13"/>
        <v>0</v>
      </c>
      <c r="K25" s="207">
        <f t="shared" si="13"/>
        <v>0</v>
      </c>
      <c r="L25" s="207">
        <f t="shared" si="13"/>
        <v>0</v>
      </c>
    </row>
    <row r="26" spans="1:12" x14ac:dyDescent="0.2">
      <c r="A26" s="2" t="s">
        <v>178</v>
      </c>
      <c r="B26" s="910" t="str">
        <f>'T2 Investoinnit, rahoitus'!C66</f>
        <v xml:space="preserve"> Annuiteettilaina/osamaksurahoitus 3</v>
      </c>
      <c r="C26" s="911"/>
      <c r="D26" s="51" t="s">
        <v>177</v>
      </c>
      <c r="E26" s="51"/>
      <c r="F26" s="205">
        <f>'T2 Investoinnit, rahoitus'!F66</f>
        <v>0</v>
      </c>
      <c r="G26" s="205">
        <f>'T2 Investoinnit, rahoitus'!G66</f>
        <v>0</v>
      </c>
      <c r="H26" s="205">
        <f>'T2 Investoinnit, rahoitus'!H66</f>
        <v>0</v>
      </c>
      <c r="I26" s="205">
        <f>'T2 Investoinnit, rahoitus'!I66</f>
        <v>0</v>
      </c>
      <c r="J26" s="205">
        <f>'T2 Investoinnit, rahoitus'!J66</f>
        <v>0</v>
      </c>
      <c r="K26" s="205">
        <f>'T2 Investoinnit, rahoitus'!K66</f>
        <v>0</v>
      </c>
      <c r="L26" s="205">
        <f>'T2 Investoinnit, rahoitus'!L66</f>
        <v>0</v>
      </c>
    </row>
    <row r="27" spans="1:12" x14ac:dyDescent="0.2">
      <c r="D27" s="206" t="s">
        <v>29</v>
      </c>
      <c r="E27" s="206"/>
      <c r="F27" s="50">
        <f>'T2 Investoinnit, rahoitus'!F68/12</f>
        <v>0</v>
      </c>
      <c r="G27" s="50">
        <f>'T2 Investoinnit, rahoitus'!G68/12</f>
        <v>0</v>
      </c>
      <c r="H27" s="50">
        <f>'T2 Investoinnit, rahoitus'!H68/12</f>
        <v>0</v>
      </c>
      <c r="I27" s="50">
        <f>'T2 Investoinnit, rahoitus'!I68/12</f>
        <v>0</v>
      </c>
      <c r="J27" s="50">
        <f>'T2 Investoinnit, rahoitus'!J68/12</f>
        <v>0</v>
      </c>
      <c r="K27" s="50">
        <f>'T2 Investoinnit, rahoitus'!K68/12</f>
        <v>0</v>
      </c>
      <c r="L27" s="50">
        <f>'T2 Investoinnit, rahoitus'!L68/12</f>
        <v>0</v>
      </c>
    </row>
    <row r="28" spans="1:12" x14ac:dyDescent="0.2">
      <c r="D28" s="51" t="s">
        <v>30</v>
      </c>
      <c r="E28" s="51"/>
      <c r="F28" s="205">
        <f>'T2 Investoinnit, rahoitus'!F67</f>
        <v>0</v>
      </c>
      <c r="G28" s="205">
        <f>'T2 Investoinnit, rahoitus'!G67</f>
        <v>0</v>
      </c>
      <c r="H28" s="205">
        <f>'T2 Investoinnit, rahoitus'!H67</f>
        <v>0</v>
      </c>
      <c r="I28" s="205">
        <f>'T2 Investoinnit, rahoitus'!I67</f>
        <v>0</v>
      </c>
      <c r="J28" s="205">
        <f>'T2 Investoinnit, rahoitus'!J67</f>
        <v>0</v>
      </c>
      <c r="K28" s="205">
        <f>'T2 Investoinnit, rahoitus'!K67</f>
        <v>0</v>
      </c>
      <c r="L28" s="205">
        <f>'T2 Investoinnit, rahoitus'!L67</f>
        <v>0</v>
      </c>
    </row>
    <row r="29" spans="1:12" x14ac:dyDescent="0.2">
      <c r="D29" s="51" t="s">
        <v>27</v>
      </c>
      <c r="E29" s="51"/>
      <c r="F29" s="210">
        <f>'T2 Investoinnit, rahoitus'!F66</f>
        <v>0</v>
      </c>
      <c r="G29" s="52">
        <f t="shared" ref="G29:L29" si="14">IF(F36&gt;0,F29,G26)</f>
        <v>0</v>
      </c>
      <c r="H29" s="52">
        <f t="shared" si="14"/>
        <v>0</v>
      </c>
      <c r="I29" s="52">
        <f t="shared" si="14"/>
        <v>0</v>
      </c>
      <c r="J29" s="52">
        <f t="shared" si="14"/>
        <v>0</v>
      </c>
      <c r="K29" s="52">
        <f t="shared" si="14"/>
        <v>0</v>
      </c>
      <c r="L29" s="52">
        <f t="shared" si="14"/>
        <v>0</v>
      </c>
    </row>
    <row r="30" spans="1:12" x14ac:dyDescent="0.2">
      <c r="D30" s="51" t="s">
        <v>31</v>
      </c>
      <c r="E30" s="51"/>
      <c r="F30" s="211">
        <f>F31*12</f>
        <v>0</v>
      </c>
      <c r="G30" s="207">
        <f>G31*12</f>
        <v>0</v>
      </c>
      <c r="H30" s="207">
        <f>IF(G36&lt;G31,G36,H31*12)</f>
        <v>0</v>
      </c>
      <c r="I30" s="207">
        <f>IF(H36&lt;H31,H36,I31*12)</f>
        <v>0</v>
      </c>
      <c r="J30" s="207">
        <f>IF(I36&lt;I31,I36,J31*12)</f>
        <v>0</v>
      </c>
      <c r="K30" s="207">
        <f>IF(J36&lt;J31,J36,K31*12)</f>
        <v>0</v>
      </c>
      <c r="L30" s="207">
        <f>IF(K36&lt;K31,K36,L31*12)</f>
        <v>0</v>
      </c>
    </row>
    <row r="31" spans="1:12" x14ac:dyDescent="0.2">
      <c r="D31" s="208" t="s">
        <v>176</v>
      </c>
      <c r="E31" s="208"/>
      <c r="F31" s="211">
        <f t="shared" ref="F31:L31" si="15">IF(F27=0,0,-PMT(F27,F28,F29))</f>
        <v>0</v>
      </c>
      <c r="G31" s="207">
        <f t="shared" si="15"/>
        <v>0</v>
      </c>
      <c r="H31" s="207">
        <f t="shared" si="15"/>
        <v>0</v>
      </c>
      <c r="I31" s="207">
        <f t="shared" si="15"/>
        <v>0</v>
      </c>
      <c r="J31" s="207">
        <f t="shared" si="15"/>
        <v>0</v>
      </c>
      <c r="K31" s="207">
        <f t="shared" si="15"/>
        <v>0</v>
      </c>
      <c r="L31" s="207">
        <f t="shared" si="15"/>
        <v>0</v>
      </c>
    </row>
    <row r="32" spans="1:12" x14ac:dyDescent="0.2">
      <c r="D32" s="53" t="s">
        <v>35</v>
      </c>
      <c r="E32" s="51"/>
      <c r="F32" s="4">
        <f>IF(F26&gt;0,7,0)</f>
        <v>0</v>
      </c>
      <c r="G32" s="4">
        <f t="shared" ref="G32:L32" si="16">IF(F32&gt;0,F32+12,IF(G26&gt;0,7,0))</f>
        <v>0</v>
      </c>
      <c r="H32" s="4">
        <f t="shared" si="16"/>
        <v>0</v>
      </c>
      <c r="I32" s="4">
        <f t="shared" si="16"/>
        <v>0</v>
      </c>
      <c r="J32" s="4">
        <f t="shared" si="16"/>
        <v>0</v>
      </c>
      <c r="K32" s="4">
        <f t="shared" si="16"/>
        <v>0</v>
      </c>
      <c r="L32" s="4">
        <f t="shared" si="16"/>
        <v>0</v>
      </c>
    </row>
    <row r="33" spans="1:12" x14ac:dyDescent="0.2">
      <c r="D33" s="53" t="s">
        <v>36</v>
      </c>
      <c r="E33" s="51"/>
      <c r="F33" s="211">
        <f t="shared" ref="F33:L33" si="17">IF(F32&lt;F28,-IPMT(F27,F32,F28,F29),0)</f>
        <v>0</v>
      </c>
      <c r="G33" s="207">
        <f t="shared" si="17"/>
        <v>0</v>
      </c>
      <c r="H33" s="207">
        <f t="shared" si="17"/>
        <v>0</v>
      </c>
      <c r="I33" s="207">
        <f t="shared" si="17"/>
        <v>0</v>
      </c>
      <c r="J33" s="207">
        <f t="shared" si="17"/>
        <v>0</v>
      </c>
      <c r="K33" s="207">
        <f t="shared" si="17"/>
        <v>0</v>
      </c>
      <c r="L33" s="207">
        <f t="shared" si="17"/>
        <v>0</v>
      </c>
    </row>
    <row r="34" spans="1:12" x14ac:dyDescent="0.2">
      <c r="D34" s="53" t="s">
        <v>37</v>
      </c>
      <c r="E34" s="51"/>
      <c r="F34" s="211">
        <f t="shared" ref="F34:L34" si="18">12*F33</f>
        <v>0</v>
      </c>
      <c r="G34" s="207">
        <f t="shared" si="18"/>
        <v>0</v>
      </c>
      <c r="H34" s="207">
        <f t="shared" si="18"/>
        <v>0</v>
      </c>
      <c r="I34" s="207">
        <f t="shared" si="18"/>
        <v>0</v>
      </c>
      <c r="J34" s="207">
        <f t="shared" si="18"/>
        <v>0</v>
      </c>
      <c r="K34" s="207">
        <f t="shared" si="18"/>
        <v>0</v>
      </c>
      <c r="L34" s="207">
        <f t="shared" si="18"/>
        <v>0</v>
      </c>
    </row>
    <row r="35" spans="1:12" x14ac:dyDescent="0.2">
      <c r="D35" s="54" t="s">
        <v>38</v>
      </c>
      <c r="E35" s="49"/>
      <c r="F35" s="211">
        <f t="shared" ref="F35:L35" si="19">IF(F34=0,0,F30-F34)</f>
        <v>0</v>
      </c>
      <c r="G35" s="207">
        <f t="shared" si="19"/>
        <v>0</v>
      </c>
      <c r="H35" s="207">
        <f t="shared" si="19"/>
        <v>0</v>
      </c>
      <c r="I35" s="207">
        <f t="shared" si="19"/>
        <v>0</v>
      </c>
      <c r="J35" s="207">
        <f t="shared" si="19"/>
        <v>0</v>
      </c>
      <c r="K35" s="207">
        <f t="shared" si="19"/>
        <v>0</v>
      </c>
      <c r="L35" s="207">
        <f t="shared" si="19"/>
        <v>0</v>
      </c>
    </row>
    <row r="36" spans="1:12" x14ac:dyDescent="0.2">
      <c r="D36" s="53" t="s">
        <v>175</v>
      </c>
      <c r="E36" s="51"/>
      <c r="F36" s="211">
        <f>IF(F33=0,0,F29-F35)</f>
        <v>0</v>
      </c>
      <c r="G36" s="207">
        <f t="shared" ref="G36:L36" si="20">IF(G33=0,0,IF(F36+G26-G35&lt;0,0,F36+G26-G35))</f>
        <v>0</v>
      </c>
      <c r="H36" s="207">
        <f t="shared" si="20"/>
        <v>0</v>
      </c>
      <c r="I36" s="207">
        <f t="shared" si="20"/>
        <v>0</v>
      </c>
      <c r="J36" s="207">
        <f t="shared" si="20"/>
        <v>0</v>
      </c>
      <c r="K36" s="207">
        <f t="shared" si="20"/>
        <v>0</v>
      </c>
      <c r="L36" s="207">
        <f t="shared" si="20"/>
        <v>0</v>
      </c>
    </row>
    <row r="37" spans="1:12" x14ac:dyDescent="0.2">
      <c r="A37" s="2" t="s">
        <v>178</v>
      </c>
      <c r="B37" s="910" t="str">
        <f>'T2 Investoinnit, rahoitus'!C73</f>
        <v xml:space="preserve"> Annuiteettilaina/osamaksurahoitus 4</v>
      </c>
      <c r="C37" s="911"/>
      <c r="D37" s="51" t="s">
        <v>177</v>
      </c>
      <c r="E37" s="51"/>
      <c r="F37" s="205">
        <f>'T2 Investoinnit, rahoitus'!F73</f>
        <v>0</v>
      </c>
      <c r="G37" s="205">
        <f>'T2 Investoinnit, rahoitus'!G73</f>
        <v>0</v>
      </c>
      <c r="H37" s="205">
        <f>'T2 Investoinnit, rahoitus'!H73</f>
        <v>0</v>
      </c>
      <c r="I37" s="205">
        <f>'T2 Investoinnit, rahoitus'!I73</f>
        <v>0</v>
      </c>
      <c r="J37" s="205">
        <f>'T2 Investoinnit, rahoitus'!J73</f>
        <v>0</v>
      </c>
      <c r="K37" s="205">
        <f>'T2 Investoinnit, rahoitus'!K73</f>
        <v>0</v>
      </c>
      <c r="L37" s="205">
        <f>'T2 Investoinnit, rahoitus'!L73</f>
        <v>0</v>
      </c>
    </row>
    <row r="38" spans="1:12" x14ac:dyDescent="0.2">
      <c r="D38" s="206" t="s">
        <v>29</v>
      </c>
      <c r="E38" s="206"/>
      <c r="F38" s="50">
        <f>'T2 Investoinnit, rahoitus'!F75/12</f>
        <v>0</v>
      </c>
      <c r="G38" s="50">
        <f>'T2 Investoinnit, rahoitus'!G75/12</f>
        <v>0</v>
      </c>
      <c r="H38" s="50">
        <f>'T2 Investoinnit, rahoitus'!H75/12</f>
        <v>0</v>
      </c>
      <c r="I38" s="50">
        <f>'T2 Investoinnit, rahoitus'!I75/12</f>
        <v>0</v>
      </c>
      <c r="J38" s="50">
        <f>'T2 Investoinnit, rahoitus'!J75/12</f>
        <v>0</v>
      </c>
      <c r="K38" s="50">
        <f>'T2 Investoinnit, rahoitus'!K75/12</f>
        <v>0</v>
      </c>
      <c r="L38" s="50">
        <f>'T2 Investoinnit, rahoitus'!L75/12</f>
        <v>0</v>
      </c>
    </row>
    <row r="39" spans="1:12" x14ac:dyDescent="0.2">
      <c r="D39" s="51" t="s">
        <v>30</v>
      </c>
      <c r="E39" s="51"/>
      <c r="F39" s="205">
        <f>'T2 Investoinnit, rahoitus'!F74</f>
        <v>0</v>
      </c>
      <c r="G39" s="205">
        <f>'T2 Investoinnit, rahoitus'!G74</f>
        <v>0</v>
      </c>
      <c r="H39" s="205">
        <f>'T2 Investoinnit, rahoitus'!H74</f>
        <v>0</v>
      </c>
      <c r="I39" s="205">
        <f>'T2 Investoinnit, rahoitus'!I74</f>
        <v>0</v>
      </c>
      <c r="J39" s="205">
        <f>'T2 Investoinnit, rahoitus'!J74</f>
        <v>0</v>
      </c>
      <c r="K39" s="205">
        <f>'T2 Investoinnit, rahoitus'!K74</f>
        <v>0</v>
      </c>
      <c r="L39" s="205">
        <f>'T2 Investoinnit, rahoitus'!L74</f>
        <v>0</v>
      </c>
    </row>
    <row r="40" spans="1:12" x14ac:dyDescent="0.2">
      <c r="D40" s="51" t="s">
        <v>27</v>
      </c>
      <c r="E40" s="51"/>
      <c r="F40" s="210">
        <f>'T2 Investoinnit, rahoitus'!F73</f>
        <v>0</v>
      </c>
      <c r="G40" s="52">
        <f t="shared" ref="G40:L40" si="21">IF(F47&gt;0,F40,G37)</f>
        <v>0</v>
      </c>
      <c r="H40" s="52">
        <f t="shared" si="21"/>
        <v>0</v>
      </c>
      <c r="I40" s="52">
        <f t="shared" si="21"/>
        <v>0</v>
      </c>
      <c r="J40" s="52">
        <f t="shared" si="21"/>
        <v>0</v>
      </c>
      <c r="K40" s="52">
        <f t="shared" si="21"/>
        <v>0</v>
      </c>
      <c r="L40" s="52">
        <f t="shared" si="21"/>
        <v>0</v>
      </c>
    </row>
    <row r="41" spans="1:12" x14ac:dyDescent="0.2">
      <c r="D41" s="51" t="s">
        <v>31</v>
      </c>
      <c r="E41" s="51"/>
      <c r="F41" s="211">
        <f>F42*12</f>
        <v>0</v>
      </c>
      <c r="G41" s="207">
        <f>G42*12</f>
        <v>0</v>
      </c>
      <c r="H41" s="207">
        <f>IF(G47&lt;G42,G47,H42*12)</f>
        <v>0</v>
      </c>
      <c r="I41" s="207">
        <f>IF(H47&lt;H42,H47,I42*12)</f>
        <v>0</v>
      </c>
      <c r="J41" s="207">
        <f>IF(I47&lt;I42,I47,J42*12)</f>
        <v>0</v>
      </c>
      <c r="K41" s="207">
        <f>IF(J47&lt;J42,J47,K42*12)</f>
        <v>0</v>
      </c>
      <c r="L41" s="207">
        <f>IF(K47&lt;K42,K47,L42*12)</f>
        <v>0</v>
      </c>
    </row>
    <row r="42" spans="1:12" x14ac:dyDescent="0.2">
      <c r="D42" s="208" t="s">
        <v>176</v>
      </c>
      <c r="E42" s="208"/>
      <c r="F42" s="211">
        <f t="shared" ref="F42:L42" si="22">IF(F38=0,0,-PMT(F38,F39,F40))</f>
        <v>0</v>
      </c>
      <c r="G42" s="207">
        <f t="shared" si="22"/>
        <v>0</v>
      </c>
      <c r="H42" s="207">
        <f t="shared" si="22"/>
        <v>0</v>
      </c>
      <c r="I42" s="207">
        <f t="shared" si="22"/>
        <v>0</v>
      </c>
      <c r="J42" s="207">
        <f t="shared" si="22"/>
        <v>0</v>
      </c>
      <c r="K42" s="207">
        <f t="shared" si="22"/>
        <v>0</v>
      </c>
      <c r="L42" s="207">
        <f t="shared" si="22"/>
        <v>0</v>
      </c>
    </row>
    <row r="43" spans="1:12" x14ac:dyDescent="0.2">
      <c r="D43" s="53" t="s">
        <v>35</v>
      </c>
      <c r="E43" s="51"/>
      <c r="F43" s="4">
        <f>IF(F37&gt;0,7,0)</f>
        <v>0</v>
      </c>
      <c r="G43" s="4">
        <f t="shared" ref="G43:L43" si="23">IF(F43&gt;0,F43+12,IF(G37&gt;0,7,0))</f>
        <v>0</v>
      </c>
      <c r="H43" s="4">
        <f t="shared" si="23"/>
        <v>0</v>
      </c>
      <c r="I43" s="4">
        <f t="shared" si="23"/>
        <v>0</v>
      </c>
      <c r="J43" s="4">
        <f t="shared" si="23"/>
        <v>0</v>
      </c>
      <c r="K43" s="4">
        <f t="shared" si="23"/>
        <v>0</v>
      </c>
      <c r="L43" s="4">
        <f t="shared" si="23"/>
        <v>0</v>
      </c>
    </row>
    <row r="44" spans="1:12" x14ac:dyDescent="0.2">
      <c r="D44" s="53" t="s">
        <v>36</v>
      </c>
      <c r="E44" s="51"/>
      <c r="F44" s="211">
        <f t="shared" ref="F44:L44" si="24">IF(F43&lt;F39,-IPMT(F38,F43,F39,F40),0)</f>
        <v>0</v>
      </c>
      <c r="G44" s="207">
        <f t="shared" si="24"/>
        <v>0</v>
      </c>
      <c r="H44" s="207">
        <f t="shared" si="24"/>
        <v>0</v>
      </c>
      <c r="I44" s="207">
        <f t="shared" si="24"/>
        <v>0</v>
      </c>
      <c r="J44" s="207">
        <f t="shared" si="24"/>
        <v>0</v>
      </c>
      <c r="K44" s="207">
        <f t="shared" si="24"/>
        <v>0</v>
      </c>
      <c r="L44" s="207">
        <f t="shared" si="24"/>
        <v>0</v>
      </c>
    </row>
    <row r="45" spans="1:12" x14ac:dyDescent="0.2">
      <c r="D45" s="53" t="s">
        <v>37</v>
      </c>
      <c r="E45" s="51"/>
      <c r="F45" s="211">
        <f t="shared" ref="F45:L45" si="25">12*F44</f>
        <v>0</v>
      </c>
      <c r="G45" s="207">
        <f t="shared" si="25"/>
        <v>0</v>
      </c>
      <c r="H45" s="207">
        <f t="shared" si="25"/>
        <v>0</v>
      </c>
      <c r="I45" s="207">
        <f t="shared" si="25"/>
        <v>0</v>
      </c>
      <c r="J45" s="207">
        <f t="shared" si="25"/>
        <v>0</v>
      </c>
      <c r="K45" s="207">
        <f t="shared" si="25"/>
        <v>0</v>
      </c>
      <c r="L45" s="207">
        <f t="shared" si="25"/>
        <v>0</v>
      </c>
    </row>
    <row r="46" spans="1:12" x14ac:dyDescent="0.2">
      <c r="D46" s="54" t="s">
        <v>38</v>
      </c>
      <c r="E46" s="49"/>
      <c r="F46" s="211">
        <f t="shared" ref="F46:L46" si="26">IF(F45=0,0,F41-F45)</f>
        <v>0</v>
      </c>
      <c r="G46" s="207">
        <f t="shared" si="26"/>
        <v>0</v>
      </c>
      <c r="H46" s="207">
        <f t="shared" si="26"/>
        <v>0</v>
      </c>
      <c r="I46" s="207">
        <f t="shared" si="26"/>
        <v>0</v>
      </c>
      <c r="J46" s="207">
        <f t="shared" si="26"/>
        <v>0</v>
      </c>
      <c r="K46" s="207">
        <f t="shared" si="26"/>
        <v>0</v>
      </c>
      <c r="L46" s="207">
        <f t="shared" si="26"/>
        <v>0</v>
      </c>
    </row>
    <row r="47" spans="1:12" x14ac:dyDescent="0.2">
      <c r="D47" s="53" t="s">
        <v>175</v>
      </c>
      <c r="E47" s="51"/>
      <c r="F47" s="211">
        <f>IF(F44=0,0,F40-F46)</f>
        <v>0</v>
      </c>
      <c r="G47" s="207">
        <f t="shared" ref="G47:L47" si="27">IF(G44=0,0,IF(F47+G37-G46&lt;0,0,F47+G37-G46))</f>
        <v>0</v>
      </c>
      <c r="H47" s="207">
        <f t="shared" si="27"/>
        <v>0</v>
      </c>
      <c r="I47" s="207">
        <f t="shared" si="27"/>
        <v>0</v>
      </c>
      <c r="J47" s="207">
        <f t="shared" si="27"/>
        <v>0</v>
      </c>
      <c r="K47" s="207">
        <f t="shared" si="27"/>
        <v>0</v>
      </c>
      <c r="L47" s="207">
        <f t="shared" si="27"/>
        <v>0</v>
      </c>
    </row>
    <row r="49" spans="1:12" ht="15.75" x14ac:dyDescent="0.25">
      <c r="B49" s="48" t="s">
        <v>187</v>
      </c>
      <c r="E49" s="215" t="s">
        <v>49</v>
      </c>
    </row>
    <row r="50" spans="1:12" x14ac:dyDescent="0.2">
      <c r="D50" s="212" t="s">
        <v>174</v>
      </c>
      <c r="E50" s="214">
        <f>E3</f>
        <v>2015</v>
      </c>
      <c r="F50" s="214">
        <f t="shared" ref="F50:L50" si="28">F3</f>
        <v>2016</v>
      </c>
      <c r="G50" s="214">
        <f t="shared" si="28"/>
        <v>2017</v>
      </c>
      <c r="H50" s="214">
        <f t="shared" si="28"/>
        <v>2018</v>
      </c>
      <c r="I50" s="214">
        <f t="shared" si="28"/>
        <v>2019</v>
      </c>
      <c r="J50" s="214">
        <f t="shared" si="28"/>
        <v>2020</v>
      </c>
      <c r="K50" s="214">
        <f t="shared" si="28"/>
        <v>2021</v>
      </c>
      <c r="L50" s="214">
        <f t="shared" si="28"/>
        <v>2022</v>
      </c>
    </row>
    <row r="51" spans="1:12" x14ac:dyDescent="0.2">
      <c r="A51" s="1" t="s">
        <v>189</v>
      </c>
      <c r="B51" t="str">
        <f>'T2 Investoinnit, rahoitus'!C117</f>
        <v>Annuiteettilaina 1</v>
      </c>
      <c r="D51" s="1" t="s">
        <v>188</v>
      </c>
      <c r="E51" s="42">
        <f>'T2 Investoinnit, rahoitus'!E117</f>
        <v>0</v>
      </c>
    </row>
    <row r="52" spans="1:12" x14ac:dyDescent="0.2">
      <c r="D52" s="216" t="s">
        <v>190</v>
      </c>
      <c r="E52" s="216"/>
      <c r="F52" s="42">
        <f>'T2 Investoinnit, rahoitus'!F118*12</f>
        <v>0</v>
      </c>
      <c r="G52" s="42">
        <f>'T2 Investoinnit, rahoitus'!G118*12</f>
        <v>0</v>
      </c>
      <c r="H52" s="42">
        <f>'T2 Investoinnit, rahoitus'!H118*12</f>
        <v>0</v>
      </c>
      <c r="I52" s="42">
        <f>'T2 Investoinnit, rahoitus'!I118*12</f>
        <v>0</v>
      </c>
      <c r="J52" s="42">
        <f>'T2 Investoinnit, rahoitus'!J118*12</f>
        <v>0</v>
      </c>
      <c r="K52" s="42">
        <f>'T2 Investoinnit, rahoitus'!K118*12</f>
        <v>0</v>
      </c>
      <c r="L52" s="42">
        <f>'T2 Investoinnit, rahoitus'!L118*12</f>
        <v>0</v>
      </c>
    </row>
    <row r="53" spans="1:12" x14ac:dyDescent="0.2">
      <c r="D53" s="216" t="s">
        <v>45</v>
      </c>
      <c r="E53" s="216"/>
      <c r="F53" s="19">
        <f>IF(F54=0,0,-CUMPRINC(F54/12,F52,$E51,F56,F57,0))</f>
        <v>0</v>
      </c>
      <c r="G53" s="19">
        <f>IF(F54=0,0,IF(G52&lt;13,$E51-F53,-CUMPRINC(G54/12,F52,$E51,G56,G57,0)))</f>
        <v>0</v>
      </c>
      <c r="H53" s="19">
        <f>IF(F54=0,0,IF(H52&lt;13,$E51-F53-G53,-CUMPRINC(H54/12,F52,$E51,H56,H57,0)))</f>
        <v>0</v>
      </c>
      <c r="I53" s="19">
        <f>IF(F54=0,0,IF(I52&lt;13,$E51-F53-G53-H53,-CUMPRINC(I54/12,F52,$E51,I56,I57,0)))</f>
        <v>0</v>
      </c>
      <c r="J53" s="19">
        <f>IF(F54=0,0,IF(J52&lt;13,$E51-F53-G53-H53-I53,-CUMPRINC(J54/12,F52,$E51,J56,J57,0)))</f>
        <v>0</v>
      </c>
      <c r="K53" s="19">
        <f>IF(F54=0,0,IF(K52&lt;13,$E51-F53-G53-H53-I53-J53,-CUMPRINC(K54/12,F52,$E51,K56,K57,0)))</f>
        <v>0</v>
      </c>
      <c r="L53" s="217">
        <f>IF(F54=0,0,IF(L52&lt;13,$E51-F53-G53-H53-I53-J53-K53,-CUMPRINC(L54/12,F52,$E51,L56,L57,0)))</f>
        <v>0</v>
      </c>
    </row>
    <row r="54" spans="1:12" x14ac:dyDescent="0.2">
      <c r="D54" s="216" t="s">
        <v>46</v>
      </c>
      <c r="E54" s="216"/>
      <c r="F54" s="45">
        <f>'T2 Investoinnit, rahoitus'!F120</f>
        <v>0</v>
      </c>
      <c r="G54" s="45">
        <f>'T2 Investoinnit, rahoitus'!G120</f>
        <v>0</v>
      </c>
      <c r="H54" s="45">
        <f>'T2 Investoinnit, rahoitus'!H120</f>
        <v>0</v>
      </c>
      <c r="I54" s="45">
        <f>'T2 Investoinnit, rahoitus'!I120</f>
        <v>0</v>
      </c>
      <c r="J54" s="45">
        <f>'T2 Investoinnit, rahoitus'!J120</f>
        <v>0</v>
      </c>
      <c r="K54" s="45">
        <f>'T2 Investoinnit, rahoitus'!K120</f>
        <v>0</v>
      </c>
      <c r="L54" s="45">
        <f>'T2 Investoinnit, rahoitus'!L120</f>
        <v>0</v>
      </c>
    </row>
    <row r="55" spans="1:12" x14ac:dyDescent="0.2">
      <c r="D55" s="216" t="s">
        <v>48</v>
      </c>
      <c r="E55" s="216"/>
      <c r="F55" s="19">
        <f>IF(F54=0,0,-CUMIPMT(F54/12,$F52,$E51,F56,F57,0))</f>
        <v>0</v>
      </c>
      <c r="G55" s="19">
        <f>IF(F54=0,0,IF(G52&lt;1,0,-CUMIPMT(G54/12,$F52,$E51,G56,G57,0)))</f>
        <v>0</v>
      </c>
      <c r="H55" s="19">
        <f>IF(F54=0,0,IF(H52&lt;1,0,-CUMIPMT(H54/12,$F52,$E51,H56,H57,0)))</f>
        <v>0</v>
      </c>
      <c r="I55" s="19">
        <f>IF(F54=0,0,IF(I52&lt;1,0,-CUMIPMT(I54/12,$F52,$E51,I56,I57,0)))</f>
        <v>0</v>
      </c>
      <c r="J55" s="19">
        <f>IF(F54=0,0,IF(J52&lt;1,0,-CUMIPMT(J54/12,$F52,$E51,J56,J57,0)))</f>
        <v>0</v>
      </c>
      <c r="K55" s="19">
        <f>IF(F54=0,0,IF(K52&lt;1,0,-CUMIPMT(K54/12,$F52,$E51,K56,K57,0)))</f>
        <v>0</v>
      </c>
      <c r="L55" s="19">
        <f>IF(F54=0,0,IF(L52&lt;1,0,-CUMIPMT(L54/12,$F52,$E51,L56,L57,0)))</f>
        <v>0</v>
      </c>
    </row>
    <row r="56" spans="1:12" x14ac:dyDescent="0.2">
      <c r="D56" s="216" t="s">
        <v>191</v>
      </c>
      <c r="F56">
        <v>1</v>
      </c>
      <c r="G56">
        <f t="shared" ref="G56:L57" si="29">12+F56</f>
        <v>13</v>
      </c>
      <c r="H56">
        <f t="shared" si="29"/>
        <v>25</v>
      </c>
      <c r="I56">
        <f t="shared" si="29"/>
        <v>37</v>
      </c>
      <c r="J56">
        <f t="shared" si="29"/>
        <v>49</v>
      </c>
      <c r="K56">
        <f t="shared" si="29"/>
        <v>61</v>
      </c>
      <c r="L56">
        <f t="shared" si="29"/>
        <v>73</v>
      </c>
    </row>
    <row r="57" spans="1:12" x14ac:dyDescent="0.2">
      <c r="D57" s="216" t="s">
        <v>192</v>
      </c>
      <c r="F57">
        <v>12</v>
      </c>
      <c r="G57">
        <f t="shared" si="29"/>
        <v>24</v>
      </c>
      <c r="H57">
        <f t="shared" si="29"/>
        <v>36</v>
      </c>
      <c r="I57">
        <f t="shared" si="29"/>
        <v>48</v>
      </c>
      <c r="J57">
        <f t="shared" si="29"/>
        <v>60</v>
      </c>
      <c r="K57">
        <f t="shared" si="29"/>
        <v>72</v>
      </c>
      <c r="L57">
        <f t="shared" si="29"/>
        <v>84</v>
      </c>
    </row>
    <row r="58" spans="1:12" x14ac:dyDescent="0.2">
      <c r="A58" s="1" t="s">
        <v>189</v>
      </c>
      <c r="B58" t="str">
        <f>'T2 Investoinnit, rahoitus'!C122</f>
        <v>Annuiteettilaina 2</v>
      </c>
      <c r="D58" s="1" t="s">
        <v>188</v>
      </c>
      <c r="E58" s="42">
        <f>'T2 Investoinnit, rahoitus'!E122</f>
        <v>0</v>
      </c>
    </row>
    <row r="59" spans="1:12" x14ac:dyDescent="0.2">
      <c r="D59" s="216" t="s">
        <v>190</v>
      </c>
      <c r="E59" s="216"/>
      <c r="F59" s="42">
        <f>'T2 Investoinnit, rahoitus'!F123*12</f>
        <v>0</v>
      </c>
      <c r="G59" s="42">
        <f>'T2 Investoinnit, rahoitus'!G123*12</f>
        <v>0</v>
      </c>
      <c r="H59" s="42">
        <f>'T2 Investoinnit, rahoitus'!H123*12</f>
        <v>0</v>
      </c>
      <c r="I59" s="42">
        <f>'T2 Investoinnit, rahoitus'!I123*12</f>
        <v>0</v>
      </c>
      <c r="J59" s="42">
        <f>'T2 Investoinnit, rahoitus'!J123*12</f>
        <v>0</v>
      </c>
      <c r="K59" s="42">
        <f>'T2 Investoinnit, rahoitus'!K123*12</f>
        <v>0</v>
      </c>
      <c r="L59" s="42">
        <f>'T2 Investoinnit, rahoitus'!L123*12</f>
        <v>0</v>
      </c>
    </row>
    <row r="60" spans="1:12" x14ac:dyDescent="0.2">
      <c r="D60" s="216" t="s">
        <v>45</v>
      </c>
      <c r="E60" s="216"/>
      <c r="F60" s="19">
        <f>IF(F61=0,0,-CUMPRINC(F61/12,F59,$E58,F63,F64,0))</f>
        <v>0</v>
      </c>
      <c r="G60" s="19">
        <f>IF(F61=0,0,IF(G59&lt;13,$E58-F60,-CUMPRINC(G61/12,F59,$E58,G63,G64,0)))</f>
        <v>0</v>
      </c>
      <c r="H60" s="19">
        <f>IF(F61=0,0,IF(H59&lt;13,$E58-F60-G60,-CUMPRINC(H61/12,F59,$E58,H63,H64,0)))</f>
        <v>0</v>
      </c>
      <c r="I60" s="19">
        <f>IF(F61=0,0,IF(I59&lt;13,$E58-F60-G60-H60,-CUMPRINC(I61/12,F59,$E58,I63,I64,0)))</f>
        <v>0</v>
      </c>
      <c r="J60" s="19">
        <f>IF(F61=0,0,IF(J59&lt;13,$E58-F60-G60-H60-I60,-CUMPRINC(J61/12,F59,$E58,J63,J64,0)))</f>
        <v>0</v>
      </c>
      <c r="K60" s="19">
        <f>IF(F61=0,0,IF(K59&lt;13,$E58-F60-G60-H60-I60-J60,-CUMPRINC(K61/12,F59,$E58,K63,K64,0)))</f>
        <v>0</v>
      </c>
      <c r="L60" s="217">
        <f>IF(F61=0,0,IF(L59&lt;13,$E58-F60-G60-H60-I60-J60-K60,-CUMPRINC(L61/12,F59,$E58,L63,L64,0)))</f>
        <v>0</v>
      </c>
    </row>
    <row r="61" spans="1:12" x14ac:dyDescent="0.2">
      <c r="D61" s="216" t="s">
        <v>46</v>
      </c>
      <c r="E61" s="216"/>
      <c r="F61" s="45">
        <f>'T2 Investoinnit, rahoitus'!F125</f>
        <v>0</v>
      </c>
      <c r="G61" s="45">
        <f>'T2 Investoinnit, rahoitus'!G125</f>
        <v>0</v>
      </c>
      <c r="H61" s="45">
        <f>'T2 Investoinnit, rahoitus'!H125</f>
        <v>0</v>
      </c>
      <c r="I61" s="45">
        <f>'T2 Investoinnit, rahoitus'!I125</f>
        <v>0</v>
      </c>
      <c r="J61" s="45">
        <f>'T2 Investoinnit, rahoitus'!J125</f>
        <v>0</v>
      </c>
      <c r="K61" s="45">
        <f>'T2 Investoinnit, rahoitus'!K125</f>
        <v>0</v>
      </c>
      <c r="L61" s="45">
        <f>'T2 Investoinnit, rahoitus'!L125</f>
        <v>0</v>
      </c>
    </row>
    <row r="62" spans="1:12" x14ac:dyDescent="0.2">
      <c r="D62" s="216" t="s">
        <v>48</v>
      </c>
      <c r="E62" s="216"/>
      <c r="F62" s="19">
        <f>IF(F61=0,0,-CUMIPMT(F61/12,$F59,$E58,F63,F64,0))</f>
        <v>0</v>
      </c>
      <c r="G62" s="19">
        <f>IF(F61=0,0,IF(G59&lt;1,0,-CUMIPMT(G61/12,$F59,$E58,G63,G64,0)))</f>
        <v>0</v>
      </c>
      <c r="H62" s="19">
        <f>IF(F61=0,0,IF(H59&lt;1,0,-CUMIPMT(H61/12,$F59,$E58,H63,H64,0)))</f>
        <v>0</v>
      </c>
      <c r="I62" s="19">
        <f>IF(F61=0,0,IF(I59&lt;1,0,-CUMIPMT(I61/12,$F59,$E58,I63,I64,0)))</f>
        <v>0</v>
      </c>
      <c r="J62" s="19">
        <f>IF(F61=0,0,IF(J59&lt;1,0,-CUMIPMT(J61/12,$F59,$E58,J63,J64,0)))</f>
        <v>0</v>
      </c>
      <c r="K62" s="19">
        <f>IF(F61=0,0,IF(K59&lt;1,0,-CUMIPMT(K61/12,$F59,$E58,K63,K64,0)))</f>
        <v>0</v>
      </c>
      <c r="L62" s="19">
        <f>IF(F61=0,0,IF(L59&lt;1,0,-CUMIPMT(L61/12,$F59,$E58,L63,L64,0)))</f>
        <v>0</v>
      </c>
    </row>
    <row r="63" spans="1:12" x14ac:dyDescent="0.2">
      <c r="D63" s="216" t="s">
        <v>191</v>
      </c>
      <c r="F63">
        <v>1</v>
      </c>
      <c r="G63">
        <f t="shared" ref="G63:L64" si="30">12+F63</f>
        <v>13</v>
      </c>
      <c r="H63">
        <f t="shared" si="30"/>
        <v>25</v>
      </c>
      <c r="I63">
        <f t="shared" si="30"/>
        <v>37</v>
      </c>
      <c r="J63">
        <f t="shared" si="30"/>
        <v>49</v>
      </c>
      <c r="K63">
        <f t="shared" si="30"/>
        <v>61</v>
      </c>
      <c r="L63">
        <f t="shared" si="30"/>
        <v>73</v>
      </c>
    </row>
    <row r="64" spans="1:12" x14ac:dyDescent="0.2">
      <c r="D64" s="216" t="s">
        <v>192</v>
      </c>
      <c r="F64">
        <v>12</v>
      </c>
      <c r="G64">
        <f t="shared" si="30"/>
        <v>24</v>
      </c>
      <c r="H64">
        <f t="shared" si="30"/>
        <v>36</v>
      </c>
      <c r="I64">
        <f t="shared" si="30"/>
        <v>48</v>
      </c>
      <c r="J64">
        <f t="shared" si="30"/>
        <v>60</v>
      </c>
      <c r="K64">
        <f t="shared" si="30"/>
        <v>72</v>
      </c>
      <c r="L64">
        <f t="shared" si="30"/>
        <v>84</v>
      </c>
    </row>
    <row r="65" spans="1:12" x14ac:dyDescent="0.2">
      <c r="A65" s="1" t="s">
        <v>189</v>
      </c>
      <c r="B65" t="str">
        <f>'T2 Investoinnit, rahoitus'!C127</f>
        <v>Annuiteettilaina 3</v>
      </c>
      <c r="D65" s="1" t="s">
        <v>188</v>
      </c>
      <c r="E65" s="42">
        <f>'T2 Investoinnit, rahoitus'!E127</f>
        <v>0</v>
      </c>
    </row>
    <row r="66" spans="1:12" x14ac:dyDescent="0.2">
      <c r="D66" s="216" t="s">
        <v>190</v>
      </c>
      <c r="E66" s="216"/>
      <c r="F66" s="42">
        <f>'T2 Investoinnit, rahoitus'!F128*12</f>
        <v>0</v>
      </c>
      <c r="G66" s="42">
        <f>'T2 Investoinnit, rahoitus'!G128*12</f>
        <v>0</v>
      </c>
      <c r="H66" s="42">
        <f>'T2 Investoinnit, rahoitus'!H128*12</f>
        <v>0</v>
      </c>
      <c r="I66" s="42">
        <f>'T2 Investoinnit, rahoitus'!I128*12</f>
        <v>0</v>
      </c>
      <c r="J66" s="42">
        <f>'T2 Investoinnit, rahoitus'!J128*12</f>
        <v>0</v>
      </c>
      <c r="K66" s="42">
        <f>'T2 Investoinnit, rahoitus'!K128*12</f>
        <v>0</v>
      </c>
      <c r="L66" s="42">
        <f>'T2 Investoinnit, rahoitus'!L128*12</f>
        <v>0</v>
      </c>
    </row>
    <row r="67" spans="1:12" x14ac:dyDescent="0.2">
      <c r="D67" s="216" t="s">
        <v>45</v>
      </c>
      <c r="E67" s="216"/>
      <c r="F67" s="19">
        <f>IF(F68=0,0,-CUMPRINC(F68/12,F66,$E65,F70,F71,0))</f>
        <v>0</v>
      </c>
      <c r="G67" s="19">
        <f>IF(F68=0,0,IF(G66&lt;13,$E65-F67,-CUMPRINC(G68/12,F66,$E65,G70,G71,0)))</f>
        <v>0</v>
      </c>
      <c r="H67" s="19">
        <f>IF(F68=0,0,IF(H66&lt;13,$E65-F67-G67,-CUMPRINC(H68/12,F66,$E65,H70,H71,0)))</f>
        <v>0</v>
      </c>
      <c r="I67" s="19">
        <f>IF(F68=0,0,IF(I66&lt;13,$E65-F67-G67-H67,-CUMPRINC(I68/12,F66,$E65,I70,I71,0)))</f>
        <v>0</v>
      </c>
      <c r="J67" s="19">
        <f>IF(F68=0,0,IF(J66&lt;13,$E65-F67-G67-H67-I67,-CUMPRINC(J68/12,F66,$E65,J70,J71,0)))</f>
        <v>0</v>
      </c>
      <c r="K67" s="19">
        <f>IF(F68=0,0,IF(K66&lt;13,$E65-F67-G67-H67-I67-J67,-CUMPRINC(K68/12,F66,$E65,K70,K71,0)))</f>
        <v>0</v>
      </c>
      <c r="L67" s="217">
        <f>IF(F68=0,0,IF(L66&lt;13,$E65-F67-G67-H67-I67-J67-K67,-CUMPRINC(L68/12,F66,$E65,L70,L71,0)))</f>
        <v>0</v>
      </c>
    </row>
    <row r="68" spans="1:12" x14ac:dyDescent="0.2">
      <c r="D68" s="216" t="s">
        <v>46</v>
      </c>
      <c r="E68" s="216"/>
      <c r="F68" s="45">
        <f>'T2 Investoinnit, rahoitus'!F130</f>
        <v>0</v>
      </c>
      <c r="G68" s="45">
        <f>'T2 Investoinnit, rahoitus'!G130</f>
        <v>0</v>
      </c>
      <c r="H68" s="45">
        <f>'T2 Investoinnit, rahoitus'!H130</f>
        <v>0</v>
      </c>
      <c r="I68" s="45">
        <f>'T2 Investoinnit, rahoitus'!I130</f>
        <v>0</v>
      </c>
      <c r="J68" s="45">
        <f>'T2 Investoinnit, rahoitus'!J130</f>
        <v>0</v>
      </c>
      <c r="K68" s="45">
        <f>'T2 Investoinnit, rahoitus'!K130</f>
        <v>0</v>
      </c>
      <c r="L68" s="45">
        <f>'T2 Investoinnit, rahoitus'!L130</f>
        <v>0</v>
      </c>
    </row>
    <row r="69" spans="1:12" x14ac:dyDescent="0.2">
      <c r="D69" s="216" t="s">
        <v>48</v>
      </c>
      <c r="E69" s="216"/>
      <c r="F69" s="19">
        <f>IF(F68=0,0,-CUMIPMT(F68/12,$F66,$E65,F70,F71,0))</f>
        <v>0</v>
      </c>
      <c r="G69" s="19">
        <f>IF(F68=0,0,IF(G66&lt;1,0,-CUMIPMT(G68/12,$F66,$E65,G70,G71,0)))</f>
        <v>0</v>
      </c>
      <c r="H69" s="19">
        <f>IF(F68=0,0,IF(H66&lt;1,0,-CUMIPMT(H68/12,$F66,$E65,H70,H71,0)))</f>
        <v>0</v>
      </c>
      <c r="I69" s="19">
        <f>IF(F68=0,0,IF(I66&lt;1,0,-CUMIPMT(I68/12,$F66,$E65,I70,I71,0)))</f>
        <v>0</v>
      </c>
      <c r="J69" s="19">
        <f>IF(F68=0,0,IF(J66&lt;1,0,-CUMIPMT(J68/12,$F66,$E65,J70,J71,0)))</f>
        <v>0</v>
      </c>
      <c r="K69" s="19">
        <f>IF(F68=0,0,IF(K66&lt;1,0,-CUMIPMT(K68/12,$F66,$E65,K70,K71,0)))</f>
        <v>0</v>
      </c>
      <c r="L69" s="19">
        <f>IF(F68=0,0,IF(L66&lt;1,0,-CUMIPMT(L68/12,$F66,$E65,L70,L71,0)))</f>
        <v>0</v>
      </c>
    </row>
    <row r="70" spans="1:12" x14ac:dyDescent="0.2">
      <c r="D70" s="216" t="s">
        <v>191</v>
      </c>
      <c r="F70">
        <v>1</v>
      </c>
      <c r="G70">
        <f t="shared" ref="G70:L71" si="31">12+F70</f>
        <v>13</v>
      </c>
      <c r="H70">
        <f t="shared" si="31"/>
        <v>25</v>
      </c>
      <c r="I70">
        <f t="shared" si="31"/>
        <v>37</v>
      </c>
      <c r="J70">
        <f t="shared" si="31"/>
        <v>49</v>
      </c>
      <c r="K70">
        <f t="shared" si="31"/>
        <v>61</v>
      </c>
      <c r="L70">
        <f t="shared" si="31"/>
        <v>73</v>
      </c>
    </row>
    <row r="71" spans="1:12" x14ac:dyDescent="0.2">
      <c r="D71" s="216" t="s">
        <v>192</v>
      </c>
      <c r="F71">
        <v>12</v>
      </c>
      <c r="G71">
        <f t="shared" si="31"/>
        <v>24</v>
      </c>
      <c r="H71">
        <f t="shared" si="31"/>
        <v>36</v>
      </c>
      <c r="I71">
        <f t="shared" si="31"/>
        <v>48</v>
      </c>
      <c r="J71">
        <f t="shared" si="31"/>
        <v>60</v>
      </c>
      <c r="K71">
        <f t="shared" si="31"/>
        <v>72</v>
      </c>
      <c r="L71">
        <f t="shared" si="31"/>
        <v>84</v>
      </c>
    </row>
    <row r="72" spans="1:12" x14ac:dyDescent="0.2">
      <c r="A72" s="1" t="s">
        <v>189</v>
      </c>
      <c r="B72" t="str">
        <f>'T2 Investoinnit, rahoitus'!C132</f>
        <v>Annuiteettilaina 4</v>
      </c>
      <c r="D72" s="1" t="s">
        <v>188</v>
      </c>
      <c r="E72" s="42">
        <f>'T2 Investoinnit, rahoitus'!E132</f>
        <v>0</v>
      </c>
    </row>
    <row r="73" spans="1:12" x14ac:dyDescent="0.2">
      <c r="D73" s="216" t="s">
        <v>190</v>
      </c>
      <c r="E73" s="216"/>
      <c r="F73" s="42">
        <f>'T2 Investoinnit, rahoitus'!F133*12</f>
        <v>0</v>
      </c>
      <c r="G73" s="42">
        <f>'T2 Investoinnit, rahoitus'!G133*12</f>
        <v>0</v>
      </c>
      <c r="H73" s="42">
        <f>'T2 Investoinnit, rahoitus'!H133*12</f>
        <v>0</v>
      </c>
      <c r="I73" s="42">
        <f>'T2 Investoinnit, rahoitus'!I133*12</f>
        <v>0</v>
      </c>
      <c r="J73" s="42">
        <f>'T2 Investoinnit, rahoitus'!J133*12</f>
        <v>0</v>
      </c>
      <c r="K73" s="42">
        <f>'T2 Investoinnit, rahoitus'!K133*12</f>
        <v>0</v>
      </c>
      <c r="L73" s="42">
        <f>'T2 Investoinnit, rahoitus'!L133*12</f>
        <v>0</v>
      </c>
    </row>
    <row r="74" spans="1:12" x14ac:dyDescent="0.2">
      <c r="D74" s="216" t="s">
        <v>45</v>
      </c>
      <c r="E74" s="216"/>
      <c r="F74" s="19">
        <f>IF(F75=0,0,-CUMPRINC(F75/12,F73,$E72,F77,F78,0))</f>
        <v>0</v>
      </c>
      <c r="G74" s="19">
        <f>IF(F75=0,0,IF(G73&lt;13,$E72-F74,-CUMPRINC(G75/12,F73,$E72,G77,G78,0)))</f>
        <v>0</v>
      </c>
      <c r="H74" s="19">
        <f>IF(F75=0,0,IF(H73&lt;13,$E72-F74-G74,-CUMPRINC(H75/12,F73,$E72,H77,H78,0)))</f>
        <v>0</v>
      </c>
      <c r="I74" s="19">
        <f>IF(F75=0,0,IF(I73&lt;13,$E72-F74-G74-H74,-CUMPRINC(I75/12,F73,$E72,I77,I78,0)))</f>
        <v>0</v>
      </c>
      <c r="J74" s="19">
        <f>IF(F75=0,0,IF(J73&lt;13,$E72-F74-G74-H74-I74,-CUMPRINC(J75/12,F73,$E72,J77,J78,0)))</f>
        <v>0</v>
      </c>
      <c r="K74" s="19">
        <f>IF(F75=0,0,IF(K73&lt;13,$E72-F74-G74-H74-I74-J74,-CUMPRINC(K75/12,F73,$E72,K77,K78,0)))</f>
        <v>0</v>
      </c>
      <c r="L74" s="217">
        <f>IF(F75=0,0,IF(L73&lt;13,$E72-F74-G74-H74-I74-J74-K74,-CUMPRINC(L75/12,F73,$E72,L77,L78,0)))</f>
        <v>0</v>
      </c>
    </row>
    <row r="75" spans="1:12" x14ac:dyDescent="0.2">
      <c r="D75" s="216" t="s">
        <v>46</v>
      </c>
      <c r="E75" s="216"/>
      <c r="F75" s="45">
        <f>'T2 Investoinnit, rahoitus'!F135</f>
        <v>0</v>
      </c>
      <c r="G75" s="45">
        <f>'T2 Investoinnit, rahoitus'!G135</f>
        <v>0</v>
      </c>
      <c r="H75" s="45">
        <f>'T2 Investoinnit, rahoitus'!H135</f>
        <v>0</v>
      </c>
      <c r="I75" s="45">
        <f>'T2 Investoinnit, rahoitus'!I135</f>
        <v>0</v>
      </c>
      <c r="J75" s="45">
        <f>'T2 Investoinnit, rahoitus'!J135</f>
        <v>0</v>
      </c>
      <c r="K75" s="45">
        <f>'T2 Investoinnit, rahoitus'!K135</f>
        <v>0</v>
      </c>
      <c r="L75" s="45">
        <f>'T2 Investoinnit, rahoitus'!L135</f>
        <v>0</v>
      </c>
    </row>
    <row r="76" spans="1:12" x14ac:dyDescent="0.2">
      <c r="D76" s="216" t="s">
        <v>48</v>
      </c>
      <c r="E76" s="216"/>
      <c r="F76" s="19">
        <f>IF(F75=0,0,-CUMIPMT(F75/12,$F73,$E72,F77,F78,0))</f>
        <v>0</v>
      </c>
      <c r="G76" s="19">
        <f>IF(F75=0,0,IF(G73&lt;1,0,-CUMIPMT(G75/12,$F73,$E72,G77,G78,0)))</f>
        <v>0</v>
      </c>
      <c r="H76" s="19">
        <f>IF(F75=0,0,IF(H73&lt;1,0,-CUMIPMT(H75/12,$F73,$E72,H77,H78,0)))</f>
        <v>0</v>
      </c>
      <c r="I76" s="19">
        <f>IF(F75=0,0,IF(I73&lt;1,0,-CUMIPMT(I75/12,$F73,$E72,I77,I78,0)))</f>
        <v>0</v>
      </c>
      <c r="J76" s="19">
        <f>IF(F75=0,0,IF(J73&lt;1,0,-CUMIPMT(J75/12,$F73,$E72,J77,J78,0)))</f>
        <v>0</v>
      </c>
      <c r="K76" s="19">
        <f>IF(F75=0,0,IF(K73&lt;1,0,-CUMIPMT(K75/12,$F73,$E72,K77,K78,0)))</f>
        <v>0</v>
      </c>
      <c r="L76" s="19">
        <f>IF(F75=0,0,IF(L73&lt;1,0,-CUMIPMT(L75/12,$F73,$E72,L77,L78,0)))</f>
        <v>0</v>
      </c>
    </row>
    <row r="77" spans="1:12" x14ac:dyDescent="0.2">
      <c r="D77" s="216" t="s">
        <v>191</v>
      </c>
      <c r="F77">
        <v>1</v>
      </c>
      <c r="G77">
        <f t="shared" ref="G77:L78" si="32">12+F77</f>
        <v>13</v>
      </c>
      <c r="H77">
        <f t="shared" si="32"/>
        <v>25</v>
      </c>
      <c r="I77">
        <f t="shared" si="32"/>
        <v>37</v>
      </c>
      <c r="J77">
        <f t="shared" si="32"/>
        <v>49</v>
      </c>
      <c r="K77">
        <f t="shared" si="32"/>
        <v>61</v>
      </c>
      <c r="L77">
        <f t="shared" si="32"/>
        <v>73</v>
      </c>
    </row>
    <row r="78" spans="1:12" x14ac:dyDescent="0.2">
      <c r="D78" s="216" t="s">
        <v>192</v>
      </c>
      <c r="F78">
        <v>12</v>
      </c>
      <c r="G78">
        <f t="shared" si="32"/>
        <v>24</v>
      </c>
      <c r="H78">
        <f t="shared" si="32"/>
        <v>36</v>
      </c>
      <c r="I78">
        <f t="shared" si="32"/>
        <v>48</v>
      </c>
      <c r="J78">
        <f t="shared" si="32"/>
        <v>60</v>
      </c>
      <c r="K78">
        <f t="shared" si="32"/>
        <v>72</v>
      </c>
      <c r="L78">
        <f t="shared" si="32"/>
        <v>84</v>
      </c>
    </row>
    <row r="79" spans="1:12" x14ac:dyDescent="0.2">
      <c r="A79" s="1" t="s">
        <v>189</v>
      </c>
      <c r="B79" t="str">
        <f>'T2 Investoinnit, rahoitus'!C137</f>
        <v>Annuiteettilaina 5</v>
      </c>
      <c r="D79" s="1" t="s">
        <v>188</v>
      </c>
      <c r="E79" s="42">
        <f>'T2 Investoinnit, rahoitus'!E137</f>
        <v>0</v>
      </c>
    </row>
    <row r="80" spans="1:12" x14ac:dyDescent="0.2">
      <c r="D80" s="216" t="s">
        <v>190</v>
      </c>
      <c r="E80" s="216"/>
      <c r="F80" s="42">
        <f>'T2 Investoinnit, rahoitus'!F138*12</f>
        <v>0</v>
      </c>
      <c r="G80" s="42">
        <f>'T2 Investoinnit, rahoitus'!G138*12</f>
        <v>0</v>
      </c>
      <c r="H80" s="42">
        <f>'T2 Investoinnit, rahoitus'!H138*12</f>
        <v>0</v>
      </c>
      <c r="I80" s="42">
        <f>'T2 Investoinnit, rahoitus'!I138*12</f>
        <v>0</v>
      </c>
      <c r="J80" s="42">
        <f>'T2 Investoinnit, rahoitus'!J138*12</f>
        <v>0</v>
      </c>
      <c r="K80" s="42">
        <f>'T2 Investoinnit, rahoitus'!K138*12</f>
        <v>0</v>
      </c>
      <c r="L80" s="42">
        <f>'T2 Investoinnit, rahoitus'!L138*12</f>
        <v>0</v>
      </c>
    </row>
    <row r="81" spans="4:12" x14ac:dyDescent="0.2">
      <c r="D81" s="216" t="s">
        <v>45</v>
      </c>
      <c r="E81" s="216"/>
      <c r="F81" s="19">
        <f>IF(F82=0,0,-CUMPRINC(F82/12,F80,$E79,F84,F85,0))</f>
        <v>0</v>
      </c>
      <c r="G81" s="19">
        <f>IF(F82=0,0,IF(G80&lt;13,$E79-F81,-CUMPRINC(G82/12,F80,$E79,G84,G85,0)))</f>
        <v>0</v>
      </c>
      <c r="H81" s="19">
        <f>IF(F82=0,0,IF(H80&lt;13,$E79-F81-G81,-CUMPRINC(H82/12,F80,$E79,H84,H85,0)))</f>
        <v>0</v>
      </c>
      <c r="I81" s="19">
        <f>IF(F82=0,0,IF(I80&lt;13,$E79-F81-G81-H81,-CUMPRINC(I82/12,F80,$E79,I84,I85,0)))</f>
        <v>0</v>
      </c>
      <c r="J81" s="19">
        <f>IF(F82=0,0,IF(J80&lt;13,$E79-F81-G81-H81-I81,-CUMPRINC(J82/12,F80,$E79,J84,J85,0)))</f>
        <v>0</v>
      </c>
      <c r="K81" s="19">
        <f>IF(F82=0,0,IF(K80&lt;13,$E79-F81-G81-H81-I81-J81,-CUMPRINC(K82/12,F80,$E79,K84,K85,0)))</f>
        <v>0</v>
      </c>
      <c r="L81" s="217">
        <f>IF(F82=0,0,IF(L80&lt;13,$E79-F81-G81-H81-I81-J81-K81,-CUMPRINC(L82/12,F80,$E79,L84,L85,0)))</f>
        <v>0</v>
      </c>
    </row>
    <row r="82" spans="4:12" x14ac:dyDescent="0.2">
      <c r="D82" s="216" t="s">
        <v>46</v>
      </c>
      <c r="E82" s="216"/>
      <c r="F82" s="45">
        <f>'T2 Investoinnit, rahoitus'!F140</f>
        <v>0</v>
      </c>
      <c r="G82" s="45">
        <f>'T2 Investoinnit, rahoitus'!G140</f>
        <v>0</v>
      </c>
      <c r="H82" s="45">
        <f>'T2 Investoinnit, rahoitus'!H140</f>
        <v>0</v>
      </c>
      <c r="I82" s="45">
        <f>'T2 Investoinnit, rahoitus'!I140</f>
        <v>0</v>
      </c>
      <c r="J82" s="45">
        <f>'T2 Investoinnit, rahoitus'!J140</f>
        <v>0</v>
      </c>
      <c r="K82" s="45">
        <f>'T2 Investoinnit, rahoitus'!K140</f>
        <v>0</v>
      </c>
      <c r="L82" s="45">
        <f>'T2 Investoinnit, rahoitus'!L140</f>
        <v>0</v>
      </c>
    </row>
    <row r="83" spans="4:12" x14ac:dyDescent="0.2">
      <c r="D83" s="216" t="s">
        <v>48</v>
      </c>
      <c r="E83" s="216"/>
      <c r="F83" s="19">
        <f>IF(F82=0,0,-CUMIPMT(F82/12,$F80,$E79,F84,F85,0))</f>
        <v>0</v>
      </c>
      <c r="G83" s="19">
        <f>IF(F82=0,0,IF(G80&lt;1,0,-CUMIPMT(G82/12,$F80,$E79,G84,G85,0)))</f>
        <v>0</v>
      </c>
      <c r="H83" s="19">
        <f>IF(F82=0,0,IF(H80&lt;1,0,-CUMIPMT(H82/12,$F80,$E79,H84,H85,0)))</f>
        <v>0</v>
      </c>
      <c r="I83" s="19">
        <f>IF(F82=0,0,IF(I80&lt;1,0,-CUMIPMT(I82/12,$F80,$E79,I84,I85,0)))</f>
        <v>0</v>
      </c>
      <c r="J83" s="19">
        <f>IF(F82=0,0,IF(J80&lt;1,0,-CUMIPMT(J82/12,$F80,$E79,J84,J85,0)))</f>
        <v>0</v>
      </c>
      <c r="K83" s="19">
        <f>IF(F82=0,0,IF(K80&lt;1,0,-CUMIPMT(K82/12,$F80,$E79,K84,K85,0)))</f>
        <v>0</v>
      </c>
      <c r="L83" s="19">
        <f>IF(F82=0,0,IF(L80&lt;1,0,-CUMIPMT(L82/12,$F80,$E79,L84,L85,0)))</f>
        <v>0</v>
      </c>
    </row>
    <row r="84" spans="4:12" x14ac:dyDescent="0.2">
      <c r="D84" s="216" t="s">
        <v>191</v>
      </c>
      <c r="F84">
        <v>1</v>
      </c>
      <c r="G84">
        <f t="shared" ref="G84:L85" si="33">12+F84</f>
        <v>13</v>
      </c>
      <c r="H84">
        <f t="shared" si="33"/>
        <v>25</v>
      </c>
      <c r="I84">
        <f t="shared" si="33"/>
        <v>37</v>
      </c>
      <c r="J84">
        <f t="shared" si="33"/>
        <v>49</v>
      </c>
      <c r="K84">
        <f t="shared" si="33"/>
        <v>61</v>
      </c>
      <c r="L84">
        <f t="shared" si="33"/>
        <v>73</v>
      </c>
    </row>
    <row r="85" spans="4:12" x14ac:dyDescent="0.2">
      <c r="D85" s="216" t="s">
        <v>192</v>
      </c>
      <c r="F85">
        <v>12</v>
      </c>
      <c r="G85">
        <f t="shared" si="33"/>
        <v>24</v>
      </c>
      <c r="H85">
        <f t="shared" si="33"/>
        <v>36</v>
      </c>
      <c r="I85">
        <f t="shared" si="33"/>
        <v>48</v>
      </c>
      <c r="J85">
        <f t="shared" si="33"/>
        <v>60</v>
      </c>
      <c r="K85">
        <f t="shared" si="33"/>
        <v>72</v>
      </c>
      <c r="L85">
        <f t="shared" si="33"/>
        <v>84</v>
      </c>
    </row>
  </sheetData>
  <sheetProtection password="9675" sheet="1" objects="1" scenarios="1" selectLockedCells="1" selectUnlockedCells="1"/>
  <mergeCells count="4">
    <mergeCell ref="B4:C4"/>
    <mergeCell ref="B15:C15"/>
    <mergeCell ref="B26:C26"/>
    <mergeCell ref="B37:C37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46"/>
  <sheetViews>
    <sheetView showGridLines="0" showZeros="0" defaultGridColor="0" colorId="55" zoomScaleNormal="100" workbookViewId="0">
      <selection activeCell="C8" sqref="C8"/>
    </sheetView>
  </sheetViews>
  <sheetFormatPr defaultRowHeight="12.75" x14ac:dyDescent="0.2"/>
  <cols>
    <col min="1" max="1" width="5.42578125" customWidth="1"/>
    <col min="2" max="2" width="24.140625" customWidth="1"/>
    <col min="3" max="5" width="11.7109375" customWidth="1"/>
    <col min="6" max="6" width="4.28515625" customWidth="1"/>
    <col min="7" max="7" width="27.7109375" customWidth="1"/>
    <col min="8" max="10" width="11.7109375" customWidth="1"/>
    <col min="13" max="13" width="7.42578125" customWidth="1"/>
    <col min="15" max="15" width="11.5703125" customWidth="1"/>
    <col min="16" max="18" width="10.7109375" customWidth="1"/>
  </cols>
  <sheetData>
    <row r="1" spans="2:18" ht="15.75" x14ac:dyDescent="0.25">
      <c r="C1" s="269"/>
      <c r="D1" s="269"/>
      <c r="E1" s="269"/>
    </row>
    <row r="2" spans="2:18" ht="18.75" x14ac:dyDescent="0.3">
      <c r="B2" s="270" t="s">
        <v>208</v>
      </c>
      <c r="C2" s="270"/>
      <c r="D2" s="270"/>
      <c r="E2" s="270"/>
      <c r="G2" s="271" t="s">
        <v>208</v>
      </c>
      <c r="H2" s="269"/>
      <c r="I2" s="269"/>
      <c r="J2" s="269"/>
      <c r="L2" s="302" t="s">
        <v>223</v>
      </c>
      <c r="M2" s="269"/>
      <c r="N2" s="269"/>
      <c r="O2" s="269"/>
    </row>
    <row r="3" spans="2:18" ht="18" x14ac:dyDescent="0.25">
      <c r="B3" s="271" t="s">
        <v>209</v>
      </c>
      <c r="C3" s="271"/>
      <c r="D3" s="271"/>
      <c r="E3" s="271"/>
      <c r="G3" s="287"/>
      <c r="H3" s="269"/>
      <c r="I3" s="269"/>
      <c r="J3" s="269"/>
      <c r="L3" s="287"/>
      <c r="M3" s="269"/>
      <c r="N3" s="269"/>
      <c r="O3" s="269"/>
    </row>
    <row r="4" spans="2:18" ht="15.75" x14ac:dyDescent="0.25">
      <c r="B4" s="271"/>
      <c r="C4" s="271"/>
      <c r="D4" s="271"/>
      <c r="E4" s="271"/>
      <c r="G4" s="269" t="s">
        <v>216</v>
      </c>
      <c r="H4" s="269"/>
      <c r="I4" s="269"/>
      <c r="J4" s="269"/>
      <c r="L4" s="2" t="s">
        <v>236</v>
      </c>
      <c r="M4" s="1"/>
      <c r="N4" s="1"/>
      <c r="O4" s="1"/>
      <c r="P4" s="1"/>
      <c r="Q4" s="1"/>
      <c r="R4" s="1"/>
    </row>
    <row r="5" spans="2:18" ht="16.5" thickBot="1" x14ac:dyDescent="0.3">
      <c r="G5" s="271" t="s">
        <v>217</v>
      </c>
      <c r="H5" s="269"/>
      <c r="I5" s="269"/>
      <c r="J5" s="269"/>
      <c r="L5" s="2" t="s">
        <v>224</v>
      </c>
      <c r="M5" s="2"/>
      <c r="N5" s="2"/>
      <c r="O5" s="2"/>
      <c r="P5" s="2"/>
      <c r="Q5" s="1"/>
      <c r="R5" s="1"/>
    </row>
    <row r="6" spans="2:18" ht="13.5" customHeight="1" thickBot="1" x14ac:dyDescent="0.3">
      <c r="B6" s="268"/>
      <c r="C6" s="925" t="s">
        <v>210</v>
      </c>
      <c r="D6" s="926"/>
      <c r="E6" s="927"/>
      <c r="L6" s="303"/>
      <c r="M6" s="303"/>
      <c r="N6" s="307"/>
      <c r="O6" s="1"/>
      <c r="P6" s="307"/>
      <c r="Q6" s="1"/>
      <c r="R6" s="307"/>
    </row>
    <row r="7" spans="2:18" ht="13.5" customHeight="1" thickBot="1" x14ac:dyDescent="0.3">
      <c r="C7" s="502">
        <v>1</v>
      </c>
      <c r="D7" s="503">
        <v>2</v>
      </c>
      <c r="E7" s="504">
        <v>3</v>
      </c>
      <c r="H7" s="925" t="s">
        <v>210</v>
      </c>
      <c r="I7" s="926"/>
      <c r="J7" s="927"/>
      <c r="L7" s="928" t="s">
        <v>232</v>
      </c>
      <c r="M7" s="928"/>
      <c r="N7" s="929"/>
      <c r="O7" s="340">
        <v>0</v>
      </c>
      <c r="P7" s="28" t="s">
        <v>225</v>
      </c>
      <c r="Q7" s="304" t="s">
        <v>0</v>
      </c>
      <c r="R7" s="304"/>
    </row>
    <row r="8" spans="2:18" ht="13.5" customHeight="1" thickBot="1" x14ac:dyDescent="0.25">
      <c r="B8" s="505" t="s">
        <v>221</v>
      </c>
      <c r="C8" s="350">
        <v>0</v>
      </c>
      <c r="D8" s="351"/>
      <c r="E8" s="352"/>
      <c r="H8" s="511">
        <v>1</v>
      </c>
      <c r="I8" s="512">
        <v>2</v>
      </c>
      <c r="J8" s="513">
        <v>3</v>
      </c>
      <c r="L8" s="312" t="s">
        <v>233</v>
      </c>
      <c r="M8" s="308"/>
      <c r="N8" s="309"/>
      <c r="O8" s="341">
        <v>0</v>
      </c>
      <c r="P8" s="313" t="s">
        <v>226</v>
      </c>
      <c r="Q8" s="304"/>
      <c r="R8" s="311"/>
    </row>
    <row r="9" spans="2:18" ht="13.5" customHeight="1" thickBot="1" x14ac:dyDescent="0.25">
      <c r="B9" s="506" t="s">
        <v>211</v>
      </c>
      <c r="C9" s="346">
        <v>0</v>
      </c>
      <c r="D9" s="347"/>
      <c r="E9" s="353"/>
      <c r="G9" s="505" t="s">
        <v>221</v>
      </c>
      <c r="H9" s="344">
        <v>0</v>
      </c>
      <c r="I9" s="345">
        <v>0</v>
      </c>
      <c r="J9" s="345"/>
      <c r="L9" s="312" t="s">
        <v>234</v>
      </c>
      <c r="M9" s="308"/>
      <c r="N9" s="310"/>
      <c r="O9" s="341">
        <v>0</v>
      </c>
      <c r="P9" s="313" t="s">
        <v>226</v>
      </c>
      <c r="Q9" s="304"/>
      <c r="R9" s="311"/>
    </row>
    <row r="10" spans="2:18" ht="13.5" customHeight="1" thickBot="1" x14ac:dyDescent="0.25">
      <c r="B10" s="506" t="s">
        <v>212</v>
      </c>
      <c r="C10" s="354">
        <v>0</v>
      </c>
      <c r="D10" s="355"/>
      <c r="E10" s="356"/>
      <c r="G10" s="506" t="s">
        <v>211</v>
      </c>
      <c r="H10" s="346">
        <v>0</v>
      </c>
      <c r="I10" s="347">
        <v>0</v>
      </c>
      <c r="J10" s="347"/>
      <c r="L10" s="312" t="s">
        <v>235</v>
      </c>
      <c r="M10" s="308"/>
      <c r="N10" s="310"/>
      <c r="O10" s="314">
        <f>O8-O9</f>
        <v>0</v>
      </c>
      <c r="P10" s="313" t="s">
        <v>226</v>
      </c>
      <c r="Q10" s="304"/>
      <c r="R10" s="311"/>
    </row>
    <row r="11" spans="2:18" ht="13.5" customHeight="1" x14ac:dyDescent="0.2">
      <c r="B11" s="506" t="s">
        <v>213</v>
      </c>
      <c r="C11" s="357">
        <v>0</v>
      </c>
      <c r="D11" s="358"/>
      <c r="E11" s="359"/>
      <c r="G11" s="506" t="s">
        <v>212</v>
      </c>
      <c r="H11" s="289">
        <v>12</v>
      </c>
      <c r="I11" s="290">
        <v>12</v>
      </c>
      <c r="J11" s="290">
        <v>12</v>
      </c>
      <c r="Q11" s="304"/>
      <c r="R11" s="311"/>
    </row>
    <row r="12" spans="2:18" ht="13.5" customHeight="1" thickBot="1" x14ac:dyDescent="0.25">
      <c r="B12" s="507" t="s">
        <v>214</v>
      </c>
      <c r="C12" s="284">
        <f>C11*C10</f>
        <v>0</v>
      </c>
      <c r="D12" s="285">
        <f>D11*D10</f>
        <v>0</v>
      </c>
      <c r="E12" s="286">
        <f>E11*E10</f>
        <v>0</v>
      </c>
      <c r="G12" s="506" t="s">
        <v>222</v>
      </c>
      <c r="H12" s="348">
        <v>0</v>
      </c>
      <c r="I12" s="349">
        <v>0</v>
      </c>
      <c r="J12" s="349"/>
      <c r="L12" s="28"/>
      <c r="M12" s="304"/>
      <c r="N12" s="304"/>
      <c r="O12" s="28"/>
      <c r="P12" s="304"/>
      <c r="Q12" s="304"/>
      <c r="R12" s="304"/>
    </row>
    <row r="13" spans="2:18" ht="13.5" customHeight="1" thickBot="1" x14ac:dyDescent="0.25">
      <c r="B13" s="272"/>
      <c r="C13" s="273"/>
      <c r="D13" s="273"/>
      <c r="E13" s="273"/>
      <c r="G13" s="507" t="s">
        <v>219</v>
      </c>
      <c r="H13" s="294">
        <f>H12*H11</f>
        <v>0</v>
      </c>
      <c r="I13" s="295">
        <f>I12*I11</f>
        <v>0</v>
      </c>
      <c r="J13" s="295">
        <f>J12*J11</f>
        <v>0</v>
      </c>
      <c r="L13" s="914" t="s">
        <v>174</v>
      </c>
      <c r="M13" s="917" t="s">
        <v>227</v>
      </c>
      <c r="N13" s="918"/>
      <c r="O13" s="930" t="s">
        <v>228</v>
      </c>
      <c r="P13" s="930" t="s">
        <v>229</v>
      </c>
      <c r="Q13" s="930" t="s">
        <v>230</v>
      </c>
      <c r="R13" s="933" t="s">
        <v>231</v>
      </c>
    </row>
    <row r="14" spans="2:18" ht="13.5" customHeight="1" thickBot="1" x14ac:dyDescent="0.3">
      <c r="B14" s="508" t="s">
        <v>220</v>
      </c>
      <c r="C14" s="296">
        <f>IF(C12=0,0,IF(C10=0,0,-PMT(C9/C10,C12,C8)))</f>
        <v>0</v>
      </c>
      <c r="D14" s="297">
        <f>IF(D12=0,0,IF(D10=0,0,-PMT(D9/D10,D12,D8)))</f>
        <v>0</v>
      </c>
      <c r="E14" s="298">
        <f>IF(E12=0,0,IF(E10=0,0,-PMT(E9/E10,E12,E8)))</f>
        <v>0</v>
      </c>
      <c r="G14" s="2"/>
      <c r="H14" s="291"/>
      <c r="I14" s="291"/>
      <c r="J14" s="291"/>
      <c r="L14" s="915"/>
      <c r="M14" s="919"/>
      <c r="N14" s="920"/>
      <c r="O14" s="931"/>
      <c r="P14" s="931"/>
      <c r="Q14" s="931"/>
      <c r="R14" s="934"/>
    </row>
    <row r="15" spans="2:18" ht="13.5" customHeight="1" thickBot="1" x14ac:dyDescent="0.3">
      <c r="B15" s="509" t="s">
        <v>215</v>
      </c>
      <c r="C15" s="281">
        <f>IF(C8=0,0,C14/C8)</f>
        <v>0</v>
      </c>
      <c r="D15" s="282">
        <f>IF(D8=0,0,D14/D8)</f>
        <v>0</v>
      </c>
      <c r="E15" s="283">
        <f>IF(E8=0,0,E14/E8)</f>
        <v>0</v>
      </c>
      <c r="G15" s="514" t="s">
        <v>218</v>
      </c>
      <c r="H15" s="292">
        <f>IF(H12=0,0,H9/(H13-H9/2*H10))</f>
        <v>0</v>
      </c>
      <c r="I15" s="293">
        <f>IF(I12=0,0,I9/(I13-I9/2*I10))</f>
        <v>0</v>
      </c>
      <c r="J15" s="293">
        <f>IF(J12=0,0,J9/(J13-J9/2*J10))</f>
        <v>0</v>
      </c>
      <c r="L15" s="916"/>
      <c r="M15" s="921"/>
      <c r="N15" s="922"/>
      <c r="O15" s="932"/>
      <c r="P15" s="932"/>
      <c r="Q15" s="932"/>
      <c r="R15" s="935"/>
    </row>
    <row r="16" spans="2:18" ht="13.5" customHeight="1" thickBot="1" x14ac:dyDescent="0.3">
      <c r="B16" s="510" t="s">
        <v>219</v>
      </c>
      <c r="C16" s="299">
        <f>C14*C10</f>
        <v>0</v>
      </c>
      <c r="D16" s="300">
        <f>D14*D10</f>
        <v>0</v>
      </c>
      <c r="E16" s="301">
        <f>E14*E10</f>
        <v>0</v>
      </c>
      <c r="L16" s="343">
        <v>2011</v>
      </c>
      <c r="M16" s="923">
        <f>O7</f>
        <v>0</v>
      </c>
      <c r="N16" s="924"/>
      <c r="O16" s="342">
        <v>0</v>
      </c>
      <c r="P16" s="305">
        <f>IF(O$7=0,0,IF(O$9=2,0,IF(O$9=1,0,O$7/O$10)))</f>
        <v>0</v>
      </c>
      <c r="Q16" s="305">
        <f t="shared" ref="Q16:Q30" si="0">(M16*O16)</f>
        <v>0</v>
      </c>
      <c r="R16" s="305">
        <f t="shared" ref="R16:R30" si="1">Q16+P16</f>
        <v>0</v>
      </c>
    </row>
    <row r="17" spans="2:18" ht="15.75" x14ac:dyDescent="0.25">
      <c r="B17" s="269"/>
      <c r="C17" s="274"/>
      <c r="D17" s="274"/>
      <c r="E17" s="274"/>
      <c r="L17" s="315">
        <f t="shared" ref="L17:L30" si="2">L16+1</f>
        <v>2012</v>
      </c>
      <c r="M17" s="912">
        <f>IF(M16-P16&lt;0,0,M16-P16)</f>
        <v>0</v>
      </c>
      <c r="N17" s="913"/>
      <c r="O17" s="342">
        <v>0</v>
      </c>
      <c r="P17" s="305">
        <f>IF(O$7=0,0,IF(O$9=2,0,O$7/O$10))</f>
        <v>0</v>
      </c>
      <c r="Q17" s="306">
        <f t="shared" si="0"/>
        <v>0</v>
      </c>
      <c r="R17" s="306">
        <f t="shared" si="1"/>
        <v>0</v>
      </c>
    </row>
    <row r="18" spans="2:18" x14ac:dyDescent="0.2">
      <c r="C18" s="4"/>
      <c r="D18" s="4"/>
      <c r="E18" s="4"/>
      <c r="G18" s="6"/>
      <c r="H18" s="6"/>
      <c r="I18" s="6"/>
      <c r="J18" s="288"/>
      <c r="L18" s="315">
        <f t="shared" si="2"/>
        <v>2013</v>
      </c>
      <c r="M18" s="912">
        <f t="shared" ref="M18:M29" si="3">IF(M17-P17&lt;0,0,M17-P17)</f>
        <v>0</v>
      </c>
      <c r="N18" s="913"/>
      <c r="O18" s="342">
        <v>0</v>
      </c>
      <c r="P18" s="306">
        <f t="shared" ref="P18:P30" si="4">IF((L18-L$16)&gt;O$8-1,0,O$7/O$10)</f>
        <v>0</v>
      </c>
      <c r="Q18" s="306">
        <f t="shared" si="0"/>
        <v>0</v>
      </c>
      <c r="R18" s="306">
        <f t="shared" si="1"/>
        <v>0</v>
      </c>
    </row>
    <row r="19" spans="2:18" ht="13.5" x14ac:dyDescent="0.25">
      <c r="B19" s="275"/>
      <c r="E19" s="276"/>
      <c r="L19" s="315">
        <f t="shared" si="2"/>
        <v>2014</v>
      </c>
      <c r="M19" s="912">
        <f t="shared" si="3"/>
        <v>0</v>
      </c>
      <c r="N19" s="913"/>
      <c r="O19" s="342">
        <v>0</v>
      </c>
      <c r="P19" s="306">
        <f t="shared" si="4"/>
        <v>0</v>
      </c>
      <c r="Q19" s="306">
        <f t="shared" si="0"/>
        <v>0</v>
      </c>
      <c r="R19" s="306">
        <f t="shared" si="1"/>
        <v>0</v>
      </c>
    </row>
    <row r="20" spans="2:18" x14ac:dyDescent="0.2">
      <c r="B20" s="277"/>
      <c r="C20" s="278" t="s">
        <v>0</v>
      </c>
      <c r="D20" s="279"/>
      <c r="E20" s="280"/>
      <c r="G20" s="325"/>
      <c r="H20" s="326"/>
      <c r="I20" s="327"/>
      <c r="J20" s="328"/>
      <c r="L20" s="315">
        <f t="shared" si="2"/>
        <v>2015</v>
      </c>
      <c r="M20" s="912">
        <f t="shared" si="3"/>
        <v>0</v>
      </c>
      <c r="N20" s="913"/>
      <c r="O20" s="342">
        <v>0</v>
      </c>
      <c r="P20" s="306">
        <f t="shared" si="4"/>
        <v>0</v>
      </c>
      <c r="Q20" s="306">
        <f t="shared" si="0"/>
        <v>0</v>
      </c>
      <c r="R20" s="306">
        <f t="shared" si="1"/>
        <v>0</v>
      </c>
    </row>
    <row r="21" spans="2:18" x14ac:dyDescent="0.2">
      <c r="B21" s="319"/>
      <c r="C21" s="320"/>
      <c r="D21" s="320"/>
      <c r="E21" s="321"/>
      <c r="G21" s="329"/>
      <c r="H21" s="57"/>
      <c r="I21" s="57"/>
      <c r="J21" s="330"/>
      <c r="L21" s="315">
        <f t="shared" si="2"/>
        <v>2016</v>
      </c>
      <c r="M21" s="912">
        <f t="shared" si="3"/>
        <v>0</v>
      </c>
      <c r="N21" s="913"/>
      <c r="O21" s="342">
        <v>0</v>
      </c>
      <c r="P21" s="306">
        <f t="shared" si="4"/>
        <v>0</v>
      </c>
      <c r="Q21" s="306">
        <f t="shared" si="0"/>
        <v>0</v>
      </c>
      <c r="R21" s="306">
        <f t="shared" si="1"/>
        <v>0</v>
      </c>
    </row>
    <row r="22" spans="2:18" x14ac:dyDescent="0.2">
      <c r="B22" s="319"/>
      <c r="C22" s="320"/>
      <c r="D22" s="320"/>
      <c r="E22" s="321"/>
      <c r="G22" s="329"/>
      <c r="H22" s="57"/>
      <c r="I22" s="57"/>
      <c r="J22" s="330"/>
      <c r="L22" s="315">
        <f t="shared" si="2"/>
        <v>2017</v>
      </c>
      <c r="M22" s="912">
        <f t="shared" si="3"/>
        <v>0</v>
      </c>
      <c r="N22" s="913"/>
      <c r="O22" s="342">
        <v>0</v>
      </c>
      <c r="P22" s="306">
        <f t="shared" si="4"/>
        <v>0</v>
      </c>
      <c r="Q22" s="306">
        <f t="shared" si="0"/>
        <v>0</v>
      </c>
      <c r="R22" s="306">
        <f t="shared" si="1"/>
        <v>0</v>
      </c>
    </row>
    <row r="23" spans="2:18" x14ac:dyDescent="0.2">
      <c r="B23" s="319"/>
      <c r="C23" s="320"/>
      <c r="D23" s="320"/>
      <c r="E23" s="321"/>
      <c r="G23" s="329"/>
      <c r="H23" s="57"/>
      <c r="I23" s="57"/>
      <c r="J23" s="330"/>
      <c r="L23" s="315">
        <f t="shared" si="2"/>
        <v>2018</v>
      </c>
      <c r="M23" s="912">
        <f t="shared" si="3"/>
        <v>0</v>
      </c>
      <c r="N23" s="913"/>
      <c r="O23" s="342">
        <v>0</v>
      </c>
      <c r="P23" s="306">
        <f t="shared" si="4"/>
        <v>0</v>
      </c>
      <c r="Q23" s="306">
        <f t="shared" si="0"/>
        <v>0</v>
      </c>
      <c r="R23" s="306">
        <f t="shared" si="1"/>
        <v>0</v>
      </c>
    </row>
    <row r="24" spans="2:18" x14ac:dyDescent="0.2">
      <c r="B24" s="319"/>
      <c r="C24" s="320"/>
      <c r="D24" s="320"/>
      <c r="E24" s="321"/>
      <c r="G24" s="329"/>
      <c r="H24" s="57"/>
      <c r="I24" s="57"/>
      <c r="J24" s="330"/>
      <c r="L24" s="315">
        <f t="shared" si="2"/>
        <v>2019</v>
      </c>
      <c r="M24" s="912">
        <f t="shared" si="3"/>
        <v>0</v>
      </c>
      <c r="N24" s="913"/>
      <c r="O24" s="342">
        <v>0</v>
      </c>
      <c r="P24" s="306">
        <f t="shared" si="4"/>
        <v>0</v>
      </c>
      <c r="Q24" s="306">
        <f t="shared" si="0"/>
        <v>0</v>
      </c>
      <c r="R24" s="306">
        <f t="shared" si="1"/>
        <v>0</v>
      </c>
    </row>
    <row r="25" spans="2:18" x14ac:dyDescent="0.2">
      <c r="B25" s="319"/>
      <c r="C25" s="320"/>
      <c r="D25" s="320"/>
      <c r="E25" s="321"/>
      <c r="G25" s="329"/>
      <c r="H25" s="57"/>
      <c r="I25" s="57"/>
      <c r="J25" s="330"/>
      <c r="L25" s="315">
        <f t="shared" si="2"/>
        <v>2020</v>
      </c>
      <c r="M25" s="912">
        <f t="shared" si="3"/>
        <v>0</v>
      </c>
      <c r="N25" s="913"/>
      <c r="O25" s="342">
        <v>0</v>
      </c>
      <c r="P25" s="306">
        <f t="shared" si="4"/>
        <v>0</v>
      </c>
      <c r="Q25" s="306">
        <f t="shared" si="0"/>
        <v>0</v>
      </c>
      <c r="R25" s="306">
        <f t="shared" si="1"/>
        <v>0</v>
      </c>
    </row>
    <row r="26" spans="2:18" x14ac:dyDescent="0.2">
      <c r="B26" s="319"/>
      <c r="C26" s="320"/>
      <c r="D26" s="320"/>
      <c r="E26" s="321"/>
      <c r="G26" s="329"/>
      <c r="H26" s="57"/>
      <c r="I26" s="57"/>
      <c r="J26" s="330"/>
      <c r="L26" s="315">
        <f t="shared" si="2"/>
        <v>2021</v>
      </c>
      <c r="M26" s="912">
        <f t="shared" si="3"/>
        <v>0</v>
      </c>
      <c r="N26" s="913"/>
      <c r="O26" s="342">
        <v>0</v>
      </c>
      <c r="P26" s="306">
        <f t="shared" si="4"/>
        <v>0</v>
      </c>
      <c r="Q26" s="306">
        <f t="shared" si="0"/>
        <v>0</v>
      </c>
      <c r="R26" s="306">
        <f t="shared" si="1"/>
        <v>0</v>
      </c>
    </row>
    <row r="27" spans="2:18" x14ac:dyDescent="0.2">
      <c r="B27" s="319"/>
      <c r="C27" s="320"/>
      <c r="D27" s="320"/>
      <c r="E27" s="321"/>
      <c r="G27" s="329"/>
      <c r="H27" s="57"/>
      <c r="I27" s="57"/>
      <c r="J27" s="330"/>
      <c r="L27" s="315">
        <f t="shared" si="2"/>
        <v>2022</v>
      </c>
      <c r="M27" s="912">
        <f t="shared" si="3"/>
        <v>0</v>
      </c>
      <c r="N27" s="913"/>
      <c r="O27" s="342">
        <v>0</v>
      </c>
      <c r="P27" s="306">
        <f t="shared" si="4"/>
        <v>0</v>
      </c>
      <c r="Q27" s="306">
        <f t="shared" si="0"/>
        <v>0</v>
      </c>
      <c r="R27" s="306">
        <f t="shared" si="1"/>
        <v>0</v>
      </c>
    </row>
    <row r="28" spans="2:18" x14ac:dyDescent="0.2">
      <c r="B28" s="319"/>
      <c r="C28" s="320"/>
      <c r="D28" s="320"/>
      <c r="E28" s="321"/>
      <c r="G28" s="329"/>
      <c r="H28" s="57"/>
      <c r="I28" s="57"/>
      <c r="J28" s="330"/>
      <c r="L28" s="315">
        <f t="shared" si="2"/>
        <v>2023</v>
      </c>
      <c r="M28" s="912">
        <f t="shared" si="3"/>
        <v>0</v>
      </c>
      <c r="N28" s="913"/>
      <c r="O28" s="342">
        <v>0</v>
      </c>
      <c r="P28" s="306">
        <f t="shared" si="4"/>
        <v>0</v>
      </c>
      <c r="Q28" s="306">
        <f t="shared" si="0"/>
        <v>0</v>
      </c>
      <c r="R28" s="306">
        <f t="shared" si="1"/>
        <v>0</v>
      </c>
    </row>
    <row r="29" spans="2:18" x14ac:dyDescent="0.2">
      <c r="B29" s="319"/>
      <c r="C29" s="320"/>
      <c r="D29" s="320"/>
      <c r="E29" s="321"/>
      <c r="G29" s="329"/>
      <c r="H29" s="57"/>
      <c r="I29" s="57"/>
      <c r="J29" s="330"/>
      <c r="L29" s="315">
        <f t="shared" si="2"/>
        <v>2024</v>
      </c>
      <c r="M29" s="912">
        <f t="shared" si="3"/>
        <v>0</v>
      </c>
      <c r="N29" s="913"/>
      <c r="O29" s="342">
        <v>0</v>
      </c>
      <c r="P29" s="306">
        <f t="shared" si="4"/>
        <v>0</v>
      </c>
      <c r="Q29" s="306">
        <f t="shared" si="0"/>
        <v>0</v>
      </c>
      <c r="R29" s="306">
        <f t="shared" si="1"/>
        <v>0</v>
      </c>
    </row>
    <row r="30" spans="2:18" x14ac:dyDescent="0.2">
      <c r="B30" s="319"/>
      <c r="C30" s="320"/>
      <c r="D30" s="320"/>
      <c r="E30" s="321"/>
      <c r="G30" s="329"/>
      <c r="H30" s="57"/>
      <c r="I30" s="57"/>
      <c r="J30" s="330"/>
      <c r="L30" s="315">
        <f t="shared" si="2"/>
        <v>2025</v>
      </c>
      <c r="M30" s="912">
        <f>IF(M29-P29&lt;0,0,M29-P29)</f>
        <v>0</v>
      </c>
      <c r="N30" s="913"/>
      <c r="O30" s="342">
        <v>0</v>
      </c>
      <c r="P30" s="306">
        <f t="shared" si="4"/>
        <v>0</v>
      </c>
      <c r="Q30" s="306">
        <f t="shared" si="0"/>
        <v>0</v>
      </c>
      <c r="R30" s="306">
        <f t="shared" si="1"/>
        <v>0</v>
      </c>
    </row>
    <row r="31" spans="2:18" x14ac:dyDescent="0.2">
      <c r="B31" s="319"/>
      <c r="C31" s="320"/>
      <c r="D31" s="320"/>
      <c r="E31" s="321"/>
      <c r="G31" s="329"/>
      <c r="H31" s="57"/>
      <c r="I31" s="57"/>
      <c r="J31" s="330"/>
    </row>
    <row r="32" spans="2:18" x14ac:dyDescent="0.2">
      <c r="B32" s="319"/>
      <c r="C32" s="320"/>
      <c r="D32" s="320"/>
      <c r="E32" s="321"/>
      <c r="G32" s="329"/>
      <c r="H32" s="57"/>
      <c r="I32" s="57"/>
      <c r="J32" s="330"/>
    </row>
    <row r="33" spans="2:18" x14ac:dyDescent="0.2">
      <c r="B33" s="319"/>
      <c r="C33" s="320"/>
      <c r="D33" s="320"/>
      <c r="E33" s="321"/>
      <c r="G33" s="329"/>
      <c r="H33" s="57"/>
      <c r="I33" s="57"/>
      <c r="J33" s="330"/>
      <c r="L33" s="316"/>
      <c r="M33" s="317"/>
      <c r="N33" s="317"/>
      <c r="O33" s="317"/>
      <c r="P33" s="317"/>
      <c r="Q33" s="317"/>
      <c r="R33" s="318"/>
    </row>
    <row r="34" spans="2:18" x14ac:dyDescent="0.2">
      <c r="B34" s="319"/>
      <c r="C34" s="320"/>
      <c r="D34" s="320"/>
      <c r="E34" s="321"/>
      <c r="G34" s="329"/>
      <c r="H34" s="57"/>
      <c r="I34" s="57"/>
      <c r="J34" s="330"/>
      <c r="L34" s="334"/>
      <c r="M34" s="335"/>
      <c r="N34" s="335"/>
      <c r="O34" s="335"/>
      <c r="P34" s="335"/>
      <c r="Q34" s="335"/>
      <c r="R34" s="336"/>
    </row>
    <row r="35" spans="2:18" x14ac:dyDescent="0.2">
      <c r="B35" s="319"/>
      <c r="C35" s="320"/>
      <c r="D35" s="320"/>
      <c r="E35" s="321"/>
      <c r="G35" s="329"/>
      <c r="H35" s="57"/>
      <c r="I35" s="57"/>
      <c r="J35" s="330"/>
      <c r="L35" s="334"/>
      <c r="M35" s="335"/>
      <c r="N35" s="335"/>
      <c r="O35" s="335"/>
      <c r="P35" s="335"/>
      <c r="Q35" s="335"/>
      <c r="R35" s="336"/>
    </row>
    <row r="36" spans="2:18" x14ac:dyDescent="0.2">
      <c r="B36" s="319"/>
      <c r="C36" s="320"/>
      <c r="D36" s="320"/>
      <c r="E36" s="321"/>
      <c r="G36" s="329"/>
      <c r="H36" s="57"/>
      <c r="I36" s="57"/>
      <c r="J36" s="330"/>
      <c r="L36" s="334"/>
      <c r="M36" s="335"/>
      <c r="N36" s="335"/>
      <c r="O36" s="335"/>
      <c r="P36" s="335"/>
      <c r="Q36" s="335"/>
      <c r="R36" s="336"/>
    </row>
    <row r="37" spans="2:18" x14ac:dyDescent="0.2">
      <c r="B37" s="319"/>
      <c r="C37" s="320"/>
      <c r="D37" s="320"/>
      <c r="E37" s="321"/>
      <c r="G37" s="329"/>
      <c r="H37" s="57"/>
      <c r="I37" s="57"/>
      <c r="J37" s="330"/>
      <c r="L37" s="334"/>
      <c r="M37" s="335"/>
      <c r="N37" s="335"/>
      <c r="O37" s="335"/>
      <c r="P37" s="335"/>
      <c r="Q37" s="335"/>
      <c r="R37" s="336"/>
    </row>
    <row r="38" spans="2:18" x14ac:dyDescent="0.2">
      <c r="B38" s="319"/>
      <c r="C38" s="320"/>
      <c r="D38" s="320"/>
      <c r="E38" s="321"/>
      <c r="G38" s="329"/>
      <c r="H38" s="57"/>
      <c r="I38" s="57"/>
      <c r="J38" s="330"/>
      <c r="L38" s="334"/>
      <c r="M38" s="335"/>
      <c r="N38" s="335"/>
      <c r="O38" s="335"/>
      <c r="P38" s="335"/>
      <c r="Q38" s="335"/>
      <c r="R38" s="336"/>
    </row>
    <row r="39" spans="2:18" x14ac:dyDescent="0.2">
      <c r="B39" s="319"/>
      <c r="C39" s="320"/>
      <c r="D39" s="320"/>
      <c r="E39" s="321"/>
      <c r="G39" s="329"/>
      <c r="H39" s="57"/>
      <c r="I39" s="57"/>
      <c r="J39" s="330"/>
      <c r="L39" s="334"/>
      <c r="M39" s="335"/>
      <c r="N39" s="335"/>
      <c r="O39" s="335"/>
      <c r="P39" s="335"/>
      <c r="Q39" s="335"/>
      <c r="R39" s="336"/>
    </row>
    <row r="40" spans="2:18" x14ac:dyDescent="0.2">
      <c r="B40" s="319"/>
      <c r="C40" s="320"/>
      <c r="D40" s="320"/>
      <c r="E40" s="321"/>
      <c r="G40" s="329"/>
      <c r="H40" s="57"/>
      <c r="I40" s="57"/>
      <c r="J40" s="330"/>
      <c r="L40" s="334"/>
      <c r="M40" s="335"/>
      <c r="N40" s="335"/>
      <c r="O40" s="335"/>
      <c r="P40" s="335"/>
      <c r="Q40" s="335"/>
      <c r="R40" s="336"/>
    </row>
    <row r="41" spans="2:18" x14ac:dyDescent="0.2">
      <c r="B41" s="322"/>
      <c r="C41" s="323"/>
      <c r="D41" s="323"/>
      <c r="E41" s="324"/>
      <c r="G41" s="331"/>
      <c r="H41" s="332"/>
      <c r="I41" s="332"/>
      <c r="J41" s="333"/>
      <c r="L41" s="337"/>
      <c r="M41" s="338"/>
      <c r="N41" s="338"/>
      <c r="O41" s="338"/>
      <c r="P41" s="338"/>
      <c r="Q41" s="338"/>
      <c r="R41" s="339"/>
    </row>
    <row r="42" spans="2:18" x14ac:dyDescent="0.2">
      <c r="L42" s="478"/>
      <c r="M42" s="478"/>
      <c r="N42" s="478"/>
      <c r="O42" s="478"/>
      <c r="P42" s="478"/>
      <c r="Q42" s="478"/>
      <c r="R42" s="478"/>
    </row>
    <row r="43" spans="2:18" x14ac:dyDescent="0.2">
      <c r="L43" s="479"/>
      <c r="M43" s="479"/>
      <c r="N43" s="479"/>
      <c r="O43" s="479"/>
      <c r="P43" s="479"/>
      <c r="Q43" s="479"/>
      <c r="R43" s="479"/>
    </row>
    <row r="44" spans="2:18" x14ac:dyDescent="0.2">
      <c r="B44" s="380" t="s">
        <v>240</v>
      </c>
      <c r="L44" s="479"/>
      <c r="M44" s="479"/>
      <c r="N44" s="479"/>
      <c r="O44" s="479"/>
      <c r="P44" s="479"/>
      <c r="Q44" s="479"/>
      <c r="R44" s="479"/>
    </row>
    <row r="45" spans="2:18" x14ac:dyDescent="0.2">
      <c r="B45" s="157" t="s">
        <v>241</v>
      </c>
    </row>
    <row r="46" spans="2:18" x14ac:dyDescent="0.2">
      <c r="B46" s="157" t="s">
        <v>254</v>
      </c>
    </row>
  </sheetData>
  <sheetProtection password="9675" sheet="1" objects="1" scenarios="1" selectLockedCells="1"/>
  <mergeCells count="24">
    <mergeCell ref="P13:P15"/>
    <mergeCell ref="Q13:Q15"/>
    <mergeCell ref="R13:R15"/>
    <mergeCell ref="M30:N30"/>
    <mergeCell ref="M26:N26"/>
    <mergeCell ref="M27:N27"/>
    <mergeCell ref="M28:N28"/>
    <mergeCell ref="M29:N29"/>
    <mergeCell ref="M17:N17"/>
    <mergeCell ref="M23:N23"/>
    <mergeCell ref="H7:J7"/>
    <mergeCell ref="C6:E6"/>
    <mergeCell ref="L7:N7"/>
    <mergeCell ref="M19:N19"/>
    <mergeCell ref="O13:O15"/>
    <mergeCell ref="M22:N22"/>
    <mergeCell ref="M24:N24"/>
    <mergeCell ref="M25:N25"/>
    <mergeCell ref="M18:N18"/>
    <mergeCell ref="L13:L15"/>
    <mergeCell ref="M13:N15"/>
    <mergeCell ref="M20:N20"/>
    <mergeCell ref="M21:N21"/>
    <mergeCell ref="M16:N1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verticalDpi="4" r:id="rId1"/>
  <colBreaks count="1" manualBreakCount="1">
    <brk id="11" min="1" max="40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9</vt:i4>
      </vt:variant>
      <vt:variant>
        <vt:lpstr>Nimetyt alueet</vt:lpstr>
      </vt:variant>
      <vt:variant>
        <vt:i4>9</vt:i4>
      </vt:variant>
    </vt:vector>
  </HeadingPairs>
  <TitlesOfParts>
    <vt:vector size="18" baseType="lpstr">
      <vt:lpstr>Ohjeet</vt:lpstr>
      <vt:lpstr>T1 Taloussuunnitelma</vt:lpstr>
      <vt:lpstr>T2 Investoinnit, rahoitus</vt:lpstr>
      <vt:lpstr>T3 Kustannukset</vt:lpstr>
      <vt:lpstr>T4 Tuotanto</vt:lpstr>
      <vt:lpstr>Taul1</vt:lpstr>
      <vt:lpstr>aputaulu</vt:lpstr>
      <vt:lpstr>Lainalaskurit</vt:lpstr>
      <vt:lpstr>Taul2</vt:lpstr>
      <vt:lpstr>'T3 Kustannukset'!Teksti37</vt:lpstr>
      <vt:lpstr>'T3 Kustannukset'!Teksti38</vt:lpstr>
      <vt:lpstr>'T3 Kustannukset'!Teksti39</vt:lpstr>
      <vt:lpstr>Lainalaskurit!Tulostusalue</vt:lpstr>
      <vt:lpstr>'T1 Taloussuunnitelma'!Tulostusalue</vt:lpstr>
      <vt:lpstr>'T2 Investoinnit, rahoitus'!Tulostusalue</vt:lpstr>
      <vt:lpstr>'T3 Kustannukset'!Tulostusalue</vt:lpstr>
      <vt:lpstr>'T4 Tuotanto'!Tulostusalue</vt:lpstr>
      <vt:lpstr>'T3 Kustannukset'!Tulostusotsikot</vt:lpstr>
    </vt:vector>
  </TitlesOfParts>
  <Company>Jadelcons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 Järvinen</dc:creator>
  <cp:lastModifiedBy>Ari Järvinen</cp:lastModifiedBy>
  <cp:lastPrinted>2016-01-19T15:31:51Z</cp:lastPrinted>
  <dcterms:created xsi:type="dcterms:W3CDTF">2006-08-01T10:09:48Z</dcterms:created>
  <dcterms:modified xsi:type="dcterms:W3CDTF">2016-01-19T15:55:29Z</dcterms:modified>
</cp:coreProperties>
</file>